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heckCompatibility="1"/>
  <mc:AlternateContent xmlns:mc="http://schemas.openxmlformats.org/markup-compatibility/2006">
    <mc:Choice Requires="x15">
      <x15ac:absPath xmlns:x15ac="http://schemas.microsoft.com/office/spreadsheetml/2010/11/ac" url="N:\JPG\Investor Reporting\Paragon Finance\PM9\"/>
    </mc:Choice>
  </mc:AlternateContent>
  <xr:revisionPtr revIDLastSave="0" documentId="13_ncr:1_{73C7BB93-FB9D-4F08-9E1A-B6A07B1367AD}" xr6:coauthVersionLast="44" xr6:coauthVersionMax="44" xr10:uidLastSave="{00000000-0000-0000-0000-000000000000}"/>
  <bookViews>
    <workbookView xWindow="20052" yWindow="-108" windowWidth="20376" windowHeight="12216" firstSheet="48" activeTab="57" xr2:uid="{00000000-000D-0000-FFFF-FFFF00000000}"/>
  </bookViews>
  <sheets>
    <sheet name="Oct 05" sheetId="1" r:id="rId1"/>
    <sheet name="Jan 06" sheetId="2" r:id="rId2"/>
    <sheet name="April 06" sheetId="3" r:id="rId3"/>
    <sheet name="July 06" sheetId="4" r:id="rId4"/>
    <sheet name="Oct 06" sheetId="5" r:id="rId5"/>
    <sheet name="Jan 07" sheetId="6" r:id="rId6"/>
    <sheet name="April 07" sheetId="7" r:id="rId7"/>
    <sheet name="July 07" sheetId="8" r:id="rId8"/>
    <sheet name="Oct 07" sheetId="9" r:id="rId9"/>
    <sheet name="Jan 08" sheetId="10" r:id="rId10"/>
    <sheet name="April 08" sheetId="11" r:id="rId11"/>
    <sheet name="July 08" sheetId="12" r:id="rId12"/>
    <sheet name="Oct 08" sheetId="13" r:id="rId13"/>
    <sheet name="Jan 09" sheetId="14" r:id="rId14"/>
    <sheet name="April 09" sheetId="15" r:id="rId15"/>
    <sheet name="July 09" sheetId="16" r:id="rId16"/>
    <sheet name="Oct 09" sheetId="17" r:id="rId17"/>
    <sheet name="Jan 10" sheetId="18" r:id="rId18"/>
    <sheet name="April 10" sheetId="19" r:id="rId19"/>
    <sheet name="July 10" sheetId="20" r:id="rId20"/>
    <sheet name="Oct 10" sheetId="21" r:id="rId21"/>
    <sheet name="Jan 11" sheetId="22" r:id="rId22"/>
    <sheet name="April 11" sheetId="23" r:id="rId23"/>
    <sheet name="July 11" sheetId="24" r:id="rId24"/>
    <sheet name="Oct 11" sheetId="25" r:id="rId25"/>
    <sheet name="Jan 12" sheetId="26" r:id="rId26"/>
    <sheet name="April 12" sheetId="27" r:id="rId27"/>
    <sheet name="July 12" sheetId="28" r:id="rId28"/>
    <sheet name="Oct 12" sheetId="29" r:id="rId29"/>
    <sheet name="Jan 13" sheetId="30" r:id="rId30"/>
    <sheet name="April 13" sheetId="31" r:id="rId31"/>
    <sheet name="July 13" sheetId="32" r:id="rId32"/>
    <sheet name="Oct 13" sheetId="33" r:id="rId33"/>
    <sheet name="Jan 14" sheetId="34" r:id="rId34"/>
    <sheet name="April 14" sheetId="35" r:id="rId35"/>
    <sheet name="July 14" sheetId="36" r:id="rId36"/>
    <sheet name="Oct 14" sheetId="37" r:id="rId37"/>
    <sheet name="Jan 15" sheetId="38" r:id="rId38"/>
    <sheet name="April 15" sheetId="39" r:id="rId39"/>
    <sheet name="July 15" sheetId="40" r:id="rId40"/>
    <sheet name="Oct 15" sheetId="41" r:id="rId41"/>
    <sheet name="Jan 16" sheetId="42" r:id="rId42"/>
    <sheet name="April 16" sheetId="43" r:id="rId43"/>
    <sheet name="July 16" sheetId="44" r:id="rId44"/>
    <sheet name="Oct 16" sheetId="45" r:id="rId45"/>
    <sheet name="Jan 17" sheetId="46" r:id="rId46"/>
    <sheet name="April 17" sheetId="47" r:id="rId47"/>
    <sheet name="July 17" sheetId="48" r:id="rId48"/>
    <sheet name="Oct 17" sheetId="49" r:id="rId49"/>
    <sheet name="Jan 18" sheetId="50" r:id="rId50"/>
    <sheet name="April 18" sheetId="51" r:id="rId51"/>
    <sheet name="July 18" sheetId="52" r:id="rId52"/>
    <sheet name="Oct 18" sheetId="53" r:id="rId53"/>
    <sheet name="Jan 19" sheetId="54" r:id="rId54"/>
    <sheet name="April 19" sheetId="55" r:id="rId55"/>
    <sheet name="July 19" sheetId="56" r:id="rId56"/>
    <sheet name="Oct 19" sheetId="57" r:id="rId57"/>
    <sheet name="Jan 20" sheetId="58" r:id="rId58"/>
  </sheets>
  <definedNames>
    <definedName name="_100PAGE_3" localSheetId="28">'Oct 12'!$A$134:$U$194</definedName>
    <definedName name="_101PAGE_3" localSheetId="32">'Oct 13'!$A$135:$U$195</definedName>
    <definedName name="_102PAGE_3">'Oct 05'!$A$131:$U$189</definedName>
    <definedName name="_103PAGE_4" localSheetId="2">'April 06'!$A$193:$U$274</definedName>
    <definedName name="_104PAGE_4" localSheetId="6">'April 07'!$A$194:$U$275</definedName>
    <definedName name="_105PAGE_4" localSheetId="10">'April 08'!$A$195:$U$277</definedName>
    <definedName name="_106PAGE_4" localSheetId="14">'April 09'!$A$195:$U$277</definedName>
    <definedName name="_107PAGE_4" localSheetId="18">'April 10'!$A$196:$U$278</definedName>
    <definedName name="_108PAGE_4" localSheetId="22">'April 11'!$A$195:$U$289</definedName>
    <definedName name="_109PAGE_4" localSheetId="26">'April 12'!$A$195:$U$289</definedName>
    <definedName name="_10PAGE_1" localSheetId="5">'Jan 07'!$A$1:$U$61</definedName>
    <definedName name="_110PAGE_4" localSheetId="30">'April 13'!$A$196:$U$290</definedName>
    <definedName name="_111PAGE_4" localSheetId="1">'Jan 06'!$A$193:$U$274</definedName>
    <definedName name="_112PAGE_4" localSheetId="5">'Jan 07'!$A$194:$U$275</definedName>
    <definedName name="_113PAGE_4" localSheetId="9">'Jan 08'!$A$195:$U$277</definedName>
    <definedName name="_114PAGE_4" localSheetId="13">'Jan 09'!$A$195:$U$277</definedName>
    <definedName name="_115PAGE_4" localSheetId="17">'Jan 10'!$A$196:$U$278</definedName>
    <definedName name="_116PAGE_4" localSheetId="21">'Jan 11'!$A$195:$U$289</definedName>
    <definedName name="_117PAGE_4" localSheetId="25">'Jan 12'!$A$195:$U$289</definedName>
    <definedName name="_118PAGE_4" localSheetId="29">'Jan 13'!$A$196:$U$290</definedName>
    <definedName name="_119PAGE_4" localSheetId="34">'April 14'!$A$196:$U$290</definedName>
    <definedName name="_119PAGE_4" localSheetId="38">'April 15'!$A$196:$U$290</definedName>
    <definedName name="_119PAGE_4" localSheetId="42">'April 16'!$A$196:$U$290</definedName>
    <definedName name="_119PAGE_4" localSheetId="46">'April 17'!$A$196:$U$289</definedName>
    <definedName name="_119PAGE_4" localSheetId="50">'April 18'!$A$196:$U$289</definedName>
    <definedName name="_119PAGE_4" localSheetId="54">'April 19'!$A$196:$U$289</definedName>
    <definedName name="_119PAGE_4" localSheetId="33">'Jan 14'!$A$196:$U$290</definedName>
    <definedName name="_119PAGE_4" localSheetId="37">'Jan 15'!$A$196:$U$290</definedName>
    <definedName name="_119PAGE_4" localSheetId="41">'Jan 16'!$A$196:$U$290</definedName>
    <definedName name="_119PAGE_4" localSheetId="45">'Jan 17'!$A$196:$U$289</definedName>
    <definedName name="_119PAGE_4" localSheetId="49">'Jan 18'!$A$196:$U$289</definedName>
    <definedName name="_119PAGE_4" localSheetId="53">'Jan 19'!$A$196:$U$289</definedName>
    <definedName name="_119PAGE_4" localSheetId="57">'Jan 20'!$A$200:$U$293</definedName>
    <definedName name="_119PAGE_4" localSheetId="35">'July 14'!$A$196:$U$290</definedName>
    <definedName name="_119PAGE_4" localSheetId="39">'July 15'!$A$196:$U$290</definedName>
    <definedName name="_119PAGE_4" localSheetId="43">'July 16'!$A$196:$U$290</definedName>
    <definedName name="_119PAGE_4" localSheetId="47">'July 17'!$A$196:$U$289</definedName>
    <definedName name="_119PAGE_4" localSheetId="51">'July 18'!$A$196:$U$289</definedName>
    <definedName name="_119PAGE_4" localSheetId="55">'July 19'!$A$199:$U$292</definedName>
    <definedName name="_119PAGE_4" localSheetId="36">'Oct 14'!$A$196:$U$290</definedName>
    <definedName name="_119PAGE_4" localSheetId="40">'Oct 15'!$A$196:$U$290</definedName>
    <definedName name="_119PAGE_4" localSheetId="44">'Oct 16'!$A$196:$U$290</definedName>
    <definedName name="_119PAGE_4" localSheetId="48">'Oct 17'!$A$196:$U$289</definedName>
    <definedName name="_119PAGE_4" localSheetId="52">'Oct 18'!$A$196:$U$289</definedName>
    <definedName name="_119PAGE_4" localSheetId="56">'Oct 19'!$A$199:$U$292</definedName>
    <definedName name="_11PAGE_1" localSheetId="9">'Jan 08'!$A$1:$U$61</definedName>
    <definedName name="_120PAGE_4" localSheetId="3">'July 06'!$A$193:$U$274</definedName>
    <definedName name="_121PAGE_4" localSheetId="7">'July 07'!$A$194:$U$276</definedName>
    <definedName name="_122PAGE_4" localSheetId="11">'July 08'!$A$195:$U$277</definedName>
    <definedName name="_123PAGE_4" localSheetId="15">'July 09'!$A$195:$U$277</definedName>
    <definedName name="_124PAGE_4" localSheetId="19">'July 10'!$A$195:$U$289</definedName>
    <definedName name="_125PAGE_4" localSheetId="23">'July 11'!$A$195:$U$289</definedName>
    <definedName name="_126PAGE_4" localSheetId="27">'July 12'!$A$195:$U$289</definedName>
    <definedName name="_127PAGE_4" localSheetId="31">'July 13'!$A$196:$U$290</definedName>
    <definedName name="_128PAGE_4" localSheetId="4">'Oct 06'!$A$193:$U$274</definedName>
    <definedName name="_129PAGE_4" localSheetId="8">'Oct 07'!$A$194:$U$276</definedName>
    <definedName name="_12PAGE_1" localSheetId="13">'Jan 09'!$A$1:$U$61</definedName>
    <definedName name="_130PAGE_4" localSheetId="12">'Oct 08'!$A$195:$U$277</definedName>
    <definedName name="_131PAGE_4" localSheetId="16">'Oct 09'!$A$196:$U$278</definedName>
    <definedName name="_132PAGE_4" localSheetId="20">'Oct 10'!$A$195:$U$289</definedName>
    <definedName name="_133PAGE_4" localSheetId="24">'Oct 11'!$A$195:$U$289</definedName>
    <definedName name="_134PAGE_4" localSheetId="28">'Oct 12'!$A$195:$U$289</definedName>
    <definedName name="_135PAGE_4" localSheetId="32">'Oct 13'!$A$196:$U$290</definedName>
    <definedName name="_136PAGE_4">'Oct 05'!$A$190:$U$268</definedName>
    <definedName name="_13PAGE_1" localSheetId="17">'Jan 10'!$A$1:$U$61</definedName>
    <definedName name="_14PAGE_1" localSheetId="21">'Jan 11'!$A$1:$U$61</definedName>
    <definedName name="_15PAGE_1" localSheetId="25">'Jan 12'!$A$1:$U$61</definedName>
    <definedName name="_16PAGE_1" localSheetId="29">'Jan 13'!$A$1:$U$61</definedName>
    <definedName name="_17PAGE_1" localSheetId="34">'April 14'!$A$1:$U$61</definedName>
    <definedName name="_17PAGE_1" localSheetId="38">'April 15'!$A$1:$U$61</definedName>
    <definedName name="_17PAGE_1" localSheetId="42">'April 16'!$A$1:$U$61</definedName>
    <definedName name="_17PAGE_1" localSheetId="46">'April 17'!$A$1:$U$61</definedName>
    <definedName name="_17PAGE_1" localSheetId="50">'April 18'!$A$1:$U$61</definedName>
    <definedName name="_17PAGE_1" localSheetId="54">'April 19'!$A$1:$U$61</definedName>
    <definedName name="_17PAGE_1" localSheetId="33">'Jan 14'!$A$1:$U$61</definedName>
    <definedName name="_17PAGE_1" localSheetId="37">'Jan 15'!$A$1:$U$61</definedName>
    <definedName name="_17PAGE_1" localSheetId="41">'Jan 16'!$A$1:$U$61</definedName>
    <definedName name="_17PAGE_1" localSheetId="45">'Jan 17'!$A$1:$U$61</definedName>
    <definedName name="_17PAGE_1" localSheetId="49">'Jan 18'!$A$1:$U$61</definedName>
    <definedName name="_17PAGE_1" localSheetId="53">'Jan 19'!$A$1:$U$61</definedName>
    <definedName name="_17PAGE_1" localSheetId="57">'Jan 20'!$A$1:$U$61</definedName>
    <definedName name="_17PAGE_1" localSheetId="35">'July 14'!$A$1:$U$61</definedName>
    <definedName name="_17PAGE_1" localSheetId="39">'July 15'!$A$1:$U$61</definedName>
    <definedName name="_17PAGE_1" localSheetId="43">'July 16'!$A$1:$U$61</definedName>
    <definedName name="_17PAGE_1" localSheetId="47">'July 17'!$A$1:$U$61</definedName>
    <definedName name="_17PAGE_1" localSheetId="51">'July 18'!$A$1:$U$61</definedName>
    <definedName name="_17PAGE_1" localSheetId="55">'July 19'!$A$1:$U$61</definedName>
    <definedName name="_17PAGE_1" localSheetId="36">'Oct 14'!$A$1:$U$61</definedName>
    <definedName name="_17PAGE_1" localSheetId="40">'Oct 15'!$A$1:$U$61</definedName>
    <definedName name="_17PAGE_1" localSheetId="44">'Oct 16'!$A$1:$U$61</definedName>
    <definedName name="_17PAGE_1" localSheetId="48">'Oct 17'!$A$1:$U$61</definedName>
    <definedName name="_17PAGE_1" localSheetId="52">'Oct 18'!$A$1:$U$61</definedName>
    <definedName name="_17PAGE_1" localSheetId="56">'Oct 19'!$A$1:$U$61</definedName>
    <definedName name="_18PAGE_1" localSheetId="3">'July 06'!$A$1:$U$61</definedName>
    <definedName name="_19PAGE_1" localSheetId="7">'July 07'!$A$1:$U$61</definedName>
    <definedName name="_1PAGE_1" localSheetId="2">'April 06'!$A$1:$U$61</definedName>
    <definedName name="_20PAGE_1" localSheetId="11">'July 08'!$A$1:$U$61</definedName>
    <definedName name="_21PAGE_1" localSheetId="15">'July 09'!$A$1:$U$61</definedName>
    <definedName name="_22PAGE_1" localSheetId="19">'July 10'!$A$1:$U$61</definedName>
    <definedName name="_23PAGE_1" localSheetId="23">'July 11'!$A$1:$U$61</definedName>
    <definedName name="_24PAGE_1" localSheetId="27">'July 12'!$A$1:$U$61</definedName>
    <definedName name="_25PAGE_1" localSheetId="31">'July 13'!$A$1:$U$61</definedName>
    <definedName name="_26PAGE_1" localSheetId="4">'Oct 06'!$A$1:$U$61</definedName>
    <definedName name="_27PAGE_1" localSheetId="8">'Oct 07'!$A$1:$U$61</definedName>
    <definedName name="_28PAGE_1" localSheetId="12">'Oct 08'!$A$1:$U$61</definedName>
    <definedName name="_29PAGE_1" localSheetId="16">'Oct 09'!$A$1:$U$61</definedName>
    <definedName name="_2PAGE_1" localSheetId="6">'April 07'!$A$1:$U$61</definedName>
    <definedName name="_30PAGE_1" localSheetId="20">'Oct 10'!$A$1:$U$61</definedName>
    <definedName name="_31PAGE_1" localSheetId="24">'Oct 11'!$A$1:$U$61</definedName>
    <definedName name="_32PAGE_1" localSheetId="28">'Oct 12'!$A$1:$U$61</definedName>
    <definedName name="_33PAGE_1" localSheetId="32">'Oct 13'!$A$1:$U$61</definedName>
    <definedName name="_34PAGE_1">'Oct 05'!$A$1:$U$61</definedName>
    <definedName name="_35PAGE_2" localSheetId="2">'April 06'!$A$62:$U$132</definedName>
    <definedName name="_36PAGE_2" localSheetId="6">'April 07'!$A$62:$U$133</definedName>
    <definedName name="_37PAGE_2" localSheetId="10">'April 08'!$A$62:$U$134</definedName>
    <definedName name="_38PAGE_2" localSheetId="14">'April 09'!$A$62:$U$134</definedName>
    <definedName name="_39PAGE_2" localSheetId="18">'April 10'!$A$62:$U$134</definedName>
    <definedName name="_3PAGE_1" localSheetId="10">'April 08'!$A$1:$U$61</definedName>
    <definedName name="_40PAGE_2" localSheetId="22">'April 11'!$A$62:$U$133</definedName>
    <definedName name="_41PAGE_2" localSheetId="26">'April 12'!$A$62:$U$133</definedName>
    <definedName name="_42PAGE_2" localSheetId="30">'April 13'!$A$62:$U$134</definedName>
    <definedName name="_43PAGE_2" localSheetId="1">'Jan 06'!$A$62:$U$132</definedName>
    <definedName name="_44PAGE_2" localSheetId="5">'Jan 07'!$A$62:$U$133</definedName>
    <definedName name="_45PAGE_2" localSheetId="9">'Jan 08'!$A$62:$U$134</definedName>
    <definedName name="_46PAGE_2" localSheetId="13">'Jan 09'!$A$62:$U$134</definedName>
    <definedName name="_47PAGE_2" localSheetId="17">'Jan 10'!$A$62:$U$134</definedName>
    <definedName name="_48PAGE_2" localSheetId="21">'Jan 11'!$A$62:$U$133</definedName>
    <definedName name="_49PAGE_2" localSheetId="25">'Jan 12'!$A$62:$U$133</definedName>
    <definedName name="_4PAGE_1" localSheetId="14">'April 09'!$A$1:$U$61</definedName>
    <definedName name="_50PAGE_2" localSheetId="29">'Jan 13'!$A$62:$U$134</definedName>
    <definedName name="_51PAGE_2" localSheetId="34">'April 14'!$A$62:$U$134</definedName>
    <definedName name="_51PAGE_2" localSheetId="38">'April 15'!$A$62:$U$134</definedName>
    <definedName name="_51PAGE_2" localSheetId="42">'April 16'!$A$62:$U$134</definedName>
    <definedName name="_51PAGE_2" localSheetId="46">'April 17'!$A$62:$U$134</definedName>
    <definedName name="_51PAGE_2" localSheetId="50">'April 18'!$A$62:$U$134</definedName>
    <definedName name="_51PAGE_2" localSheetId="54">'April 19'!$A$62:$U$134</definedName>
    <definedName name="_51PAGE_2" localSheetId="33">'Jan 14'!$A$62:$U$134</definedName>
    <definedName name="_51PAGE_2" localSheetId="37">'Jan 15'!$A$62:$U$134</definedName>
    <definedName name="_51PAGE_2" localSheetId="41">'Jan 16'!$A$62:$U$134</definedName>
    <definedName name="_51PAGE_2" localSheetId="45">'Jan 17'!$A$62:$U$134</definedName>
    <definedName name="_51PAGE_2" localSheetId="49">'Jan 18'!$A$62:$U$134</definedName>
    <definedName name="_51PAGE_2" localSheetId="53">'Jan 19'!$A$62:$U$134</definedName>
    <definedName name="_51PAGE_2" localSheetId="57">'Jan 20'!$A$62:$U$138</definedName>
    <definedName name="_51PAGE_2" localSheetId="35">'July 14'!$A$62:$U$134</definedName>
    <definedName name="_51PAGE_2" localSheetId="39">'July 15'!$A$62:$U$134</definedName>
    <definedName name="_51PAGE_2" localSheetId="43">'July 16'!$A$62:$U$134</definedName>
    <definedName name="_51PAGE_2" localSheetId="47">'July 17'!$A$62:$U$134</definedName>
    <definedName name="_51PAGE_2" localSheetId="51">'July 18'!$A$62:$U$134</definedName>
    <definedName name="_51PAGE_2" localSheetId="55">'July 19'!$A$62:$U$137</definedName>
    <definedName name="_51PAGE_2" localSheetId="36">'Oct 14'!$A$62:$U$134</definedName>
    <definedName name="_51PAGE_2" localSheetId="40">'Oct 15'!$A$62:$U$134</definedName>
    <definedName name="_51PAGE_2" localSheetId="44">'Oct 16'!$A$62:$U$134</definedName>
    <definedName name="_51PAGE_2" localSheetId="48">'Oct 17'!$A$62:$U$134</definedName>
    <definedName name="_51PAGE_2" localSheetId="52">'Oct 18'!$A$62:$U$134</definedName>
    <definedName name="_51PAGE_2" localSheetId="56">'Oct 19'!$A$62:$U$137</definedName>
    <definedName name="_52PAGE_2" localSheetId="3">'July 06'!$A$62:$U$132</definedName>
    <definedName name="_53PAGE_2" localSheetId="7">'July 07'!$A$62:$U$133</definedName>
    <definedName name="_54PAGE_2" localSheetId="11">'July 08'!$A$62:$U$134</definedName>
    <definedName name="_55PAGE_2" localSheetId="15">'July 09'!$A$62:$U$134</definedName>
    <definedName name="_56PAGE_2" localSheetId="19">'July 10'!$A$62:$U$133</definedName>
    <definedName name="_57PAGE_2" localSheetId="23">'July 11'!$A$62:$U$133</definedName>
    <definedName name="_58PAGE_2" localSheetId="27">'July 12'!$A$62:$U$133</definedName>
    <definedName name="_59PAGE_2" localSheetId="31">'July 13'!$A$62:$U$134</definedName>
    <definedName name="_5PAGE_1" localSheetId="18">'April 10'!$A$1:$U$61</definedName>
    <definedName name="_60PAGE_2" localSheetId="4">'Oct 06'!$A$62:$U$132</definedName>
    <definedName name="_61PAGE_2" localSheetId="8">'Oct 07'!$A$62:$U$133</definedName>
    <definedName name="_62PAGE_2" localSheetId="12">'Oct 08'!$A$62:$U$134</definedName>
    <definedName name="_63PAGE_2" localSheetId="16">'Oct 09'!$A$62:$U$134</definedName>
    <definedName name="_64PAGE_2" localSheetId="20">'Oct 10'!$A$62:$U$133</definedName>
    <definedName name="_65PAGE_2" localSheetId="24">'Oct 11'!$A$62:$U$133</definedName>
    <definedName name="_66PAGE_2" localSheetId="28">'Oct 12'!$A$62:$U$133</definedName>
    <definedName name="_67PAGE_2" localSheetId="32">'Oct 13'!$A$62:$U$134</definedName>
    <definedName name="_68PAGE_2">'Oct 05'!$A$62:$U$130</definedName>
    <definedName name="_69PAGE_3" localSheetId="2">'April 06'!$A$133:$U$192</definedName>
    <definedName name="_6PAGE_1" localSheetId="22">'April 11'!$A$1:$U$61</definedName>
    <definedName name="_70PAGE_3" localSheetId="6">'April 07'!$A$134:$U$193</definedName>
    <definedName name="_71PAGE_3" localSheetId="10">'April 08'!$A$135:$U$194</definedName>
    <definedName name="_72PAGE_3" localSheetId="14">'April 09'!$A$135:$U$194</definedName>
    <definedName name="_73PAGE_3" localSheetId="18">'April 10'!$A$135:$U$195</definedName>
    <definedName name="_74PAGE_3" localSheetId="22">'April 11'!$A$134:$U$194</definedName>
    <definedName name="_75PAGE_3" localSheetId="26">'April 12'!$A$134:$U$194</definedName>
    <definedName name="_76PAGE_3" localSheetId="30">'April 13'!$A$135:$U$195</definedName>
    <definedName name="_77PAGE_3" localSheetId="1">'Jan 06'!$A$133:$U$192</definedName>
    <definedName name="_78PAGE_3" localSheetId="5">'Jan 07'!$A$134:$U$193</definedName>
    <definedName name="_79PAGE_3" localSheetId="9">'Jan 08'!$A$135:$U$194</definedName>
    <definedName name="_7PAGE_1" localSheetId="26">'April 12'!$A$1:$U$61</definedName>
    <definedName name="_80PAGE_3" localSheetId="13">'Jan 09'!$A$135:$U$194</definedName>
    <definedName name="_81PAGE_3" localSheetId="17">'Jan 10'!$A$135:$U$195</definedName>
    <definedName name="_82PAGE_3" localSheetId="21">'Jan 11'!$A$134:$U$194</definedName>
    <definedName name="_83PAGE_3" localSheetId="25">'Jan 12'!$A$134:$U$194</definedName>
    <definedName name="_84PAGE_3" localSheetId="29">'Jan 13'!$A$135:$U$195</definedName>
    <definedName name="_85PAGE_3" localSheetId="34">'April 14'!$A$135:$U$195</definedName>
    <definedName name="_85PAGE_3" localSheetId="38">'April 15'!$A$135:$U$195</definedName>
    <definedName name="_85PAGE_3" localSheetId="42">'April 16'!$A$135:$U$195</definedName>
    <definedName name="_85PAGE_3" localSheetId="46">'April 17'!$A$135:$U$195</definedName>
    <definedName name="_85PAGE_3" localSheetId="50">'April 18'!$A$135:$U$195</definedName>
    <definedName name="_85PAGE_3" localSheetId="54">'April 19'!$A$135:$U$195</definedName>
    <definedName name="_85PAGE_3" localSheetId="33">'Jan 14'!$A$135:$U$195</definedName>
    <definedName name="_85PAGE_3" localSheetId="37">'Jan 15'!$A$135:$U$195</definedName>
    <definedName name="_85PAGE_3" localSheetId="41">'Jan 16'!$A$135:$U$195</definedName>
    <definedName name="_85PAGE_3" localSheetId="45">'Jan 17'!$A$135:$U$195</definedName>
    <definedName name="_85PAGE_3" localSheetId="49">'Jan 18'!$A$135:$U$195</definedName>
    <definedName name="_85PAGE_3" localSheetId="53">'Jan 19'!$A$135:$U$195</definedName>
    <definedName name="_85PAGE_3" localSheetId="57">'Jan 20'!$A$139:$U$199</definedName>
    <definedName name="_85PAGE_3" localSheetId="35">'July 14'!$A$135:$U$195</definedName>
    <definedName name="_85PAGE_3" localSheetId="39">'July 15'!$A$135:$U$195</definedName>
    <definedName name="_85PAGE_3" localSheetId="43">'July 16'!$A$135:$U$195</definedName>
    <definedName name="_85PAGE_3" localSheetId="47">'July 17'!$A$135:$U$195</definedName>
    <definedName name="_85PAGE_3" localSheetId="51">'July 18'!$A$135:$U$195</definedName>
    <definedName name="_85PAGE_3" localSheetId="55">'July 19'!$A$138:$U$198</definedName>
    <definedName name="_85PAGE_3" localSheetId="36">'Oct 14'!$A$135:$U$195</definedName>
    <definedName name="_85PAGE_3" localSheetId="40">'Oct 15'!$A$135:$U$195</definedName>
    <definedName name="_85PAGE_3" localSheetId="44">'Oct 16'!$A$135:$U$195</definedName>
    <definedName name="_85PAGE_3" localSheetId="48">'Oct 17'!$A$135:$U$195</definedName>
    <definedName name="_85PAGE_3" localSheetId="52">'Oct 18'!$A$135:$U$195</definedName>
    <definedName name="_85PAGE_3" localSheetId="56">'Oct 19'!$A$138:$U$198</definedName>
    <definedName name="_86PAGE_3" localSheetId="3">'July 06'!$A$133:$U$192</definedName>
    <definedName name="_87PAGE_3" localSheetId="7">'July 07'!$A$134:$U$193</definedName>
    <definedName name="_88PAGE_3" localSheetId="11">'July 08'!$A$135:$U$194</definedName>
    <definedName name="_89PAGE_3" localSheetId="15">'July 09'!$A$135:$U$194</definedName>
    <definedName name="_8PAGE_1" localSheetId="30">'April 13'!$A$1:$U$61</definedName>
    <definedName name="_90PAGE_3" localSheetId="19">'July 10'!$A$134:$U$194</definedName>
    <definedName name="_91PAGE_3" localSheetId="23">'July 11'!$A$134:$U$194</definedName>
    <definedName name="_92PAGE_3" localSheetId="27">'July 12'!$A$134:$U$194</definedName>
    <definedName name="_93PAGE_3" localSheetId="31">'July 13'!$A$135:$U$195</definedName>
    <definedName name="_94PAGE_3" localSheetId="4">'Oct 06'!$A$133:$U$192</definedName>
    <definedName name="_95PAGE_3" localSheetId="8">'Oct 07'!$A$134:$U$193</definedName>
    <definedName name="_96PAGE_3" localSheetId="12">'Oct 08'!$A$135:$U$194</definedName>
    <definedName name="_97PAGE_3" localSheetId="16">'Oct 09'!$A$135:$U$195</definedName>
    <definedName name="_98PAGE_3" localSheetId="20">'Oct 10'!$A$134:$U$194</definedName>
    <definedName name="_99PAGE_3" localSheetId="24">'Oct 11'!$A$134:$U$194</definedName>
    <definedName name="_9PAGE_1" localSheetId="1">'Jan 06'!$A$1:$U$61</definedName>
    <definedName name="_xlnm.Print_Area" localSheetId="2">'April 06'!$A$1:$V$275</definedName>
    <definedName name="_xlnm.Print_Area" localSheetId="6">'April 07'!$A$1:$V$276</definedName>
    <definedName name="_xlnm.Print_Area" localSheetId="10">'April 08'!$A$1:$V$278</definedName>
    <definedName name="_xlnm.Print_Area" localSheetId="14">'April 09'!$A$1:$V$278</definedName>
    <definedName name="_xlnm.Print_Area" localSheetId="18">'April 10'!$A$1:$V$279</definedName>
    <definedName name="_xlnm.Print_Area" localSheetId="22">'April 11'!$A$1:$V$290</definedName>
    <definedName name="_xlnm.Print_Area" localSheetId="26">'April 12'!$A$1:$V$290</definedName>
    <definedName name="_xlnm.Print_Area" localSheetId="30">'April 13'!$A$1:$V$291</definedName>
    <definedName name="_xlnm.Print_Area" localSheetId="34">'April 14'!$A$1:$V$291</definedName>
    <definedName name="_xlnm.Print_Area" localSheetId="38">'April 15'!$A$1:$U$291</definedName>
    <definedName name="_xlnm.Print_Area" localSheetId="42">'April 16'!$A$1:$U$291</definedName>
    <definedName name="_xlnm.Print_Area" localSheetId="46">'April 17'!$A$1:$U$290</definedName>
    <definedName name="_xlnm.Print_Area" localSheetId="50">'April 18'!$A$1:$U$290</definedName>
    <definedName name="_xlnm.Print_Area" localSheetId="54">'April 19'!$A$1:$U$290</definedName>
    <definedName name="_xlnm.Print_Area" localSheetId="1">'Jan 06'!$A$1:$V$275</definedName>
    <definedName name="_xlnm.Print_Area" localSheetId="5">'Jan 07'!$A$1:$V$276</definedName>
    <definedName name="_xlnm.Print_Area" localSheetId="9">'Jan 08'!$A$1:$V$278</definedName>
    <definedName name="_xlnm.Print_Area" localSheetId="13">'Jan 09'!$A$1:$V$278</definedName>
    <definedName name="_xlnm.Print_Area" localSheetId="17">'Jan 10'!$A$1:$V$279</definedName>
    <definedName name="_xlnm.Print_Area" localSheetId="21">'Jan 11'!$A$1:$V$290</definedName>
    <definedName name="_xlnm.Print_Area" localSheetId="25">'Jan 12'!$A$1:$V$290</definedName>
    <definedName name="_xlnm.Print_Area" localSheetId="29">'Jan 13'!$A$1:$V$291</definedName>
    <definedName name="_xlnm.Print_Area" localSheetId="33">'Jan 14'!$A$1:$V$291</definedName>
    <definedName name="_xlnm.Print_Area" localSheetId="37">'Jan 15'!$A$1:$U$291</definedName>
    <definedName name="_xlnm.Print_Area" localSheetId="41">'Jan 16'!$A$1:$U$291</definedName>
    <definedName name="_xlnm.Print_Area" localSheetId="45">'Jan 17'!$A$1:$U$290</definedName>
    <definedName name="_xlnm.Print_Area" localSheetId="49">'Jan 18'!$A$1:$U$290</definedName>
    <definedName name="_xlnm.Print_Area" localSheetId="53">'Jan 19'!$A$1:$U$290</definedName>
    <definedName name="_xlnm.Print_Area" localSheetId="57">'Jan 20'!$A$1:$U$294</definedName>
    <definedName name="_xlnm.Print_Area" localSheetId="3">'July 06'!$A$1:$V$275</definedName>
    <definedName name="_xlnm.Print_Area" localSheetId="7">'July 07'!$A$1:$V$277</definedName>
    <definedName name="_xlnm.Print_Area" localSheetId="11">'July 08'!$A$1:$V$278</definedName>
    <definedName name="_xlnm.Print_Area" localSheetId="15">'July 09'!$A$1:$V$278</definedName>
    <definedName name="_xlnm.Print_Area" localSheetId="19">'July 10'!$A$1:$V$290</definedName>
    <definedName name="_xlnm.Print_Area" localSheetId="23">'July 11'!$A$1:$V$290</definedName>
    <definedName name="_xlnm.Print_Area" localSheetId="27">'July 12'!$A$1:$V$290</definedName>
    <definedName name="_xlnm.Print_Area" localSheetId="31">'July 13'!$A$1:$V$291</definedName>
    <definedName name="_xlnm.Print_Area" localSheetId="35">'July 14'!$A$1:$U$291</definedName>
    <definedName name="_xlnm.Print_Area" localSheetId="39">'July 15'!$A$1:$U$291</definedName>
    <definedName name="_xlnm.Print_Area" localSheetId="43">'July 16'!$A$1:$U$291</definedName>
    <definedName name="_xlnm.Print_Area" localSheetId="47">'July 17'!$A$1:$U$290</definedName>
    <definedName name="_xlnm.Print_Area" localSheetId="51">'July 18'!$A$1:$U$290</definedName>
    <definedName name="_xlnm.Print_Area" localSheetId="55">'July 19'!$A$1:$U$293</definedName>
    <definedName name="_xlnm.Print_Area" localSheetId="0">'Oct 05'!$A$1:$V$269</definedName>
    <definedName name="_xlnm.Print_Area" localSheetId="4">'Oct 06'!$A$1:$V$275</definedName>
    <definedName name="_xlnm.Print_Area" localSheetId="8">'Oct 07'!$A$1:$V$277</definedName>
    <definedName name="_xlnm.Print_Area" localSheetId="12">'Oct 08'!$A$1:$V$278</definedName>
    <definedName name="_xlnm.Print_Area" localSheetId="16">'Oct 09'!$A$1:$V$279</definedName>
    <definedName name="_xlnm.Print_Area" localSheetId="20">'Oct 10'!$A$1:$V$290</definedName>
    <definedName name="_xlnm.Print_Area" localSheetId="24">'Oct 11'!$A$1:$V$290</definedName>
    <definedName name="_xlnm.Print_Area" localSheetId="28">'Oct 12'!$A$1:$V$290</definedName>
    <definedName name="_xlnm.Print_Area" localSheetId="32">'Oct 13'!$A$1:$V$291</definedName>
    <definedName name="_xlnm.Print_Area" localSheetId="36">'Oct 14'!$A$1:$U$291</definedName>
    <definedName name="_xlnm.Print_Area" localSheetId="40">'Oct 15'!$A$1:$U$291</definedName>
    <definedName name="_xlnm.Print_Area" localSheetId="44">'Oct 16'!$A$1:$U$291</definedName>
    <definedName name="_xlnm.Print_Area" localSheetId="48">'Oct 17'!$A$1:$U$290</definedName>
    <definedName name="_xlnm.Print_Area" localSheetId="52">'Oct 18'!$A$1:$U$290</definedName>
    <definedName name="_xlnm.Print_Area" localSheetId="56">'Oct 19'!$A$1:$U$293</definedName>
    <definedName name="_xlnm.Print_Area">'Oct 05'!$A$1:$U$61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120" i="58" l="1"/>
  <c r="T122" i="58" l="1"/>
  <c r="T48" i="58" l="1"/>
  <c r="T98" i="58" l="1"/>
  <c r="T94" i="58"/>
  <c r="T102" i="58"/>
  <c r="T88" i="58"/>
  <c r="T87" i="58"/>
  <c r="R86" i="58"/>
  <c r="N42" i="58" l="1"/>
  <c r="J42" i="58"/>
  <c r="D42" i="58"/>
  <c r="T93" i="58" l="1"/>
  <c r="R183" i="58" l="1"/>
  <c r="T183" i="58" s="1"/>
  <c r="Q183" i="58"/>
  <c r="Q185" i="58" s="1"/>
  <c r="S282" i="58"/>
  <c r="R282" i="58"/>
  <c r="Q282" i="58"/>
  <c r="P282" i="58"/>
  <c r="R270" i="58"/>
  <c r="P270" i="58"/>
  <c r="R258" i="58"/>
  <c r="P258" i="58"/>
  <c r="R244" i="58"/>
  <c r="P244" i="58"/>
  <c r="R243" i="58"/>
  <c r="P243" i="58"/>
  <c r="R242" i="58"/>
  <c r="P242" i="58"/>
  <c r="R241" i="58"/>
  <c r="P241" i="58"/>
  <c r="R240" i="58"/>
  <c r="P240" i="58"/>
  <c r="R239" i="58"/>
  <c r="P239" i="58"/>
  <c r="R238" i="58"/>
  <c r="P238" i="58"/>
  <c r="R237" i="58"/>
  <c r="P237" i="58"/>
  <c r="R224" i="58"/>
  <c r="R225" i="58" s="1"/>
  <c r="Q220" i="58"/>
  <c r="R203" i="58"/>
  <c r="R204" i="58" s="1"/>
  <c r="T184" i="58"/>
  <c r="T170" i="58"/>
  <c r="T168" i="58"/>
  <c r="T169" i="58" s="1"/>
  <c r="T171" i="58" s="1"/>
  <c r="T151" i="58"/>
  <c r="T142" i="58"/>
  <c r="B138" i="58"/>
  <c r="B199" i="58" s="1"/>
  <c r="B293" i="58" s="1"/>
  <c r="T134" i="58"/>
  <c r="R134" i="58"/>
  <c r="R126" i="58"/>
  <c r="R124" i="58"/>
  <c r="R114" i="58"/>
  <c r="A114" i="58"/>
  <c r="A115" i="58" s="1"/>
  <c r="A116" i="58" s="1"/>
  <c r="A117" i="58" s="1"/>
  <c r="A118" i="58" s="1"/>
  <c r="A119" i="58" s="1"/>
  <c r="A120" i="58" s="1"/>
  <c r="A121" i="58" s="1"/>
  <c r="A122" i="58" s="1"/>
  <c r="A101" i="58"/>
  <c r="A102" i="58" s="1"/>
  <c r="R96" i="58"/>
  <c r="T95" i="58"/>
  <c r="R94" i="58"/>
  <c r="R98" i="58" s="1"/>
  <c r="L84" i="58"/>
  <c r="L81" i="58"/>
  <c r="J81" i="58"/>
  <c r="T78" i="58"/>
  <c r="R68" i="58"/>
  <c r="P68" i="58"/>
  <c r="N68" i="58"/>
  <c r="L68" i="58"/>
  <c r="J68" i="58"/>
  <c r="T66" i="58"/>
  <c r="T65" i="58"/>
  <c r="T68" i="58" s="1"/>
  <c r="P55" i="58"/>
  <c r="P54" i="58"/>
  <c r="T50" i="58"/>
  <c r="N41" i="58"/>
  <c r="J41" i="58"/>
  <c r="D41" i="58"/>
  <c r="P34" i="58"/>
  <c r="N34" i="58"/>
  <c r="L34" i="58"/>
  <c r="J34" i="58"/>
  <c r="H34" i="58"/>
  <c r="F34" i="58"/>
  <c r="D34" i="58"/>
  <c r="P33" i="58"/>
  <c r="N33" i="58"/>
  <c r="L33" i="58"/>
  <c r="J33" i="58"/>
  <c r="H33" i="58"/>
  <c r="F33" i="58"/>
  <c r="D33" i="58"/>
  <c r="T33" i="58" s="1"/>
  <c r="T32" i="58"/>
  <c r="P31" i="58"/>
  <c r="N31" i="58"/>
  <c r="L31" i="58"/>
  <c r="J31" i="58"/>
  <c r="H31" i="58"/>
  <c r="F31" i="58"/>
  <c r="D31" i="58"/>
  <c r="P30" i="58"/>
  <c r="N30" i="58"/>
  <c r="L30" i="58"/>
  <c r="J30" i="58"/>
  <c r="H30" i="58"/>
  <c r="F30" i="58"/>
  <c r="D30" i="58"/>
  <c r="T34" i="58" l="1"/>
  <c r="R135" i="58"/>
  <c r="T41" i="58"/>
  <c r="R207" i="58" s="1"/>
  <c r="R246" i="58"/>
  <c r="Q258" i="58"/>
  <c r="R284" i="58"/>
  <c r="P246" i="58"/>
  <c r="Q219" i="58"/>
  <c r="P284" i="58"/>
  <c r="R185" i="58"/>
  <c r="T185" i="58" s="1"/>
  <c r="T135" i="58"/>
  <c r="T81" i="58"/>
  <c r="T178" i="58" s="1"/>
  <c r="T177" i="58"/>
  <c r="Q186" i="58"/>
  <c r="R219" i="58"/>
  <c r="R220" i="58"/>
  <c r="T171" i="57"/>
  <c r="R133" i="57"/>
  <c r="S258" i="58" l="1"/>
  <c r="Q270" i="58"/>
  <c r="S270" i="58"/>
  <c r="S246" i="58"/>
  <c r="T101" i="57"/>
  <c r="T88" i="57"/>
  <c r="T87" i="57"/>
  <c r="R86" i="57"/>
  <c r="Q246" i="58" l="1"/>
  <c r="N42" i="57"/>
  <c r="J42" i="57"/>
  <c r="D42" i="57"/>
  <c r="R182" i="57" l="1"/>
  <c r="Q182" i="57"/>
  <c r="S281" i="57"/>
  <c r="R281" i="57"/>
  <c r="Q281" i="57"/>
  <c r="P281" i="57"/>
  <c r="Q219" i="57" s="1"/>
  <c r="R269" i="57"/>
  <c r="S264" i="57" s="1"/>
  <c r="P269" i="57"/>
  <c r="Q267" i="57" s="1"/>
  <c r="R257" i="57"/>
  <c r="S254" i="57" s="1"/>
  <c r="P257" i="57"/>
  <c r="Q255" i="57" s="1"/>
  <c r="R243" i="57"/>
  <c r="P243" i="57"/>
  <c r="R242" i="57"/>
  <c r="P242" i="57"/>
  <c r="R241" i="57"/>
  <c r="P241" i="57"/>
  <c r="R240" i="57"/>
  <c r="P240" i="57"/>
  <c r="R239" i="57"/>
  <c r="P239" i="57"/>
  <c r="R238" i="57"/>
  <c r="P238" i="57"/>
  <c r="R237" i="57"/>
  <c r="P237" i="57"/>
  <c r="R236" i="57"/>
  <c r="P236" i="57"/>
  <c r="Q218" i="57"/>
  <c r="R213" i="57"/>
  <c r="R202" i="57"/>
  <c r="R203" i="57" s="1"/>
  <c r="T183" i="57"/>
  <c r="R184" i="57"/>
  <c r="T169" i="57"/>
  <c r="T167" i="57"/>
  <c r="R223" i="57" s="1"/>
  <c r="R224" i="57" s="1"/>
  <c r="T150" i="57"/>
  <c r="B137" i="57"/>
  <c r="B198" i="57" s="1"/>
  <c r="B292" i="57" s="1"/>
  <c r="T133" i="57"/>
  <c r="R125" i="57"/>
  <c r="R123" i="57"/>
  <c r="R113" i="57"/>
  <c r="A113" i="57"/>
  <c r="A114" i="57" s="1"/>
  <c r="A115" i="57" s="1"/>
  <c r="A116" i="57" s="1"/>
  <c r="A117" i="57" s="1"/>
  <c r="A118" i="57" s="1"/>
  <c r="A119" i="57" s="1"/>
  <c r="A120" i="57" s="1"/>
  <c r="A121" i="57" s="1"/>
  <c r="A100" i="57"/>
  <c r="A101" i="57" s="1"/>
  <c r="R95" i="57"/>
  <c r="T94" i="57"/>
  <c r="T93" i="57"/>
  <c r="T97" i="57" s="1"/>
  <c r="R93" i="57"/>
  <c r="R97" i="57" s="1"/>
  <c r="L84" i="57"/>
  <c r="L81" i="57"/>
  <c r="J81" i="57"/>
  <c r="T78" i="57"/>
  <c r="R68" i="57"/>
  <c r="P68" i="57"/>
  <c r="N68" i="57"/>
  <c r="L68" i="57"/>
  <c r="J68" i="57"/>
  <c r="T66" i="57"/>
  <c r="T65" i="57"/>
  <c r="T68" i="57" s="1"/>
  <c r="P55" i="57"/>
  <c r="P54" i="57"/>
  <c r="T50" i="57"/>
  <c r="T48" i="57"/>
  <c r="N41" i="57"/>
  <c r="J41" i="57"/>
  <c r="D41" i="57"/>
  <c r="P34" i="57"/>
  <c r="N34" i="57"/>
  <c r="L34" i="57"/>
  <c r="J34" i="57"/>
  <c r="H34" i="57"/>
  <c r="F34" i="57"/>
  <c r="D34" i="57"/>
  <c r="P33" i="57"/>
  <c r="N33" i="57"/>
  <c r="L33" i="57"/>
  <c r="J33" i="57"/>
  <c r="H33" i="57"/>
  <c r="F33" i="57"/>
  <c r="D33" i="57"/>
  <c r="T32" i="57"/>
  <c r="T141" i="57" s="1"/>
  <c r="P31" i="57"/>
  <c r="N31" i="57"/>
  <c r="L31" i="57"/>
  <c r="J31" i="57"/>
  <c r="H31" i="57"/>
  <c r="F31" i="57"/>
  <c r="D31" i="57"/>
  <c r="P30" i="57"/>
  <c r="N30" i="57"/>
  <c r="L30" i="57"/>
  <c r="J30" i="57"/>
  <c r="H30" i="57"/>
  <c r="F30" i="57"/>
  <c r="D30" i="57"/>
  <c r="R134" i="57" l="1"/>
  <c r="T168" i="57"/>
  <c r="T170" i="57" s="1"/>
  <c r="T49" i="57"/>
  <c r="T34" i="57"/>
  <c r="T33" i="57"/>
  <c r="T41" i="57" s="1"/>
  <c r="R205" i="57" s="1"/>
  <c r="R206" i="57" s="1"/>
  <c r="Q262" i="57"/>
  <c r="S265" i="57"/>
  <c r="S262" i="57"/>
  <c r="S266" i="57"/>
  <c r="R218" i="57"/>
  <c r="S260" i="57"/>
  <c r="S263" i="57"/>
  <c r="S267" i="57"/>
  <c r="S261" i="57"/>
  <c r="Q266" i="57"/>
  <c r="Q260" i="57"/>
  <c r="Q264" i="57"/>
  <c r="Q261" i="57"/>
  <c r="Q263" i="57"/>
  <c r="Q265" i="57"/>
  <c r="S250" i="57"/>
  <c r="S252" i="57"/>
  <c r="S248" i="57"/>
  <c r="S253" i="57"/>
  <c r="R245" i="57"/>
  <c r="S238" i="57" s="1"/>
  <c r="S249" i="57"/>
  <c r="S255" i="57"/>
  <c r="S251" i="57"/>
  <c r="R283" i="57"/>
  <c r="Q249" i="57"/>
  <c r="Q251" i="57"/>
  <c r="Q253" i="57"/>
  <c r="Q248" i="57"/>
  <c r="Q250" i="57"/>
  <c r="Q252" i="57"/>
  <c r="Q254" i="57"/>
  <c r="R219" i="57"/>
  <c r="P283" i="57"/>
  <c r="T182" i="57"/>
  <c r="T193" i="57"/>
  <c r="T134" i="57"/>
  <c r="T191" i="57"/>
  <c r="R207" i="57"/>
  <c r="T189" i="57"/>
  <c r="T176" i="57"/>
  <c r="T81" i="57"/>
  <c r="T177" i="57" s="1"/>
  <c r="Q184" i="57"/>
  <c r="P245" i="57"/>
  <c r="Q242" i="57" s="1"/>
  <c r="T134" i="56"/>
  <c r="T133" i="56"/>
  <c r="A121" i="56"/>
  <c r="S269" i="57" l="1"/>
  <c r="S236" i="57"/>
  <c r="S242" i="57"/>
  <c r="S240" i="57"/>
  <c r="S243" i="57"/>
  <c r="Q269" i="57"/>
  <c r="S241" i="57"/>
  <c r="S257" i="57"/>
  <c r="S237" i="57"/>
  <c r="S239" i="57"/>
  <c r="Q257" i="57"/>
  <c r="Q241" i="57"/>
  <c r="Q236" i="57"/>
  <c r="Q243" i="57"/>
  <c r="Q240" i="57"/>
  <c r="Q237" i="57"/>
  <c r="Q238" i="57"/>
  <c r="T184" i="57"/>
  <c r="Q185" i="57"/>
  <c r="Q239" i="57"/>
  <c r="T101" i="56"/>
  <c r="T88" i="56"/>
  <c r="T87" i="56"/>
  <c r="R86" i="56"/>
  <c r="N42" i="56"/>
  <c r="J42" i="56"/>
  <c r="D42" i="56"/>
  <c r="S245" i="57" l="1"/>
  <c r="Q245" i="57"/>
  <c r="S281" i="56"/>
  <c r="R281" i="56"/>
  <c r="R219" i="56" s="1"/>
  <c r="Q281" i="56"/>
  <c r="P281" i="56"/>
  <c r="Q219" i="56" s="1"/>
  <c r="R269" i="56"/>
  <c r="S267" i="56" s="1"/>
  <c r="P269" i="56"/>
  <c r="Q266" i="56" s="1"/>
  <c r="R257" i="56"/>
  <c r="S255" i="56" s="1"/>
  <c r="P257" i="56"/>
  <c r="Q250" i="56" s="1"/>
  <c r="R243" i="56"/>
  <c r="P243" i="56"/>
  <c r="R242" i="56"/>
  <c r="P242" i="56"/>
  <c r="R241" i="56"/>
  <c r="P241" i="56"/>
  <c r="R240" i="56"/>
  <c r="P240" i="56"/>
  <c r="R239" i="56"/>
  <c r="P239" i="56"/>
  <c r="R238" i="56"/>
  <c r="P238" i="56"/>
  <c r="R237" i="56"/>
  <c r="P237" i="56"/>
  <c r="R236" i="56"/>
  <c r="P236" i="56"/>
  <c r="R213" i="56"/>
  <c r="T183" i="56"/>
  <c r="T169" i="56"/>
  <c r="T167" i="56"/>
  <c r="R223" i="56" s="1"/>
  <c r="T150" i="56"/>
  <c r="B137" i="56"/>
  <c r="B198" i="56" s="1"/>
  <c r="B292" i="56" s="1"/>
  <c r="R125" i="56"/>
  <c r="R123" i="56"/>
  <c r="R133" i="56" s="1"/>
  <c r="R113" i="56"/>
  <c r="A113" i="56"/>
  <c r="A114" i="56" s="1"/>
  <c r="A115" i="56" s="1"/>
  <c r="A116" i="56" s="1"/>
  <c r="A117" i="56" s="1"/>
  <c r="A100" i="56"/>
  <c r="A101" i="56" s="1"/>
  <c r="R95" i="56"/>
  <c r="T94" i="56"/>
  <c r="R93" i="56"/>
  <c r="R97" i="56" s="1"/>
  <c r="L84" i="56"/>
  <c r="T78" i="56"/>
  <c r="R68" i="56"/>
  <c r="P68" i="56"/>
  <c r="N68" i="56"/>
  <c r="L68" i="56"/>
  <c r="L81" i="56" s="1"/>
  <c r="J68" i="56"/>
  <c r="J81" i="56" s="1"/>
  <c r="T66" i="56"/>
  <c r="T65" i="56"/>
  <c r="P55" i="56"/>
  <c r="P54" i="56"/>
  <c r="T48" i="56"/>
  <c r="N41" i="56"/>
  <c r="J41" i="56"/>
  <c r="D41" i="56"/>
  <c r="P34" i="56"/>
  <c r="N34" i="56"/>
  <c r="L34" i="56"/>
  <c r="J34" i="56"/>
  <c r="H34" i="56"/>
  <c r="F34" i="56"/>
  <c r="D34" i="56"/>
  <c r="P33" i="56"/>
  <c r="N33" i="56"/>
  <c r="L33" i="56"/>
  <c r="J33" i="56"/>
  <c r="H33" i="56"/>
  <c r="F33" i="56"/>
  <c r="D33" i="56"/>
  <c r="T32" i="56"/>
  <c r="T50" i="56" s="1"/>
  <c r="P31" i="56"/>
  <c r="N31" i="56"/>
  <c r="L31" i="56"/>
  <c r="J31" i="56"/>
  <c r="H31" i="56"/>
  <c r="F31" i="56"/>
  <c r="D31" i="56"/>
  <c r="P30" i="56"/>
  <c r="N30" i="56"/>
  <c r="L30" i="56"/>
  <c r="J30" i="56"/>
  <c r="H30" i="56"/>
  <c r="F30" i="56"/>
  <c r="D30" i="56"/>
  <c r="R134" i="56" l="1"/>
  <c r="R218" i="56"/>
  <c r="S260" i="56"/>
  <c r="S263" i="56"/>
  <c r="Q218" i="56"/>
  <c r="S248" i="56"/>
  <c r="Q253" i="56"/>
  <c r="S253" i="56"/>
  <c r="Q265" i="56"/>
  <c r="T49" i="56"/>
  <c r="S250" i="56"/>
  <c r="S254" i="56"/>
  <c r="Q262" i="56"/>
  <c r="S265" i="56"/>
  <c r="T68" i="56"/>
  <c r="T176" i="56" s="1"/>
  <c r="S251" i="56"/>
  <c r="P283" i="56"/>
  <c r="S262" i="56"/>
  <c r="S266" i="56"/>
  <c r="Q249" i="56"/>
  <c r="Q252" i="56"/>
  <c r="Q255" i="56"/>
  <c r="Q261" i="56"/>
  <c r="Q264" i="56"/>
  <c r="Q267" i="56"/>
  <c r="R283" i="56"/>
  <c r="T93" i="56"/>
  <c r="T97" i="56" s="1"/>
  <c r="T193" i="56" s="1"/>
  <c r="R245" i="56"/>
  <c r="S242" i="56" s="1"/>
  <c r="S249" i="56"/>
  <c r="S252" i="56"/>
  <c r="S261" i="56"/>
  <c r="S264" i="56"/>
  <c r="T168" i="56"/>
  <c r="T170" i="56" s="1"/>
  <c r="T33" i="56"/>
  <c r="T41" i="56" s="1"/>
  <c r="R205" i="56" s="1"/>
  <c r="R206" i="56" s="1"/>
  <c r="Q248" i="56"/>
  <c r="Q251" i="56"/>
  <c r="Q254" i="56"/>
  <c r="Q260" i="56"/>
  <c r="Q263" i="56"/>
  <c r="A118" i="56"/>
  <c r="A119" i="56" s="1"/>
  <c r="A120" i="56" s="1"/>
  <c r="T34" i="56"/>
  <c r="T141" i="56"/>
  <c r="P245" i="56"/>
  <c r="Q238" i="56" s="1"/>
  <c r="T101" i="55"/>
  <c r="T88" i="55"/>
  <c r="T87" i="55"/>
  <c r="R86" i="55"/>
  <c r="T189" i="56" l="1"/>
  <c r="R207" i="56"/>
  <c r="T191" i="56"/>
  <c r="S243" i="56"/>
  <c r="S237" i="56"/>
  <c r="S257" i="56"/>
  <c r="T81" i="56"/>
  <c r="T177" i="56" s="1"/>
  <c r="Q257" i="56"/>
  <c r="S241" i="56"/>
  <c r="S236" i="56"/>
  <c r="Q269" i="56"/>
  <c r="S238" i="56"/>
  <c r="S239" i="56"/>
  <c r="S269" i="56"/>
  <c r="S240" i="56"/>
  <c r="Q236" i="56"/>
  <c r="Q241" i="56"/>
  <c r="Q243" i="56"/>
  <c r="Q242" i="56"/>
  <c r="Q240" i="56"/>
  <c r="Q237" i="56"/>
  <c r="Q239" i="56"/>
  <c r="N42" i="55"/>
  <c r="J42" i="55"/>
  <c r="D42" i="55"/>
  <c r="S245" i="56" l="1"/>
  <c r="Q245" i="56"/>
  <c r="S278" i="55"/>
  <c r="R278" i="55"/>
  <c r="R216" i="55" s="1"/>
  <c r="Q278" i="55"/>
  <c r="P278" i="55"/>
  <c r="R266" i="55"/>
  <c r="S263" i="55" s="1"/>
  <c r="P266" i="55"/>
  <c r="Q264" i="55" s="1"/>
  <c r="R254" i="55"/>
  <c r="S252" i="55" s="1"/>
  <c r="P254" i="55"/>
  <c r="Q252" i="55" s="1"/>
  <c r="R240" i="55"/>
  <c r="P240" i="55"/>
  <c r="R239" i="55"/>
  <c r="P239" i="55"/>
  <c r="R238" i="55"/>
  <c r="P238" i="55"/>
  <c r="R237" i="55"/>
  <c r="P237" i="55"/>
  <c r="R236" i="55"/>
  <c r="P236" i="55"/>
  <c r="R235" i="55"/>
  <c r="P235" i="55"/>
  <c r="R234" i="55"/>
  <c r="P234" i="55"/>
  <c r="R233" i="55"/>
  <c r="P233" i="55"/>
  <c r="Q216" i="55"/>
  <c r="Q215" i="55"/>
  <c r="R210" i="55"/>
  <c r="T180" i="55"/>
  <c r="T166" i="55"/>
  <c r="T164" i="55"/>
  <c r="R220" i="55" s="1"/>
  <c r="T147" i="55"/>
  <c r="B134" i="55"/>
  <c r="B195" i="55" s="1"/>
  <c r="B289" i="55" s="1"/>
  <c r="R122" i="55"/>
  <c r="R120" i="55"/>
  <c r="R130" i="55" s="1"/>
  <c r="R113" i="55"/>
  <c r="A113" i="55"/>
  <c r="A114" i="55" s="1"/>
  <c r="A115" i="55" s="1"/>
  <c r="A116" i="55" s="1"/>
  <c r="A117" i="55" s="1"/>
  <c r="A118" i="55" s="1"/>
  <c r="A100" i="55"/>
  <c r="A101" i="55" s="1"/>
  <c r="R95" i="55"/>
  <c r="T94" i="55"/>
  <c r="R93" i="55"/>
  <c r="T93" i="55"/>
  <c r="L84" i="55"/>
  <c r="T78" i="55"/>
  <c r="R68" i="55"/>
  <c r="P68" i="55"/>
  <c r="N68" i="55"/>
  <c r="L68" i="55"/>
  <c r="L81" i="55" s="1"/>
  <c r="J68" i="55"/>
  <c r="J81" i="55" s="1"/>
  <c r="T66" i="55"/>
  <c r="T65" i="55"/>
  <c r="P55" i="55"/>
  <c r="P54" i="55"/>
  <c r="T48" i="55"/>
  <c r="N41" i="55"/>
  <c r="J41" i="55"/>
  <c r="D41" i="55"/>
  <c r="P34" i="55"/>
  <c r="N34" i="55"/>
  <c r="L34" i="55"/>
  <c r="J34" i="55"/>
  <c r="H34" i="55"/>
  <c r="F34" i="55"/>
  <c r="D34" i="55"/>
  <c r="P33" i="55"/>
  <c r="N33" i="55"/>
  <c r="L33" i="55"/>
  <c r="J33" i="55"/>
  <c r="H33" i="55"/>
  <c r="F33" i="55"/>
  <c r="D33" i="55"/>
  <c r="T32" i="55"/>
  <c r="T50" i="55" s="1"/>
  <c r="P31" i="55"/>
  <c r="N31" i="55"/>
  <c r="L31" i="55"/>
  <c r="J31" i="55"/>
  <c r="H31" i="55"/>
  <c r="F31" i="55"/>
  <c r="D31" i="55"/>
  <c r="P30" i="55"/>
  <c r="N30" i="55"/>
  <c r="L30" i="55"/>
  <c r="J30" i="55"/>
  <c r="H30" i="55"/>
  <c r="F30" i="55"/>
  <c r="D30" i="55"/>
  <c r="Q257" i="55" l="1"/>
  <c r="Q261" i="55"/>
  <c r="T68" i="55"/>
  <c r="Q263" i="55"/>
  <c r="T138" i="55"/>
  <c r="T97" i="55"/>
  <c r="R97" i="55"/>
  <c r="R131" i="55"/>
  <c r="T34" i="55"/>
  <c r="T49" i="55"/>
  <c r="T33" i="55"/>
  <c r="T41" i="55" s="1"/>
  <c r="R202" i="55" s="1"/>
  <c r="R203" i="55" s="1"/>
  <c r="R215" i="55"/>
  <c r="S262" i="55"/>
  <c r="S259" i="55"/>
  <c r="S260" i="55"/>
  <c r="S264" i="55"/>
  <c r="S258" i="55"/>
  <c r="S261" i="55"/>
  <c r="S257" i="55"/>
  <c r="Q259" i="55"/>
  <c r="S249" i="55"/>
  <c r="S245" i="55"/>
  <c r="R242" i="55"/>
  <c r="S237" i="55" s="1"/>
  <c r="S246" i="55"/>
  <c r="S251" i="55"/>
  <c r="S247" i="55"/>
  <c r="S250" i="55"/>
  <c r="R280" i="55"/>
  <c r="S248" i="55"/>
  <c r="Q245" i="55"/>
  <c r="Q247" i="55"/>
  <c r="Q251" i="55"/>
  <c r="Q249" i="55"/>
  <c r="T173" i="55"/>
  <c r="T81" i="55"/>
  <c r="T174" i="55" s="1"/>
  <c r="T190" i="55"/>
  <c r="T188" i="55"/>
  <c r="R204" i="55"/>
  <c r="T186" i="55"/>
  <c r="T118" i="55"/>
  <c r="T130" i="55" s="1"/>
  <c r="T131" i="55" s="1"/>
  <c r="P242" i="55"/>
  <c r="Q234" i="55" s="1"/>
  <c r="P280" i="55"/>
  <c r="T165" i="55"/>
  <c r="T167" i="55" s="1"/>
  <c r="Q246" i="55"/>
  <c r="Q248" i="55"/>
  <c r="Q250" i="55"/>
  <c r="Q258" i="55"/>
  <c r="Q260" i="55"/>
  <c r="Q262" i="55"/>
  <c r="T168" i="54"/>
  <c r="S254" i="55" l="1"/>
  <c r="S239" i="55"/>
  <c r="S266" i="55"/>
  <c r="S240" i="55"/>
  <c r="S233" i="55"/>
  <c r="S234" i="55"/>
  <c r="Q266" i="55"/>
  <c r="S235" i="55"/>
  <c r="S236" i="55"/>
  <c r="S238" i="55"/>
  <c r="Q239" i="55"/>
  <c r="Q238" i="55"/>
  <c r="Q236" i="55"/>
  <c r="Q237" i="55"/>
  <c r="Q254" i="55"/>
  <c r="Q235" i="55"/>
  <c r="Q240" i="55"/>
  <c r="Q233" i="55"/>
  <c r="T101" i="54"/>
  <c r="T88" i="54"/>
  <c r="T87" i="54"/>
  <c r="R86" i="54"/>
  <c r="S242" i="55" l="1"/>
  <c r="Q242" i="55"/>
  <c r="N42" i="54"/>
  <c r="J42" i="54"/>
  <c r="D42" i="54"/>
  <c r="S278" i="54" l="1"/>
  <c r="R278" i="54"/>
  <c r="R216" i="54" s="1"/>
  <c r="Q278" i="54"/>
  <c r="P278" i="54"/>
  <c r="Q216" i="54" s="1"/>
  <c r="R266" i="54"/>
  <c r="S264" i="54" s="1"/>
  <c r="P266" i="54"/>
  <c r="Q264" i="54" s="1"/>
  <c r="S263" i="54"/>
  <c r="S261" i="54"/>
  <c r="S259" i="54"/>
  <c r="Q259" i="54"/>
  <c r="S257" i="54"/>
  <c r="R254" i="54"/>
  <c r="S249" i="54" s="1"/>
  <c r="P254" i="54"/>
  <c r="Q251" i="54" s="1"/>
  <c r="Q250" i="54"/>
  <c r="Q248" i="54"/>
  <c r="Q246" i="54"/>
  <c r="R240" i="54"/>
  <c r="P240" i="54"/>
  <c r="R239" i="54"/>
  <c r="P239" i="54"/>
  <c r="R238" i="54"/>
  <c r="P238" i="54"/>
  <c r="R237" i="54"/>
  <c r="P237" i="54"/>
  <c r="R236" i="54"/>
  <c r="P236" i="54"/>
  <c r="R235" i="54"/>
  <c r="P235" i="54"/>
  <c r="R234" i="54"/>
  <c r="P234" i="54"/>
  <c r="R233" i="54"/>
  <c r="P233" i="54"/>
  <c r="R215" i="54"/>
  <c r="Q215" i="54"/>
  <c r="T180" i="54"/>
  <c r="T166" i="54"/>
  <c r="T164" i="54"/>
  <c r="R220" i="54" s="1"/>
  <c r="T147" i="54"/>
  <c r="B134" i="54"/>
  <c r="B195" i="54" s="1"/>
  <c r="B289" i="54" s="1"/>
  <c r="R122" i="54"/>
  <c r="R120" i="54"/>
  <c r="R130" i="54" s="1"/>
  <c r="R113" i="54"/>
  <c r="A113" i="54"/>
  <c r="A114" i="54" s="1"/>
  <c r="A115" i="54" s="1"/>
  <c r="A116" i="54" s="1"/>
  <c r="A117" i="54" s="1"/>
  <c r="A118" i="54" s="1"/>
  <c r="A100" i="54"/>
  <c r="A101" i="54" s="1"/>
  <c r="R95" i="54"/>
  <c r="T94" i="54"/>
  <c r="T93" i="54"/>
  <c r="R93" i="54"/>
  <c r="L84" i="54"/>
  <c r="T78" i="54"/>
  <c r="R68" i="54"/>
  <c r="P68" i="54"/>
  <c r="L68" i="54"/>
  <c r="L81" i="54" s="1"/>
  <c r="J68" i="54"/>
  <c r="J81" i="54" s="1"/>
  <c r="T66" i="54"/>
  <c r="N68" i="54"/>
  <c r="P55" i="54"/>
  <c r="P54" i="54"/>
  <c r="T48" i="54"/>
  <c r="N41" i="54"/>
  <c r="J41" i="54"/>
  <c r="D41" i="54"/>
  <c r="P34" i="54"/>
  <c r="N34" i="54"/>
  <c r="L34" i="54"/>
  <c r="J34" i="54"/>
  <c r="H34" i="54"/>
  <c r="F34" i="54"/>
  <c r="D34" i="54"/>
  <c r="P33" i="54"/>
  <c r="N33" i="54"/>
  <c r="L33" i="54"/>
  <c r="J33" i="54"/>
  <c r="H33" i="54"/>
  <c r="F33" i="54"/>
  <c r="D33" i="54"/>
  <c r="T32" i="54"/>
  <c r="T138" i="54" s="1"/>
  <c r="P31" i="54"/>
  <c r="N31" i="54"/>
  <c r="L31" i="54"/>
  <c r="J31" i="54"/>
  <c r="H31" i="54"/>
  <c r="F31" i="54"/>
  <c r="D31" i="54"/>
  <c r="P30" i="54"/>
  <c r="N30" i="54"/>
  <c r="L30" i="54"/>
  <c r="J30" i="54"/>
  <c r="H30" i="54"/>
  <c r="F30" i="54"/>
  <c r="D30" i="54"/>
  <c r="Q252" i="54" l="1"/>
  <c r="S247" i="54"/>
  <c r="S245" i="54"/>
  <c r="S250" i="54"/>
  <c r="S248" i="54"/>
  <c r="S246" i="54"/>
  <c r="T33" i="54"/>
  <c r="T41" i="54" s="1"/>
  <c r="R202" i="54" s="1"/>
  <c r="R203" i="54" s="1"/>
  <c r="T97" i="54"/>
  <c r="Q245" i="54"/>
  <c r="Q247" i="54"/>
  <c r="Q249" i="54"/>
  <c r="Q257" i="54"/>
  <c r="Q261" i="54"/>
  <c r="Q263" i="54"/>
  <c r="R97" i="54"/>
  <c r="R131" i="54" s="1"/>
  <c r="P280" i="54"/>
  <c r="Q258" i="54"/>
  <c r="Q260" i="54"/>
  <c r="Q262" i="54"/>
  <c r="R280" i="54"/>
  <c r="S258" i="54"/>
  <c r="S260" i="54"/>
  <c r="S262" i="54"/>
  <c r="T165" i="54"/>
  <c r="T167" i="54" s="1"/>
  <c r="T34" i="54"/>
  <c r="T49" i="54"/>
  <c r="R242" i="54"/>
  <c r="S240" i="54" s="1"/>
  <c r="S251" i="54"/>
  <c r="S252" i="54"/>
  <c r="P242" i="54"/>
  <c r="Q240" i="54" s="1"/>
  <c r="S237" i="54"/>
  <c r="S236" i="54"/>
  <c r="Q236" i="54"/>
  <c r="Q235" i="54"/>
  <c r="R210" i="54"/>
  <c r="T50" i="54"/>
  <c r="T65" i="54"/>
  <c r="T68" i="54" s="1"/>
  <c r="T101" i="53"/>
  <c r="T88" i="53"/>
  <c r="T87" i="53"/>
  <c r="R86" i="53"/>
  <c r="R93" i="53" s="1"/>
  <c r="N65" i="53"/>
  <c r="N42" i="53"/>
  <c r="J42" i="53"/>
  <c r="D42" i="53"/>
  <c r="R214" i="1"/>
  <c r="R215" i="1" s="1"/>
  <c r="R217" i="2"/>
  <c r="R217" i="3"/>
  <c r="R217" i="4"/>
  <c r="T162" i="5"/>
  <c r="T163" i="6"/>
  <c r="R218" i="6" s="1"/>
  <c r="T163" i="7"/>
  <c r="R218" i="7" s="1"/>
  <c r="T163" i="8"/>
  <c r="R218" i="8" s="1"/>
  <c r="T163" i="9"/>
  <c r="R218" i="9" s="1"/>
  <c r="T164" i="10"/>
  <c r="R219" i="10" s="1"/>
  <c r="T164" i="11"/>
  <c r="R219" i="11" s="1"/>
  <c r="T164" i="12"/>
  <c r="R219" i="12" s="1"/>
  <c r="T164" i="13"/>
  <c r="R219" i="13" s="1"/>
  <c r="T164" i="14"/>
  <c r="R219" i="14" s="1"/>
  <c r="T164" i="15"/>
  <c r="R219" i="15" s="1"/>
  <c r="T164" i="16"/>
  <c r="T164" i="17"/>
  <c r="R220" i="17" s="1"/>
  <c r="T164" i="18"/>
  <c r="R220" i="18" s="1"/>
  <c r="T164" i="19"/>
  <c r="R220" i="19" s="1"/>
  <c r="T163" i="20"/>
  <c r="R219" i="20" s="1"/>
  <c r="T163" i="21"/>
  <c r="R219" i="21" s="1"/>
  <c r="T163" i="22"/>
  <c r="R219" i="22" s="1"/>
  <c r="T163" i="23"/>
  <c r="T163" i="24"/>
  <c r="R219" i="24" s="1"/>
  <c r="T163" i="25"/>
  <c r="R219" i="25" s="1"/>
  <c r="T163" i="26"/>
  <c r="R219" i="26" s="1"/>
  <c r="T163" i="27"/>
  <c r="R219" i="27" s="1"/>
  <c r="T163" i="28"/>
  <c r="R219" i="28" s="1"/>
  <c r="T163" i="29"/>
  <c r="R219" i="29" s="1"/>
  <c r="T164" i="30"/>
  <c r="R220" i="30" s="1"/>
  <c r="T164" i="31"/>
  <c r="R220" i="31" s="1"/>
  <c r="T164" i="32"/>
  <c r="R220" i="32" s="1"/>
  <c r="T164" i="33"/>
  <c r="R220" i="33" s="1"/>
  <c r="T164" i="34"/>
  <c r="R220" i="34" s="1"/>
  <c r="T164" i="35"/>
  <c r="T164" i="36"/>
  <c r="R220" i="36" s="1"/>
  <c r="T164" i="37"/>
  <c r="R220" i="37" s="1"/>
  <c r="T164" i="38"/>
  <c r="R220" i="38" s="1"/>
  <c r="T164" i="39"/>
  <c r="T164" i="40"/>
  <c r="R220" i="40" s="1"/>
  <c r="T164" i="41"/>
  <c r="R220" i="41" s="1"/>
  <c r="T164" i="42"/>
  <c r="T164" i="43"/>
  <c r="T164" i="44"/>
  <c r="R220" i="44" s="1"/>
  <c r="T164" i="45"/>
  <c r="T164" i="46"/>
  <c r="R220" i="46" s="1"/>
  <c r="T164" i="47"/>
  <c r="T164" i="48"/>
  <c r="R220" i="48" s="1"/>
  <c r="T164" i="49"/>
  <c r="R220" i="49" s="1"/>
  <c r="T164" i="50"/>
  <c r="T164" i="51"/>
  <c r="T164" i="52"/>
  <c r="R220" i="52" s="1"/>
  <c r="T164" i="53"/>
  <c r="R175" i="1"/>
  <c r="R176" i="2" s="1"/>
  <c r="R178" i="2" s="1"/>
  <c r="R176" i="3" s="1"/>
  <c r="R178" i="3" s="1"/>
  <c r="R176" i="4" s="1"/>
  <c r="R178" i="4" s="1"/>
  <c r="R176" i="5" s="1"/>
  <c r="R178" i="5" s="1"/>
  <c r="R177" i="6" s="1"/>
  <c r="R179" i="6" s="1"/>
  <c r="R177" i="7" s="1"/>
  <c r="R179" i="7" s="1"/>
  <c r="R177" i="8" s="1"/>
  <c r="R179" i="8" s="1"/>
  <c r="R177" i="9" s="1"/>
  <c r="R179" i="9" s="1"/>
  <c r="R178" i="10" s="1"/>
  <c r="R180" i="10" s="1"/>
  <c r="R178" i="11" s="1"/>
  <c r="R180" i="11" s="1"/>
  <c r="R178" i="12" s="1"/>
  <c r="R180" i="12" s="1"/>
  <c r="R178" i="13" s="1"/>
  <c r="R180" i="13" s="1"/>
  <c r="R178" i="14" s="1"/>
  <c r="R180" i="14" s="1"/>
  <c r="R178" i="15" s="1"/>
  <c r="R180" i="15" s="1"/>
  <c r="R178" i="16" s="1"/>
  <c r="R180" i="16" s="1"/>
  <c r="R179" i="17" s="1"/>
  <c r="R181" i="17" s="1"/>
  <c r="R179" i="18" s="1"/>
  <c r="R181" i="18" s="1"/>
  <c r="R179" i="19" s="1"/>
  <c r="R181" i="19" s="1"/>
  <c r="R178" i="20" s="1"/>
  <c r="R180" i="20" s="1"/>
  <c r="R178" i="21" s="1"/>
  <c r="R180" i="21" s="1"/>
  <c r="R178" i="22" s="1"/>
  <c r="R180" i="22" s="1"/>
  <c r="R178" i="23" s="1"/>
  <c r="R180" i="23" s="1"/>
  <c r="R178" i="24" s="1"/>
  <c r="R180" i="24" s="1"/>
  <c r="R178" i="25" s="1"/>
  <c r="R180" i="25" s="1"/>
  <c r="R178" i="26" s="1"/>
  <c r="R180" i="26" s="1"/>
  <c r="R178" i="27" s="1"/>
  <c r="R180" i="27" s="1"/>
  <c r="R178" i="28" s="1"/>
  <c r="R180" i="28" s="1"/>
  <c r="R178" i="29" s="1"/>
  <c r="R180" i="29" s="1"/>
  <c r="R179" i="30" s="1"/>
  <c r="R181" i="30" s="1"/>
  <c r="R179" i="31" s="1"/>
  <c r="R181" i="31" s="1"/>
  <c r="R179" i="32" s="1"/>
  <c r="R181" i="32" s="1"/>
  <c r="R179" i="33" s="1"/>
  <c r="R181" i="33" s="1"/>
  <c r="R179" i="34" s="1"/>
  <c r="R181" i="34" s="1"/>
  <c r="R179" i="35" s="1"/>
  <c r="R181" i="35" s="1"/>
  <c r="R179" i="36" s="1"/>
  <c r="R181" i="36" s="1"/>
  <c r="R179" i="37" s="1"/>
  <c r="R181" i="37" s="1"/>
  <c r="R179" i="38" s="1"/>
  <c r="R181" i="38" s="1"/>
  <c r="R179" i="39" s="1"/>
  <c r="R181" i="39" s="1"/>
  <c r="R179" i="40" s="1"/>
  <c r="R181" i="40" s="1"/>
  <c r="R179" i="41" s="1"/>
  <c r="R181" i="41" s="1"/>
  <c r="R179" i="42" s="1"/>
  <c r="R181" i="42" s="1"/>
  <c r="R179" i="43" s="1"/>
  <c r="R181" i="43" s="1"/>
  <c r="R179" i="44" s="1"/>
  <c r="R181" i="44" s="1"/>
  <c r="R179" i="45" s="1"/>
  <c r="R181" i="45" s="1"/>
  <c r="R179" i="46" s="1"/>
  <c r="R181" i="46" s="1"/>
  <c r="R179" i="47" s="1"/>
  <c r="R181" i="47" s="1"/>
  <c r="R179" i="48" s="1"/>
  <c r="R181" i="48" s="1"/>
  <c r="R179" i="49" s="1"/>
  <c r="R181" i="49" s="1"/>
  <c r="R179" i="50" s="1"/>
  <c r="R181" i="50" s="1"/>
  <c r="R179" i="51" s="1"/>
  <c r="R181" i="51" s="1"/>
  <c r="R179" i="52" s="1"/>
  <c r="R181" i="52" s="1"/>
  <c r="R179" i="53" s="1"/>
  <c r="R181" i="53" s="1"/>
  <c r="R179" i="54" s="1"/>
  <c r="R181" i="54" s="1"/>
  <c r="R179" i="55" s="1"/>
  <c r="R181" i="55" s="1"/>
  <c r="R182" i="56" s="1"/>
  <c r="R184" i="56" s="1"/>
  <c r="Q175" i="1"/>
  <c r="Q179" i="11"/>
  <c r="Q179" i="12"/>
  <c r="Q179" i="13"/>
  <c r="Q179" i="14"/>
  <c r="R122" i="14" s="1"/>
  <c r="Q179" i="15"/>
  <c r="Q179" i="16"/>
  <c r="Q180" i="17"/>
  <c r="Q180" i="19"/>
  <c r="Q179" i="26"/>
  <c r="Q180" i="34"/>
  <c r="Q180" i="38"/>
  <c r="R278" i="53"/>
  <c r="R216" i="53" s="1"/>
  <c r="R266" i="53"/>
  <c r="R254" i="53"/>
  <c r="S251" i="53" s="1"/>
  <c r="S278" i="53"/>
  <c r="Q278" i="53"/>
  <c r="P278" i="53"/>
  <c r="Q216" i="53" s="1"/>
  <c r="P266" i="53"/>
  <c r="Q257" i="53" s="1"/>
  <c r="P254" i="53"/>
  <c r="S246" i="53"/>
  <c r="S245" i="53"/>
  <c r="R240" i="53"/>
  <c r="P240" i="53"/>
  <c r="R239" i="53"/>
  <c r="P239" i="53"/>
  <c r="R238" i="53"/>
  <c r="P238" i="53"/>
  <c r="R237" i="53"/>
  <c r="P237" i="53"/>
  <c r="R236" i="53"/>
  <c r="P236" i="53"/>
  <c r="R235" i="53"/>
  <c r="P235" i="53"/>
  <c r="R234" i="53"/>
  <c r="P234" i="53"/>
  <c r="R233" i="53"/>
  <c r="P233" i="53"/>
  <c r="Q215" i="53"/>
  <c r="D41" i="1"/>
  <c r="T32" i="1"/>
  <c r="T180" i="53"/>
  <c r="T166" i="53"/>
  <c r="T147" i="53"/>
  <c r="B134" i="53"/>
  <c r="B195" i="53" s="1"/>
  <c r="B289" i="53" s="1"/>
  <c r="R122" i="53"/>
  <c r="R120" i="53"/>
  <c r="R113" i="53"/>
  <c r="A113" i="53"/>
  <c r="A114" i="53" s="1"/>
  <c r="A115" i="53" s="1"/>
  <c r="A116" i="53" s="1"/>
  <c r="A117" i="53" s="1"/>
  <c r="A118" i="53" s="1"/>
  <c r="A100" i="53"/>
  <c r="A101" i="53" s="1"/>
  <c r="R95" i="53"/>
  <c r="R97" i="53" s="1"/>
  <c r="T94" i="53"/>
  <c r="L84" i="53"/>
  <c r="L68" i="53"/>
  <c r="L81" i="53" s="1"/>
  <c r="T78" i="53"/>
  <c r="R68" i="53"/>
  <c r="P68" i="53"/>
  <c r="J68" i="53"/>
  <c r="J81" i="53" s="1"/>
  <c r="T66" i="53"/>
  <c r="T65" i="53"/>
  <c r="P55" i="53"/>
  <c r="P54" i="53"/>
  <c r="T48" i="53"/>
  <c r="N41" i="53"/>
  <c r="J41" i="53"/>
  <c r="D41" i="53"/>
  <c r="P34" i="53"/>
  <c r="N34" i="53"/>
  <c r="L34" i="53"/>
  <c r="J34" i="53"/>
  <c r="D34" i="53"/>
  <c r="F34" i="53"/>
  <c r="H34" i="53"/>
  <c r="P33" i="53"/>
  <c r="N33" i="53"/>
  <c r="L33" i="53"/>
  <c r="J33" i="53"/>
  <c r="H33" i="53"/>
  <c r="F33" i="53"/>
  <c r="D33" i="53"/>
  <c r="T32" i="53"/>
  <c r="T138" i="53" s="1"/>
  <c r="P31" i="53"/>
  <c r="N31" i="53"/>
  <c r="L31" i="53"/>
  <c r="J31" i="53"/>
  <c r="H31" i="53"/>
  <c r="F31" i="53"/>
  <c r="D31" i="53"/>
  <c r="P30" i="53"/>
  <c r="N30" i="53"/>
  <c r="L30" i="53"/>
  <c r="J30" i="53"/>
  <c r="H30" i="53"/>
  <c r="F30" i="53"/>
  <c r="D30" i="53"/>
  <c r="T50" i="53"/>
  <c r="T101" i="52"/>
  <c r="T88" i="52"/>
  <c r="T87" i="52"/>
  <c r="R86" i="52"/>
  <c r="R93" i="52" s="1"/>
  <c r="R97" i="52" s="1"/>
  <c r="N65" i="52"/>
  <c r="N68" i="52" s="1"/>
  <c r="N42" i="52"/>
  <c r="J42" i="52"/>
  <c r="D42" i="52"/>
  <c r="T168" i="52"/>
  <c r="S278" i="52"/>
  <c r="R278" i="52"/>
  <c r="R216" i="52" s="1"/>
  <c r="Q278" i="52"/>
  <c r="P278" i="52"/>
  <c r="Q216" i="52" s="1"/>
  <c r="R266" i="52"/>
  <c r="P266" i="52"/>
  <c r="R254" i="52"/>
  <c r="P254" i="52"/>
  <c r="R240" i="52"/>
  <c r="P240" i="52"/>
  <c r="R239" i="52"/>
  <c r="P239" i="52"/>
  <c r="R238" i="52"/>
  <c r="P238" i="52"/>
  <c r="R237" i="52"/>
  <c r="P237" i="52"/>
  <c r="R236" i="52"/>
  <c r="P236" i="52"/>
  <c r="R235" i="52"/>
  <c r="P235" i="52"/>
  <c r="R234" i="52"/>
  <c r="P234" i="52"/>
  <c r="R233" i="52"/>
  <c r="P233" i="52"/>
  <c r="T180" i="52"/>
  <c r="T166" i="52"/>
  <c r="T147" i="52"/>
  <c r="B134" i="52"/>
  <c r="B195" i="52" s="1"/>
  <c r="B289" i="52" s="1"/>
  <c r="R122" i="52"/>
  <c r="R120" i="52"/>
  <c r="R113" i="52"/>
  <c r="A113" i="52"/>
  <c r="A114" i="52" s="1"/>
  <c r="A115" i="52" s="1"/>
  <c r="A116" i="52" s="1"/>
  <c r="A117" i="52" s="1"/>
  <c r="A118" i="52" s="1"/>
  <c r="A100" i="52"/>
  <c r="A101" i="52" s="1"/>
  <c r="R95" i="52"/>
  <c r="T94" i="52"/>
  <c r="L84" i="52"/>
  <c r="T78" i="52"/>
  <c r="R68" i="52"/>
  <c r="P68" i="52"/>
  <c r="L68" i="52"/>
  <c r="L81" i="52" s="1"/>
  <c r="J68" i="52"/>
  <c r="J81" i="52" s="1"/>
  <c r="T66" i="52"/>
  <c r="P55" i="52"/>
  <c r="P54" i="52"/>
  <c r="T48" i="52"/>
  <c r="N41" i="52"/>
  <c r="J41" i="52"/>
  <c r="D41" i="52"/>
  <c r="P34" i="52"/>
  <c r="N34" i="52"/>
  <c r="L34" i="52"/>
  <c r="J34" i="52"/>
  <c r="H34" i="52"/>
  <c r="F34" i="52"/>
  <c r="D34" i="52"/>
  <c r="P33" i="52"/>
  <c r="N33" i="52"/>
  <c r="L33" i="52"/>
  <c r="J33" i="52"/>
  <c r="T33" i="52" s="1"/>
  <c r="T41" i="52" s="1"/>
  <c r="R202" i="52" s="1"/>
  <c r="R203" i="52" s="1"/>
  <c r="H33" i="52"/>
  <c r="F33" i="52"/>
  <c r="D33" i="52"/>
  <c r="T32" i="52"/>
  <c r="P31" i="52"/>
  <c r="N31" i="52"/>
  <c r="L31" i="52"/>
  <c r="J31" i="52"/>
  <c r="H31" i="52"/>
  <c r="F31" i="52"/>
  <c r="D31" i="52"/>
  <c r="P30" i="52"/>
  <c r="N30" i="52"/>
  <c r="L30" i="52"/>
  <c r="J30" i="52"/>
  <c r="H30" i="52"/>
  <c r="F30" i="52"/>
  <c r="D30" i="52"/>
  <c r="T165" i="52"/>
  <c r="R210" i="52"/>
  <c r="R120" i="51"/>
  <c r="R122" i="51"/>
  <c r="R86" i="51"/>
  <c r="R93" i="51" s="1"/>
  <c r="J34" i="50"/>
  <c r="L34" i="50"/>
  <c r="N34" i="50"/>
  <c r="P34" i="50"/>
  <c r="D34" i="50"/>
  <c r="F34" i="50"/>
  <c r="H34" i="50"/>
  <c r="T48" i="50"/>
  <c r="T101" i="51"/>
  <c r="T88" i="51"/>
  <c r="T87" i="51"/>
  <c r="N65" i="51"/>
  <c r="N68" i="51" s="1"/>
  <c r="N42" i="51"/>
  <c r="J42" i="51"/>
  <c r="D42" i="51"/>
  <c r="S278" i="51"/>
  <c r="R278" i="51"/>
  <c r="Q278" i="51"/>
  <c r="P278" i="51"/>
  <c r="Q216" i="51" s="1"/>
  <c r="R266" i="51"/>
  <c r="P266" i="51"/>
  <c r="Q264" i="51" s="1"/>
  <c r="Q263" i="51"/>
  <c r="Q259" i="51"/>
  <c r="R254" i="51"/>
  <c r="P254" i="51"/>
  <c r="R240" i="51"/>
  <c r="P240" i="51"/>
  <c r="R239" i="51"/>
  <c r="P239" i="51"/>
  <c r="R238" i="51"/>
  <c r="P238" i="51"/>
  <c r="R237" i="51"/>
  <c r="P237" i="51"/>
  <c r="R236" i="51"/>
  <c r="P236" i="51"/>
  <c r="R235" i="51"/>
  <c r="P235" i="51"/>
  <c r="R234" i="51"/>
  <c r="P234" i="51"/>
  <c r="R233" i="51"/>
  <c r="P233" i="51"/>
  <c r="R216" i="51"/>
  <c r="T180" i="51"/>
  <c r="T166" i="51"/>
  <c r="T147" i="51"/>
  <c r="B134" i="51"/>
  <c r="B195" i="51" s="1"/>
  <c r="B289" i="51" s="1"/>
  <c r="R113" i="51"/>
  <c r="A113" i="51"/>
  <c r="A114" i="51" s="1"/>
  <c r="A115" i="51" s="1"/>
  <c r="A116" i="51" s="1"/>
  <c r="A117" i="51" s="1"/>
  <c r="A118" i="51" s="1"/>
  <c r="A100" i="51"/>
  <c r="A101" i="51" s="1"/>
  <c r="R95" i="51"/>
  <c r="T94" i="51"/>
  <c r="L84" i="51"/>
  <c r="J68" i="51"/>
  <c r="J81" i="51" s="1"/>
  <c r="T78" i="51"/>
  <c r="R68" i="51"/>
  <c r="P68" i="51"/>
  <c r="L68" i="51"/>
  <c r="L81" i="51" s="1"/>
  <c r="T66" i="51"/>
  <c r="P55" i="51"/>
  <c r="P54" i="51"/>
  <c r="T48" i="51"/>
  <c r="N41" i="51"/>
  <c r="J41" i="51"/>
  <c r="D41" i="51"/>
  <c r="P34" i="51"/>
  <c r="N34" i="51"/>
  <c r="L34" i="51"/>
  <c r="J34" i="51"/>
  <c r="H34" i="51"/>
  <c r="F34" i="51"/>
  <c r="D34" i="51"/>
  <c r="P33" i="51"/>
  <c r="N33" i="51"/>
  <c r="L33" i="51"/>
  <c r="J33" i="51"/>
  <c r="H33" i="51"/>
  <c r="F33" i="51"/>
  <c r="D33" i="51"/>
  <c r="T32" i="51"/>
  <c r="P31" i="51"/>
  <c r="N31" i="51"/>
  <c r="L31" i="51"/>
  <c r="J31" i="51"/>
  <c r="H31" i="51"/>
  <c r="F31" i="51"/>
  <c r="D31" i="51"/>
  <c r="P30" i="51"/>
  <c r="N30" i="51"/>
  <c r="L30" i="51"/>
  <c r="J30" i="51"/>
  <c r="H30" i="51"/>
  <c r="F30" i="51"/>
  <c r="D30" i="51"/>
  <c r="T65" i="51"/>
  <c r="T68" i="51" s="1"/>
  <c r="T168" i="50"/>
  <c r="R120" i="50"/>
  <c r="R122" i="50"/>
  <c r="D41" i="50"/>
  <c r="J41" i="50"/>
  <c r="N41" i="50"/>
  <c r="D33" i="50"/>
  <c r="F33" i="50"/>
  <c r="H33" i="50"/>
  <c r="J33" i="50"/>
  <c r="L33" i="50"/>
  <c r="N33" i="50"/>
  <c r="P33" i="50"/>
  <c r="T101" i="50"/>
  <c r="T88" i="50"/>
  <c r="T87" i="50"/>
  <c r="R86" i="50"/>
  <c r="N65" i="50"/>
  <c r="N42" i="50"/>
  <c r="J42" i="50"/>
  <c r="D42" i="50"/>
  <c r="S278" i="50"/>
  <c r="R278" i="50"/>
  <c r="Q278" i="50"/>
  <c r="P278" i="50"/>
  <c r="Q216" i="50" s="1"/>
  <c r="R266" i="50"/>
  <c r="P266" i="50"/>
  <c r="Q215" i="50" s="1"/>
  <c r="Q261" i="50"/>
  <c r="Q259" i="50"/>
  <c r="Q257" i="50"/>
  <c r="R254" i="50"/>
  <c r="S251" i="50" s="1"/>
  <c r="P254" i="50"/>
  <c r="Q252" i="50" s="1"/>
  <c r="Q246" i="50"/>
  <c r="R240" i="50"/>
  <c r="P240" i="50"/>
  <c r="R239" i="50"/>
  <c r="P239" i="50"/>
  <c r="R238" i="50"/>
  <c r="P238" i="50"/>
  <c r="R237" i="50"/>
  <c r="P237" i="50"/>
  <c r="R236" i="50"/>
  <c r="P236" i="50"/>
  <c r="R235" i="50"/>
  <c r="P235" i="50"/>
  <c r="R234" i="50"/>
  <c r="P234" i="50"/>
  <c r="R233" i="50"/>
  <c r="P233" i="50"/>
  <c r="R216" i="50"/>
  <c r="T180" i="50"/>
  <c r="T166" i="50"/>
  <c r="T147" i="50"/>
  <c r="B134" i="50"/>
  <c r="B195" i="50" s="1"/>
  <c r="B289" i="50" s="1"/>
  <c r="R113" i="50"/>
  <c r="A113" i="50"/>
  <c r="A114" i="50" s="1"/>
  <c r="A115" i="50" s="1"/>
  <c r="A116" i="50" s="1"/>
  <c r="A117" i="50" s="1"/>
  <c r="A118" i="50" s="1"/>
  <c r="A100" i="50"/>
  <c r="A101" i="50" s="1"/>
  <c r="R95" i="50"/>
  <c r="T94" i="50"/>
  <c r="R93" i="50"/>
  <c r="L84" i="50"/>
  <c r="L68" i="50"/>
  <c r="L81" i="50" s="1"/>
  <c r="T78" i="50"/>
  <c r="R68" i="50"/>
  <c r="P68" i="50"/>
  <c r="J68" i="50"/>
  <c r="J81" i="50" s="1"/>
  <c r="T66" i="50"/>
  <c r="P55" i="50"/>
  <c r="P54" i="50"/>
  <c r="T32" i="50"/>
  <c r="T138" i="50" s="1"/>
  <c r="P31" i="50"/>
  <c r="N31" i="50"/>
  <c r="L31" i="50"/>
  <c r="J31" i="50"/>
  <c r="H31" i="50"/>
  <c r="F31" i="50"/>
  <c r="D31" i="50"/>
  <c r="P30" i="50"/>
  <c r="N30" i="50"/>
  <c r="L30" i="50"/>
  <c r="J30" i="50"/>
  <c r="H30" i="50"/>
  <c r="F30" i="50"/>
  <c r="D30" i="50"/>
  <c r="T101" i="49"/>
  <c r="T88" i="49"/>
  <c r="T87" i="49"/>
  <c r="R129" i="49"/>
  <c r="R86" i="49"/>
  <c r="R93" i="49" s="1"/>
  <c r="N65" i="49"/>
  <c r="N42" i="49"/>
  <c r="J42" i="49"/>
  <c r="D42" i="49"/>
  <c r="S278" i="49"/>
  <c r="R278" i="49"/>
  <c r="Q278" i="49"/>
  <c r="P278" i="49"/>
  <c r="Q216" i="49" s="1"/>
  <c r="R266" i="49"/>
  <c r="P266" i="49"/>
  <c r="Q261" i="49" s="1"/>
  <c r="R254" i="49"/>
  <c r="S252" i="49" s="1"/>
  <c r="P254" i="49"/>
  <c r="R240" i="49"/>
  <c r="P240" i="49"/>
  <c r="R239" i="49"/>
  <c r="P239" i="49"/>
  <c r="R238" i="49"/>
  <c r="P238" i="49"/>
  <c r="R237" i="49"/>
  <c r="P237" i="49"/>
  <c r="R236" i="49"/>
  <c r="P236" i="49"/>
  <c r="R235" i="49"/>
  <c r="P235" i="49"/>
  <c r="R234" i="49"/>
  <c r="P234" i="49"/>
  <c r="R233" i="49"/>
  <c r="P233" i="49"/>
  <c r="P242" i="49" s="1"/>
  <c r="Q238" i="49" s="1"/>
  <c r="R216" i="49"/>
  <c r="T180" i="49"/>
  <c r="T166" i="49"/>
  <c r="T147" i="49"/>
  <c r="B134" i="49"/>
  <c r="B195" i="49" s="1"/>
  <c r="B289" i="49" s="1"/>
  <c r="R122" i="49"/>
  <c r="R120" i="49"/>
  <c r="R113" i="49"/>
  <c r="A113" i="49"/>
  <c r="A114" i="49" s="1"/>
  <c r="A115" i="49" s="1"/>
  <c r="A116" i="49" s="1"/>
  <c r="A117" i="49" s="1"/>
  <c r="A118" i="49" s="1"/>
  <c r="A100" i="49"/>
  <c r="A101" i="49" s="1"/>
  <c r="R95" i="49"/>
  <c r="T94" i="49"/>
  <c r="L84" i="49"/>
  <c r="T78" i="49"/>
  <c r="R68" i="49"/>
  <c r="P68" i="49"/>
  <c r="L68" i="49"/>
  <c r="L81" i="49" s="1"/>
  <c r="J68" i="49"/>
  <c r="J81" i="49" s="1"/>
  <c r="T66" i="49"/>
  <c r="P55" i="49"/>
  <c r="P54" i="49"/>
  <c r="T48" i="49"/>
  <c r="N41" i="49"/>
  <c r="J41" i="49"/>
  <c r="D41" i="49"/>
  <c r="P34" i="49"/>
  <c r="N34" i="49"/>
  <c r="L34" i="49"/>
  <c r="J34" i="49"/>
  <c r="H34" i="49"/>
  <c r="F34" i="49"/>
  <c r="D34" i="49"/>
  <c r="P33" i="49"/>
  <c r="N33" i="49"/>
  <c r="L33" i="49"/>
  <c r="J33" i="49"/>
  <c r="H33" i="49"/>
  <c r="F33" i="49"/>
  <c r="D33" i="49"/>
  <c r="T32" i="49"/>
  <c r="P31" i="49"/>
  <c r="N31" i="49"/>
  <c r="L31" i="49"/>
  <c r="J31" i="49"/>
  <c r="H31" i="49"/>
  <c r="F31" i="49"/>
  <c r="D31" i="49"/>
  <c r="P30" i="49"/>
  <c r="N30" i="49"/>
  <c r="L30" i="49"/>
  <c r="J30" i="49"/>
  <c r="H30" i="49"/>
  <c r="F30" i="49"/>
  <c r="D30" i="49"/>
  <c r="R215" i="49"/>
  <c r="S245" i="49"/>
  <c r="S248" i="49"/>
  <c r="S249" i="49"/>
  <c r="N65" i="48"/>
  <c r="T106" i="48"/>
  <c r="T101" i="48"/>
  <c r="T88" i="48"/>
  <c r="T87" i="48"/>
  <c r="R86" i="48"/>
  <c r="R93" i="48" s="1"/>
  <c r="N42" i="48"/>
  <c r="J42" i="48"/>
  <c r="D42" i="48"/>
  <c r="S278" i="48"/>
  <c r="R278" i="48"/>
  <c r="R216" i="48" s="1"/>
  <c r="Q278" i="48"/>
  <c r="P278" i="48"/>
  <c r="Q216" i="48" s="1"/>
  <c r="R266" i="48"/>
  <c r="S261" i="48" s="1"/>
  <c r="P266" i="48"/>
  <c r="R254" i="48"/>
  <c r="S252" i="48" s="1"/>
  <c r="P254" i="48"/>
  <c r="S247" i="48"/>
  <c r="R240" i="48"/>
  <c r="P240" i="48"/>
  <c r="R239" i="48"/>
  <c r="P239" i="48"/>
  <c r="R238" i="48"/>
  <c r="P238" i="48"/>
  <c r="R237" i="48"/>
  <c r="P237" i="48"/>
  <c r="R236" i="48"/>
  <c r="P236" i="48"/>
  <c r="R235" i="48"/>
  <c r="P235" i="48"/>
  <c r="R234" i="48"/>
  <c r="P234" i="48"/>
  <c r="R233" i="48"/>
  <c r="R242" i="48" s="1"/>
  <c r="P233" i="48"/>
  <c r="T180" i="48"/>
  <c r="T166" i="48"/>
  <c r="T165" i="48"/>
  <c r="T147" i="48"/>
  <c r="B134" i="48"/>
  <c r="B195" i="48" s="1"/>
  <c r="B289" i="48" s="1"/>
  <c r="R122" i="48"/>
  <c r="R120" i="48"/>
  <c r="R113" i="48"/>
  <c r="A113" i="48"/>
  <c r="A114" i="48" s="1"/>
  <c r="A115" i="48" s="1"/>
  <c r="A116" i="48" s="1"/>
  <c r="A117" i="48" s="1"/>
  <c r="A118" i="48" s="1"/>
  <c r="A100" i="48"/>
  <c r="A101" i="48" s="1"/>
  <c r="R95" i="48"/>
  <c r="T94" i="48"/>
  <c r="L84" i="48"/>
  <c r="J68" i="48"/>
  <c r="J81" i="48" s="1"/>
  <c r="T78" i="48"/>
  <c r="R68" i="48"/>
  <c r="P68" i="48"/>
  <c r="L68" i="48"/>
  <c r="L81" i="48" s="1"/>
  <c r="T66" i="48"/>
  <c r="P55" i="48"/>
  <c r="P54" i="48"/>
  <c r="T48" i="48"/>
  <c r="N41" i="48"/>
  <c r="J41" i="48"/>
  <c r="D41" i="48"/>
  <c r="P34" i="48"/>
  <c r="N34" i="48"/>
  <c r="L34" i="48"/>
  <c r="J34" i="48"/>
  <c r="H34" i="48"/>
  <c r="F34" i="48"/>
  <c r="D34" i="48"/>
  <c r="P33" i="48"/>
  <c r="N33" i="48"/>
  <c r="L33" i="48"/>
  <c r="J33" i="48"/>
  <c r="H33" i="48"/>
  <c r="F33" i="48"/>
  <c r="D33" i="48"/>
  <c r="T32" i="48"/>
  <c r="P31" i="48"/>
  <c r="N31" i="48"/>
  <c r="L31" i="48"/>
  <c r="J31" i="48"/>
  <c r="H31" i="48"/>
  <c r="F31" i="48"/>
  <c r="D31" i="48"/>
  <c r="P30" i="48"/>
  <c r="N30" i="48"/>
  <c r="L30" i="48"/>
  <c r="J30" i="48"/>
  <c r="H30" i="48"/>
  <c r="F30" i="48"/>
  <c r="D30" i="48"/>
  <c r="Q263" i="48"/>
  <c r="Q264" i="48"/>
  <c r="T101" i="47"/>
  <c r="T88" i="47"/>
  <c r="T87" i="47"/>
  <c r="R86" i="47"/>
  <c r="R93" i="47" s="1"/>
  <c r="N65" i="47"/>
  <c r="N42" i="47"/>
  <c r="J42" i="47"/>
  <c r="D42" i="47"/>
  <c r="S278" i="47"/>
  <c r="R278" i="47"/>
  <c r="Q278" i="47"/>
  <c r="P278" i="47"/>
  <c r="Q216" i="47" s="1"/>
  <c r="R266" i="47"/>
  <c r="P266" i="47"/>
  <c r="S261" i="47"/>
  <c r="Q261" i="47"/>
  <c r="R254" i="47"/>
  <c r="S248" i="47" s="1"/>
  <c r="P254" i="47"/>
  <c r="R240" i="47"/>
  <c r="P240" i="47"/>
  <c r="R239" i="47"/>
  <c r="P239" i="47"/>
  <c r="R238" i="47"/>
  <c r="P238" i="47"/>
  <c r="R237" i="47"/>
  <c r="P237" i="47"/>
  <c r="R236" i="47"/>
  <c r="P236" i="47"/>
  <c r="R235" i="47"/>
  <c r="P235" i="47"/>
  <c r="R234" i="47"/>
  <c r="P234" i="47"/>
  <c r="R233" i="47"/>
  <c r="P233" i="47"/>
  <c r="T180" i="47"/>
  <c r="T166" i="47"/>
  <c r="T147" i="47"/>
  <c r="B134" i="47"/>
  <c r="B195" i="47" s="1"/>
  <c r="B289" i="47" s="1"/>
  <c r="R122" i="47"/>
  <c r="R120" i="47"/>
  <c r="R113" i="47"/>
  <c r="A113" i="47"/>
  <c r="A114" i="47" s="1"/>
  <c r="A115" i="47" s="1"/>
  <c r="A116" i="47" s="1"/>
  <c r="A117" i="47" s="1"/>
  <c r="A118" i="47" s="1"/>
  <c r="A100" i="47"/>
  <c r="A101" i="47" s="1"/>
  <c r="R95" i="47"/>
  <c r="T94" i="47"/>
  <c r="L84" i="47"/>
  <c r="J68" i="47"/>
  <c r="J81" i="47" s="1"/>
  <c r="T78" i="47"/>
  <c r="R68" i="47"/>
  <c r="P68" i="47"/>
  <c r="L68" i="47"/>
  <c r="L81" i="47" s="1"/>
  <c r="T66" i="47"/>
  <c r="P55" i="47"/>
  <c r="P54" i="47"/>
  <c r="T48" i="47"/>
  <c r="N41" i="47"/>
  <c r="J41" i="47"/>
  <c r="D41" i="47"/>
  <c r="P34" i="47"/>
  <c r="N34" i="47"/>
  <c r="L34" i="47"/>
  <c r="J34" i="47"/>
  <c r="H34" i="47"/>
  <c r="F34" i="47"/>
  <c r="D34" i="47"/>
  <c r="P33" i="47"/>
  <c r="N33" i="47"/>
  <c r="L33" i="47"/>
  <c r="J33" i="47"/>
  <c r="H33" i="47"/>
  <c r="F33" i="47"/>
  <c r="D33" i="47"/>
  <c r="T32" i="47"/>
  <c r="P31" i="47"/>
  <c r="N31" i="47"/>
  <c r="L31" i="47"/>
  <c r="J31" i="47"/>
  <c r="H31" i="47"/>
  <c r="F31" i="47"/>
  <c r="D31" i="47"/>
  <c r="P30" i="47"/>
  <c r="N30" i="47"/>
  <c r="L30" i="47"/>
  <c r="J30" i="47"/>
  <c r="H30" i="47"/>
  <c r="F30" i="47"/>
  <c r="D30" i="47"/>
  <c r="R210" i="47"/>
  <c r="T101" i="46"/>
  <c r="T88" i="46"/>
  <c r="T87" i="46"/>
  <c r="R86" i="46"/>
  <c r="R93" i="46" s="1"/>
  <c r="N65" i="46"/>
  <c r="N42" i="46"/>
  <c r="J42" i="46"/>
  <c r="D42" i="46"/>
  <c r="S278" i="46"/>
  <c r="R278" i="46"/>
  <c r="R216" i="46" s="1"/>
  <c r="Q278" i="46"/>
  <c r="P278" i="46"/>
  <c r="Q216" i="46" s="1"/>
  <c r="R266" i="46"/>
  <c r="P266" i="46"/>
  <c r="Q260" i="46" s="1"/>
  <c r="R254" i="46"/>
  <c r="P254" i="46"/>
  <c r="R240" i="46"/>
  <c r="P240" i="46"/>
  <c r="R239" i="46"/>
  <c r="P239" i="46"/>
  <c r="R238" i="46"/>
  <c r="P238" i="46"/>
  <c r="R237" i="46"/>
  <c r="P237" i="46"/>
  <c r="R236" i="46"/>
  <c r="P236" i="46"/>
  <c r="R235" i="46"/>
  <c r="P235" i="46"/>
  <c r="R234" i="46"/>
  <c r="P234" i="46"/>
  <c r="R233" i="46"/>
  <c r="P233" i="46"/>
  <c r="T180" i="46"/>
  <c r="T166" i="46"/>
  <c r="T147" i="46"/>
  <c r="B134" i="46"/>
  <c r="B195" i="46" s="1"/>
  <c r="B289" i="46" s="1"/>
  <c r="R122" i="46"/>
  <c r="R120" i="46"/>
  <c r="R113" i="46"/>
  <c r="A113" i="46"/>
  <c r="A114" i="46" s="1"/>
  <c r="A115" i="46" s="1"/>
  <c r="A116" i="46" s="1"/>
  <c r="A117" i="46" s="1"/>
  <c r="A118" i="46" s="1"/>
  <c r="A100" i="46"/>
  <c r="A101" i="46" s="1"/>
  <c r="R95" i="46"/>
  <c r="T94" i="46"/>
  <c r="L84" i="46"/>
  <c r="J68" i="46"/>
  <c r="J81" i="46" s="1"/>
  <c r="T78" i="46"/>
  <c r="R68" i="46"/>
  <c r="P68" i="46"/>
  <c r="L68" i="46"/>
  <c r="L81" i="46" s="1"/>
  <c r="T66" i="46"/>
  <c r="P55" i="46"/>
  <c r="P54" i="46"/>
  <c r="T48" i="46"/>
  <c r="N41" i="46"/>
  <c r="J41" i="46"/>
  <c r="D41" i="46"/>
  <c r="P34" i="46"/>
  <c r="N34" i="46"/>
  <c r="L34" i="46"/>
  <c r="J34" i="46"/>
  <c r="H34" i="46"/>
  <c r="F34" i="46"/>
  <c r="D34" i="46"/>
  <c r="P33" i="46"/>
  <c r="N33" i="46"/>
  <c r="L33" i="46"/>
  <c r="J33" i="46"/>
  <c r="H33" i="46"/>
  <c r="F33" i="46"/>
  <c r="D33" i="46"/>
  <c r="T32" i="46"/>
  <c r="T138" i="46" s="1"/>
  <c r="P31" i="46"/>
  <c r="N31" i="46"/>
  <c r="L31" i="46"/>
  <c r="J31" i="46"/>
  <c r="H31" i="46"/>
  <c r="F31" i="46"/>
  <c r="D31" i="46"/>
  <c r="P30" i="46"/>
  <c r="N30" i="46"/>
  <c r="L30" i="46"/>
  <c r="J30" i="46"/>
  <c r="H30" i="46"/>
  <c r="F30" i="46"/>
  <c r="D30" i="46"/>
  <c r="S257" i="46"/>
  <c r="S246" i="46"/>
  <c r="T165" i="46"/>
  <c r="R86" i="45"/>
  <c r="R93" i="45" s="1"/>
  <c r="N65" i="45"/>
  <c r="N68" i="45" s="1"/>
  <c r="D41" i="45"/>
  <c r="J41" i="45"/>
  <c r="N41" i="45"/>
  <c r="D33" i="45"/>
  <c r="F33" i="45"/>
  <c r="H33" i="45"/>
  <c r="J33" i="45"/>
  <c r="L33" i="45"/>
  <c r="N33" i="45"/>
  <c r="P33" i="45"/>
  <c r="T101" i="45"/>
  <c r="T88" i="45"/>
  <c r="T87" i="45"/>
  <c r="N42" i="45"/>
  <c r="J42" i="45"/>
  <c r="D42" i="45"/>
  <c r="T168" i="44"/>
  <c r="S278" i="45"/>
  <c r="R278" i="45"/>
  <c r="Q278" i="45"/>
  <c r="P278" i="45"/>
  <c r="Q216" i="45" s="1"/>
  <c r="R266" i="45"/>
  <c r="P266" i="45"/>
  <c r="Q264" i="45" s="1"/>
  <c r="Q261" i="45"/>
  <c r="Q259" i="45"/>
  <c r="R254" i="45"/>
  <c r="S249" i="45" s="1"/>
  <c r="P254" i="45"/>
  <c r="R240" i="45"/>
  <c r="P240" i="45"/>
  <c r="R239" i="45"/>
  <c r="P239" i="45"/>
  <c r="R238" i="45"/>
  <c r="P238" i="45"/>
  <c r="R237" i="45"/>
  <c r="P237" i="45"/>
  <c r="R236" i="45"/>
  <c r="P236" i="45"/>
  <c r="R235" i="45"/>
  <c r="P235" i="45"/>
  <c r="R234" i="45"/>
  <c r="P234" i="45"/>
  <c r="P242" i="45" s="1"/>
  <c r="R233" i="45"/>
  <c r="P233" i="45"/>
  <c r="T180" i="45"/>
  <c r="T166" i="45"/>
  <c r="T147" i="45"/>
  <c r="B134" i="45"/>
  <c r="B195" i="45" s="1"/>
  <c r="B290" i="45" s="1"/>
  <c r="R122" i="45"/>
  <c r="R120" i="45"/>
  <c r="R113" i="45"/>
  <c r="A113" i="45"/>
  <c r="A114" i="45" s="1"/>
  <c r="A115" i="45" s="1"/>
  <c r="A116" i="45" s="1"/>
  <c r="A117" i="45" s="1"/>
  <c r="A118" i="45" s="1"/>
  <c r="A100" i="45"/>
  <c r="A101" i="45" s="1"/>
  <c r="R95" i="45"/>
  <c r="T94" i="45"/>
  <c r="L84" i="45"/>
  <c r="J68" i="45"/>
  <c r="J81" i="45" s="1"/>
  <c r="T78" i="45"/>
  <c r="R68" i="45"/>
  <c r="P68" i="45"/>
  <c r="L68" i="45"/>
  <c r="L81" i="45" s="1"/>
  <c r="T66" i="45"/>
  <c r="P55" i="45"/>
  <c r="P54" i="45"/>
  <c r="T48" i="45"/>
  <c r="P34" i="45"/>
  <c r="N34" i="45"/>
  <c r="L34" i="45"/>
  <c r="J34" i="45"/>
  <c r="H34" i="45"/>
  <c r="F34" i="45"/>
  <c r="D34" i="45"/>
  <c r="T32" i="45"/>
  <c r="T138" i="45" s="1"/>
  <c r="P31" i="45"/>
  <c r="N31" i="45"/>
  <c r="L31" i="45"/>
  <c r="J31" i="45"/>
  <c r="H31" i="45"/>
  <c r="F31" i="45"/>
  <c r="D31" i="45"/>
  <c r="P30" i="45"/>
  <c r="N30" i="45"/>
  <c r="L30" i="45"/>
  <c r="J30" i="45"/>
  <c r="H30" i="45"/>
  <c r="F30" i="45"/>
  <c r="D30" i="45"/>
  <c r="S245" i="45"/>
  <c r="S247" i="45"/>
  <c r="T87" i="44"/>
  <c r="T101" i="44"/>
  <c r="T88" i="44"/>
  <c r="R86" i="44"/>
  <c r="R93" i="44" s="1"/>
  <c r="N65" i="44"/>
  <c r="N42" i="44"/>
  <c r="J42" i="44"/>
  <c r="D42" i="44"/>
  <c r="S278" i="44"/>
  <c r="R278" i="44"/>
  <c r="R216" i="44" s="1"/>
  <c r="Q278" i="44"/>
  <c r="P278" i="44"/>
  <c r="Q216" i="44" s="1"/>
  <c r="R266" i="44"/>
  <c r="P266" i="44"/>
  <c r="Q264" i="44" s="1"/>
  <c r="Q263" i="44"/>
  <c r="Q262" i="44"/>
  <c r="Q260" i="44"/>
  <c r="Q259" i="44"/>
  <c r="Q258" i="44"/>
  <c r="Q257" i="44"/>
  <c r="R254" i="44"/>
  <c r="P254" i="44"/>
  <c r="R240" i="44"/>
  <c r="P240" i="44"/>
  <c r="R239" i="44"/>
  <c r="P239" i="44"/>
  <c r="R238" i="44"/>
  <c r="P238" i="44"/>
  <c r="R237" i="44"/>
  <c r="P237" i="44"/>
  <c r="R236" i="44"/>
  <c r="P236" i="44"/>
  <c r="R235" i="44"/>
  <c r="P235" i="44"/>
  <c r="R234" i="44"/>
  <c r="P234" i="44"/>
  <c r="R233" i="44"/>
  <c r="P233" i="44"/>
  <c r="Q215" i="44"/>
  <c r="T180" i="44"/>
  <c r="T166" i="44"/>
  <c r="T165" i="44"/>
  <c r="T147" i="44"/>
  <c r="B134" i="44"/>
  <c r="B195" i="44" s="1"/>
  <c r="B290" i="44" s="1"/>
  <c r="R122" i="44"/>
  <c r="R120" i="44"/>
  <c r="R113" i="44"/>
  <c r="A113" i="44"/>
  <c r="A114" i="44" s="1"/>
  <c r="A115" i="44" s="1"/>
  <c r="A116" i="44" s="1"/>
  <c r="A117" i="44" s="1"/>
  <c r="A118" i="44" s="1"/>
  <c r="A100" i="44"/>
  <c r="A101" i="44" s="1"/>
  <c r="R95" i="44"/>
  <c r="T94" i="44"/>
  <c r="L84" i="44"/>
  <c r="T78" i="44"/>
  <c r="R68" i="44"/>
  <c r="P68" i="44"/>
  <c r="L68" i="44"/>
  <c r="L81" i="44" s="1"/>
  <c r="J68" i="44"/>
  <c r="J81" i="44" s="1"/>
  <c r="T66" i="44"/>
  <c r="P55" i="44"/>
  <c r="P54" i="44"/>
  <c r="T48" i="44"/>
  <c r="N41" i="44"/>
  <c r="J41" i="44"/>
  <c r="D41" i="44"/>
  <c r="P34" i="44"/>
  <c r="N34" i="44"/>
  <c r="L34" i="44"/>
  <c r="J34" i="44"/>
  <c r="H34" i="44"/>
  <c r="F34" i="44"/>
  <c r="D34" i="44"/>
  <c r="P33" i="44"/>
  <c r="N33" i="44"/>
  <c r="L33" i="44"/>
  <c r="J33" i="44"/>
  <c r="H33" i="44"/>
  <c r="F33" i="44"/>
  <c r="D33" i="44"/>
  <c r="T32" i="44"/>
  <c r="P31" i="44"/>
  <c r="N31" i="44"/>
  <c r="L31" i="44"/>
  <c r="J31" i="44"/>
  <c r="H31" i="44"/>
  <c r="F31" i="44"/>
  <c r="D31" i="44"/>
  <c r="P30" i="44"/>
  <c r="N30" i="44"/>
  <c r="L30" i="44"/>
  <c r="J30" i="44"/>
  <c r="H30" i="44"/>
  <c r="F30" i="44"/>
  <c r="D30" i="44"/>
  <c r="T88" i="43"/>
  <c r="T101" i="43"/>
  <c r="T87" i="43"/>
  <c r="R86" i="43"/>
  <c r="R93" i="43" s="1"/>
  <c r="N65" i="43"/>
  <c r="N68" i="43" s="1"/>
  <c r="N42" i="43"/>
  <c r="J42" i="43"/>
  <c r="D42" i="43"/>
  <c r="S278" i="43"/>
  <c r="R278" i="43"/>
  <c r="R216" i="43" s="1"/>
  <c r="Q278" i="43"/>
  <c r="P278" i="43"/>
  <c r="Q216" i="43" s="1"/>
  <c r="R266" i="43"/>
  <c r="P266" i="43"/>
  <c r="Q263" i="43" s="1"/>
  <c r="R254" i="43"/>
  <c r="P254" i="43"/>
  <c r="Q248" i="43" s="1"/>
  <c r="R240" i="43"/>
  <c r="P240" i="43"/>
  <c r="R239" i="43"/>
  <c r="P239" i="43"/>
  <c r="R238" i="43"/>
  <c r="P238" i="43"/>
  <c r="R237" i="43"/>
  <c r="P237" i="43"/>
  <c r="R236" i="43"/>
  <c r="P236" i="43"/>
  <c r="R235" i="43"/>
  <c r="P235" i="43"/>
  <c r="R234" i="43"/>
  <c r="P234" i="43"/>
  <c r="R233" i="43"/>
  <c r="P233" i="43"/>
  <c r="R210" i="43"/>
  <c r="T180" i="43"/>
  <c r="T166" i="43"/>
  <c r="T147" i="43"/>
  <c r="B134" i="43"/>
  <c r="B195" i="43" s="1"/>
  <c r="B290" i="43" s="1"/>
  <c r="R122" i="43"/>
  <c r="R120" i="43"/>
  <c r="R113" i="43"/>
  <c r="A113" i="43"/>
  <c r="A114" i="43" s="1"/>
  <c r="A115" i="43" s="1"/>
  <c r="A116" i="43" s="1"/>
  <c r="A117" i="43" s="1"/>
  <c r="A118" i="43" s="1"/>
  <c r="A100" i="43"/>
  <c r="A101" i="43" s="1"/>
  <c r="R95" i="43"/>
  <c r="T94" i="43"/>
  <c r="R97" i="43"/>
  <c r="L84" i="43"/>
  <c r="L68" i="43"/>
  <c r="L81" i="43" s="1"/>
  <c r="T78" i="43"/>
  <c r="R68" i="43"/>
  <c r="P68" i="43"/>
  <c r="J68" i="43"/>
  <c r="J81" i="43" s="1"/>
  <c r="T66" i="43"/>
  <c r="T65" i="43"/>
  <c r="P55" i="43"/>
  <c r="P54" i="43"/>
  <c r="T48" i="43"/>
  <c r="N41" i="43"/>
  <c r="J41" i="43"/>
  <c r="D41" i="43"/>
  <c r="P34" i="43"/>
  <c r="N34" i="43"/>
  <c r="L34" i="43"/>
  <c r="J34" i="43"/>
  <c r="H34" i="43"/>
  <c r="F34" i="43"/>
  <c r="D34" i="43"/>
  <c r="P33" i="43"/>
  <c r="N33" i="43"/>
  <c r="L33" i="43"/>
  <c r="J33" i="43"/>
  <c r="H33" i="43"/>
  <c r="F33" i="43"/>
  <c r="D33" i="43"/>
  <c r="T32" i="43"/>
  <c r="P31" i="43"/>
  <c r="N31" i="43"/>
  <c r="L31" i="43"/>
  <c r="J31" i="43"/>
  <c r="H31" i="43"/>
  <c r="F31" i="43"/>
  <c r="D31" i="43"/>
  <c r="P30" i="43"/>
  <c r="N30" i="43"/>
  <c r="L30" i="43"/>
  <c r="J30" i="43"/>
  <c r="H30" i="43"/>
  <c r="F30" i="43"/>
  <c r="D30" i="43"/>
  <c r="S260" i="43"/>
  <c r="T168" i="42"/>
  <c r="T101" i="42"/>
  <c r="T88" i="42"/>
  <c r="T93" i="42" s="1"/>
  <c r="T87" i="42"/>
  <c r="R86" i="42"/>
  <c r="R93" i="42" s="1"/>
  <c r="N65" i="42"/>
  <c r="N42" i="42"/>
  <c r="J42" i="42"/>
  <c r="D42" i="42"/>
  <c r="S278" i="42"/>
  <c r="R278" i="42"/>
  <c r="Q278" i="42"/>
  <c r="P278" i="42"/>
  <c r="Q216" i="42" s="1"/>
  <c r="R266" i="42"/>
  <c r="S258" i="42" s="1"/>
  <c r="P266" i="42"/>
  <c r="R254" i="42"/>
  <c r="S247" i="42" s="1"/>
  <c r="P254" i="42"/>
  <c r="Q248" i="42" s="1"/>
  <c r="R240" i="42"/>
  <c r="P240" i="42"/>
  <c r="R239" i="42"/>
  <c r="P239" i="42"/>
  <c r="R238" i="42"/>
  <c r="P238" i="42"/>
  <c r="R237" i="42"/>
  <c r="P237" i="42"/>
  <c r="R236" i="42"/>
  <c r="P236" i="42"/>
  <c r="R235" i="42"/>
  <c r="P235" i="42"/>
  <c r="R234" i="42"/>
  <c r="P234" i="42"/>
  <c r="R233" i="42"/>
  <c r="R242" i="42" s="1"/>
  <c r="S236" i="42" s="1"/>
  <c r="P233" i="42"/>
  <c r="T180" i="42"/>
  <c r="T166" i="42"/>
  <c r="T147" i="42"/>
  <c r="B134" i="42"/>
  <c r="B195" i="42" s="1"/>
  <c r="B290" i="42" s="1"/>
  <c r="R122" i="42"/>
  <c r="R120" i="42"/>
  <c r="R113" i="42"/>
  <c r="A113" i="42"/>
  <c r="A114" i="42" s="1"/>
  <c r="A115" i="42" s="1"/>
  <c r="A116" i="42" s="1"/>
  <c r="A117" i="42" s="1"/>
  <c r="A118" i="42" s="1"/>
  <c r="A100" i="42"/>
  <c r="A101" i="42" s="1"/>
  <c r="R95" i="42"/>
  <c r="T94" i="42"/>
  <c r="L84" i="42"/>
  <c r="T78" i="42"/>
  <c r="R68" i="42"/>
  <c r="P68" i="42"/>
  <c r="L68" i="42"/>
  <c r="L81" i="42" s="1"/>
  <c r="J68" i="42"/>
  <c r="J81" i="42" s="1"/>
  <c r="T66" i="42"/>
  <c r="P55" i="42"/>
  <c r="P54" i="42"/>
  <c r="T48" i="42"/>
  <c r="N41" i="42"/>
  <c r="J41" i="42"/>
  <c r="D41" i="42"/>
  <c r="P34" i="42"/>
  <c r="N34" i="42"/>
  <c r="L34" i="42"/>
  <c r="J34" i="42"/>
  <c r="H34" i="42"/>
  <c r="F34" i="42"/>
  <c r="D34" i="42"/>
  <c r="P33" i="42"/>
  <c r="N33" i="42"/>
  <c r="L33" i="42"/>
  <c r="J33" i="42"/>
  <c r="H33" i="42"/>
  <c r="F33" i="42"/>
  <c r="D33" i="42"/>
  <c r="T32" i="42"/>
  <c r="T138" i="42" s="1"/>
  <c r="P31" i="42"/>
  <c r="N31" i="42"/>
  <c r="L31" i="42"/>
  <c r="J31" i="42"/>
  <c r="H31" i="42"/>
  <c r="F31" i="42"/>
  <c r="D31" i="42"/>
  <c r="P30" i="42"/>
  <c r="N30" i="42"/>
  <c r="L30" i="42"/>
  <c r="J30" i="42"/>
  <c r="H30" i="42"/>
  <c r="F30" i="42"/>
  <c r="D30" i="42"/>
  <c r="T101" i="41"/>
  <c r="T88" i="41"/>
  <c r="T87" i="41"/>
  <c r="R86" i="41"/>
  <c r="N65" i="41"/>
  <c r="R210" i="41" s="1"/>
  <c r="N42" i="41"/>
  <c r="J42" i="41"/>
  <c r="D42" i="41"/>
  <c r="S278" i="41"/>
  <c r="R278" i="41"/>
  <c r="R216" i="41" s="1"/>
  <c r="Q278" i="41"/>
  <c r="P278" i="41"/>
  <c r="R266" i="41"/>
  <c r="P266" i="41"/>
  <c r="R254" i="41"/>
  <c r="S252" i="41" s="1"/>
  <c r="P254" i="41"/>
  <c r="R240" i="41"/>
  <c r="P240" i="41"/>
  <c r="R239" i="41"/>
  <c r="P239" i="41"/>
  <c r="R238" i="41"/>
  <c r="P238" i="41"/>
  <c r="R237" i="41"/>
  <c r="P237" i="41"/>
  <c r="R236" i="41"/>
  <c r="P236" i="41"/>
  <c r="R235" i="41"/>
  <c r="P235" i="41"/>
  <c r="R234" i="41"/>
  <c r="P234" i="41"/>
  <c r="R233" i="41"/>
  <c r="P233" i="41"/>
  <c r="T180" i="41"/>
  <c r="T166" i="41"/>
  <c r="T147" i="41"/>
  <c r="T32" i="41"/>
  <c r="B134" i="41"/>
  <c r="B195" i="41" s="1"/>
  <c r="B290" i="41" s="1"/>
  <c r="R122" i="41"/>
  <c r="R120" i="41"/>
  <c r="R113" i="41"/>
  <c r="A113" i="41"/>
  <c r="A114" i="41" s="1"/>
  <c r="A115" i="41" s="1"/>
  <c r="A116" i="41" s="1"/>
  <c r="A117" i="41" s="1"/>
  <c r="A118" i="41" s="1"/>
  <c r="A100" i="41"/>
  <c r="A101" i="41" s="1"/>
  <c r="R95" i="41"/>
  <c r="T94" i="41"/>
  <c r="R93" i="41"/>
  <c r="L84" i="41"/>
  <c r="T78" i="41"/>
  <c r="R68" i="41"/>
  <c r="P68" i="41"/>
  <c r="L68" i="41"/>
  <c r="L81" i="41" s="1"/>
  <c r="J68" i="41"/>
  <c r="J81" i="41" s="1"/>
  <c r="T66" i="41"/>
  <c r="P55" i="41"/>
  <c r="P54" i="41"/>
  <c r="T48" i="41"/>
  <c r="N41" i="41"/>
  <c r="J41" i="41"/>
  <c r="D41" i="41"/>
  <c r="P34" i="41"/>
  <c r="N34" i="41"/>
  <c r="L34" i="41"/>
  <c r="J34" i="41"/>
  <c r="H34" i="41"/>
  <c r="F34" i="41"/>
  <c r="D34" i="41"/>
  <c r="P33" i="41"/>
  <c r="N33" i="41"/>
  <c r="L33" i="41"/>
  <c r="J33" i="41"/>
  <c r="H33" i="41"/>
  <c r="F33" i="41"/>
  <c r="D33" i="41"/>
  <c r="P31" i="41"/>
  <c r="N31" i="41"/>
  <c r="L31" i="41"/>
  <c r="J31" i="41"/>
  <c r="H31" i="41"/>
  <c r="F31" i="41"/>
  <c r="D31" i="41"/>
  <c r="P30" i="41"/>
  <c r="N30" i="41"/>
  <c r="L30" i="41"/>
  <c r="J30" i="41"/>
  <c r="H30" i="41"/>
  <c r="F30" i="41"/>
  <c r="D30" i="41"/>
  <c r="S249" i="41"/>
  <c r="S251" i="41"/>
  <c r="S248" i="41"/>
  <c r="T165" i="41"/>
  <c r="T168" i="40"/>
  <c r="T101" i="40"/>
  <c r="T88" i="40"/>
  <c r="T93" i="40" s="1"/>
  <c r="T87" i="40"/>
  <c r="R86" i="40"/>
  <c r="R93" i="40" s="1"/>
  <c r="N65" i="40"/>
  <c r="N42" i="40"/>
  <c r="J42" i="40"/>
  <c r="D42" i="40"/>
  <c r="S278" i="40"/>
  <c r="R278" i="40"/>
  <c r="R216" i="40" s="1"/>
  <c r="Q278" i="40"/>
  <c r="P278" i="40"/>
  <c r="Q216" i="40" s="1"/>
  <c r="R266" i="40"/>
  <c r="S259" i="40" s="1"/>
  <c r="P266" i="40"/>
  <c r="Q260" i="40" s="1"/>
  <c r="R254" i="40"/>
  <c r="P254" i="40"/>
  <c r="Q247" i="40" s="1"/>
  <c r="R240" i="40"/>
  <c r="P240" i="40"/>
  <c r="R239" i="40"/>
  <c r="P239" i="40"/>
  <c r="R238" i="40"/>
  <c r="P238" i="40"/>
  <c r="R237" i="40"/>
  <c r="P237" i="40"/>
  <c r="R236" i="40"/>
  <c r="P236" i="40"/>
  <c r="R235" i="40"/>
  <c r="P235" i="40"/>
  <c r="R234" i="40"/>
  <c r="P234" i="40"/>
  <c r="R233" i="40"/>
  <c r="P233" i="40"/>
  <c r="T180" i="40"/>
  <c r="T166" i="40"/>
  <c r="T147" i="40"/>
  <c r="B134" i="40"/>
  <c r="B195" i="40" s="1"/>
  <c r="B290" i="40" s="1"/>
  <c r="R122" i="40"/>
  <c r="R120" i="40"/>
  <c r="R113" i="40"/>
  <c r="A113" i="40"/>
  <c r="A114" i="40" s="1"/>
  <c r="A115" i="40" s="1"/>
  <c r="A116" i="40" s="1"/>
  <c r="A117" i="40" s="1"/>
  <c r="A118" i="40" s="1"/>
  <c r="A100" i="40"/>
  <c r="A101" i="40" s="1"/>
  <c r="R95" i="40"/>
  <c r="T94" i="40"/>
  <c r="L84" i="40"/>
  <c r="T78" i="40"/>
  <c r="R68" i="40"/>
  <c r="P68" i="40"/>
  <c r="L68" i="40"/>
  <c r="L81" i="40" s="1"/>
  <c r="J68" i="40"/>
  <c r="J81" i="40" s="1"/>
  <c r="T66" i="40"/>
  <c r="P55" i="40"/>
  <c r="P54" i="40"/>
  <c r="T48" i="40"/>
  <c r="N41" i="40"/>
  <c r="J41" i="40"/>
  <c r="D41" i="40"/>
  <c r="P34" i="40"/>
  <c r="N34" i="40"/>
  <c r="L34" i="40"/>
  <c r="J34" i="40"/>
  <c r="H34" i="40"/>
  <c r="F34" i="40"/>
  <c r="D34" i="40"/>
  <c r="P33" i="40"/>
  <c r="N33" i="40"/>
  <c r="L33" i="40"/>
  <c r="J33" i="40"/>
  <c r="H33" i="40"/>
  <c r="F33" i="40"/>
  <c r="D33" i="40"/>
  <c r="T32" i="40"/>
  <c r="T138" i="40" s="1"/>
  <c r="P31" i="40"/>
  <c r="N31" i="40"/>
  <c r="L31" i="40"/>
  <c r="J31" i="40"/>
  <c r="H31" i="40"/>
  <c r="F31" i="40"/>
  <c r="D31" i="40"/>
  <c r="P30" i="40"/>
  <c r="N30" i="40"/>
  <c r="L30" i="40"/>
  <c r="J30" i="40"/>
  <c r="H30" i="40"/>
  <c r="F30" i="40"/>
  <c r="D30" i="40"/>
  <c r="S245" i="40"/>
  <c r="S250" i="40"/>
  <c r="Q261" i="40"/>
  <c r="T165" i="40"/>
  <c r="T101" i="39"/>
  <c r="T88" i="39"/>
  <c r="T87" i="39"/>
  <c r="R86" i="39"/>
  <c r="R93" i="39" s="1"/>
  <c r="N65" i="39"/>
  <c r="N42" i="39"/>
  <c r="J42" i="39"/>
  <c r="D42" i="39"/>
  <c r="S278" i="39"/>
  <c r="R278" i="39"/>
  <c r="R216" i="39" s="1"/>
  <c r="Q278" i="39"/>
  <c r="P278" i="39"/>
  <c r="Q216" i="39" s="1"/>
  <c r="R266" i="39"/>
  <c r="P266" i="39"/>
  <c r="R254" i="39"/>
  <c r="S251" i="39" s="1"/>
  <c r="P254" i="39"/>
  <c r="R240" i="39"/>
  <c r="P240" i="39"/>
  <c r="R239" i="39"/>
  <c r="P239" i="39"/>
  <c r="R238" i="39"/>
  <c r="P238" i="39"/>
  <c r="R237" i="39"/>
  <c r="P237" i="39"/>
  <c r="R236" i="39"/>
  <c r="P236" i="39"/>
  <c r="R235" i="39"/>
  <c r="P235" i="39"/>
  <c r="R234" i="39"/>
  <c r="P234" i="39"/>
  <c r="R233" i="39"/>
  <c r="P233" i="39"/>
  <c r="T180" i="39"/>
  <c r="T166" i="39"/>
  <c r="T147" i="39"/>
  <c r="B134" i="39"/>
  <c r="B195" i="39" s="1"/>
  <c r="B290" i="39" s="1"/>
  <c r="R122" i="39"/>
  <c r="R120" i="39"/>
  <c r="R113" i="39"/>
  <c r="A113" i="39"/>
  <c r="A114" i="39" s="1"/>
  <c r="A115" i="39" s="1"/>
  <c r="A116" i="39" s="1"/>
  <c r="A117" i="39" s="1"/>
  <c r="A118" i="39" s="1"/>
  <c r="A100" i="39"/>
  <c r="A101" i="39" s="1"/>
  <c r="R95" i="39"/>
  <c r="T94" i="39"/>
  <c r="L84" i="39"/>
  <c r="T78" i="39"/>
  <c r="R68" i="39"/>
  <c r="P68" i="39"/>
  <c r="L68" i="39"/>
  <c r="L81" i="39" s="1"/>
  <c r="J68" i="39"/>
  <c r="J81" i="39" s="1"/>
  <c r="T66" i="39"/>
  <c r="P55" i="39"/>
  <c r="P54" i="39"/>
  <c r="T48" i="39"/>
  <c r="N41" i="39"/>
  <c r="J41" i="39"/>
  <c r="D41" i="39"/>
  <c r="P34" i="39"/>
  <c r="N34" i="39"/>
  <c r="L34" i="39"/>
  <c r="J34" i="39"/>
  <c r="H34" i="39"/>
  <c r="F34" i="39"/>
  <c r="D34" i="39"/>
  <c r="P33" i="39"/>
  <c r="N33" i="39"/>
  <c r="L33" i="39"/>
  <c r="J33" i="39"/>
  <c r="H33" i="39"/>
  <c r="F33" i="39"/>
  <c r="D33" i="39"/>
  <c r="T32" i="39"/>
  <c r="T138" i="39" s="1"/>
  <c r="P31" i="39"/>
  <c r="N31" i="39"/>
  <c r="L31" i="39"/>
  <c r="J31" i="39"/>
  <c r="H31" i="39"/>
  <c r="F31" i="39"/>
  <c r="D31" i="39"/>
  <c r="P30" i="39"/>
  <c r="N30" i="39"/>
  <c r="L30" i="39"/>
  <c r="J30" i="39"/>
  <c r="H30" i="39"/>
  <c r="F30" i="39"/>
  <c r="D30" i="39"/>
  <c r="S250" i="39"/>
  <c r="S252" i="39"/>
  <c r="S247" i="39"/>
  <c r="S245" i="39"/>
  <c r="S263" i="39"/>
  <c r="R215" i="39"/>
  <c r="S246" i="39"/>
  <c r="S249" i="39"/>
  <c r="S248" i="39"/>
  <c r="L84" i="38"/>
  <c r="T101" i="38"/>
  <c r="T88" i="38"/>
  <c r="T87" i="38"/>
  <c r="R86" i="38"/>
  <c r="R93" i="38" s="1"/>
  <c r="P65" i="38"/>
  <c r="N65" i="38"/>
  <c r="R210" i="38" s="1"/>
  <c r="N42" i="38"/>
  <c r="J42" i="38"/>
  <c r="D42" i="38"/>
  <c r="S278" i="38"/>
  <c r="R278" i="38"/>
  <c r="Q278" i="38"/>
  <c r="P278" i="38"/>
  <c r="R266" i="38"/>
  <c r="S264" i="38" s="1"/>
  <c r="P266" i="38"/>
  <c r="S257" i="38"/>
  <c r="R254" i="38"/>
  <c r="S251" i="38" s="1"/>
  <c r="P254" i="38"/>
  <c r="Q246" i="38" s="1"/>
  <c r="R240" i="38"/>
  <c r="P240" i="38"/>
  <c r="R239" i="38"/>
  <c r="P239" i="38"/>
  <c r="R238" i="38"/>
  <c r="P238" i="38"/>
  <c r="R237" i="38"/>
  <c r="P237" i="38"/>
  <c r="R236" i="38"/>
  <c r="P236" i="38"/>
  <c r="R235" i="38"/>
  <c r="P235" i="38"/>
  <c r="R234" i="38"/>
  <c r="P234" i="38"/>
  <c r="P242" i="38" s="1"/>
  <c r="Q233" i="38" s="1"/>
  <c r="R233" i="38"/>
  <c r="P233" i="38"/>
  <c r="Q216" i="38"/>
  <c r="T180" i="38"/>
  <c r="T168" i="38"/>
  <c r="T166" i="38"/>
  <c r="T147" i="38"/>
  <c r="B134" i="38"/>
  <c r="B195" i="38" s="1"/>
  <c r="B290" i="38" s="1"/>
  <c r="R122" i="38"/>
  <c r="R120" i="38"/>
  <c r="R113" i="38"/>
  <c r="A113" i="38"/>
  <c r="A114" i="38" s="1"/>
  <c r="A115" i="38" s="1"/>
  <c r="A116" i="38" s="1"/>
  <c r="A117" i="38" s="1"/>
  <c r="A118" i="38" s="1"/>
  <c r="A100" i="38"/>
  <c r="A101" i="38" s="1"/>
  <c r="R95" i="38"/>
  <c r="T94" i="38"/>
  <c r="T78" i="38"/>
  <c r="R68" i="38"/>
  <c r="L68" i="38"/>
  <c r="L81" i="38" s="1"/>
  <c r="J68" i="38"/>
  <c r="J81" i="38" s="1"/>
  <c r="T66" i="38"/>
  <c r="P55" i="38"/>
  <c r="P54" i="38"/>
  <c r="T48" i="38"/>
  <c r="N41" i="38"/>
  <c r="J41" i="38"/>
  <c r="D41" i="38"/>
  <c r="P34" i="38"/>
  <c r="N34" i="38"/>
  <c r="L34" i="38"/>
  <c r="J34" i="38"/>
  <c r="H34" i="38"/>
  <c r="F34" i="38"/>
  <c r="D34" i="38"/>
  <c r="P33" i="38"/>
  <c r="N33" i="38"/>
  <c r="L33" i="38"/>
  <c r="J33" i="38"/>
  <c r="H33" i="38"/>
  <c r="F33" i="38"/>
  <c r="D33" i="38"/>
  <c r="T32" i="38"/>
  <c r="T138" i="38" s="1"/>
  <c r="P31" i="38"/>
  <c r="N31" i="38"/>
  <c r="L31" i="38"/>
  <c r="J31" i="38"/>
  <c r="H31" i="38"/>
  <c r="F31" i="38"/>
  <c r="D31" i="38"/>
  <c r="P30" i="38"/>
  <c r="N30" i="38"/>
  <c r="L30" i="38"/>
  <c r="J30" i="38"/>
  <c r="H30" i="38"/>
  <c r="F30" i="38"/>
  <c r="D30" i="38"/>
  <c r="S263" i="38"/>
  <c r="T165" i="38"/>
  <c r="R215" i="38"/>
  <c r="S248" i="38"/>
  <c r="S246" i="38"/>
  <c r="S250" i="38"/>
  <c r="S249" i="38"/>
  <c r="Q245" i="38"/>
  <c r="Q247" i="38"/>
  <c r="Q249" i="38"/>
  <c r="Q251" i="38"/>
  <c r="T101" i="37"/>
  <c r="T88" i="37"/>
  <c r="T87" i="37"/>
  <c r="R86" i="37"/>
  <c r="R93" i="37" s="1"/>
  <c r="N65" i="37"/>
  <c r="T65" i="37" s="1"/>
  <c r="N42" i="37"/>
  <c r="J42" i="37"/>
  <c r="D42" i="37"/>
  <c r="T168" i="37"/>
  <c r="S278" i="37"/>
  <c r="R278" i="37"/>
  <c r="Q278" i="37"/>
  <c r="P278" i="37"/>
  <c r="Q216" i="37" s="1"/>
  <c r="R266" i="37"/>
  <c r="S264" i="37" s="1"/>
  <c r="P266" i="37"/>
  <c r="Q215" i="37" s="1"/>
  <c r="S259" i="37"/>
  <c r="R254" i="37"/>
  <c r="P254" i="37"/>
  <c r="R240" i="37"/>
  <c r="P240" i="37"/>
  <c r="R239" i="37"/>
  <c r="P239" i="37"/>
  <c r="R238" i="37"/>
  <c r="P238" i="37"/>
  <c r="R237" i="37"/>
  <c r="P237" i="37"/>
  <c r="R236" i="37"/>
  <c r="P236" i="37"/>
  <c r="R235" i="37"/>
  <c r="P235" i="37"/>
  <c r="R234" i="37"/>
  <c r="P234" i="37"/>
  <c r="R233" i="37"/>
  <c r="P233" i="37"/>
  <c r="R216" i="37"/>
  <c r="R210" i="37"/>
  <c r="T180" i="37"/>
  <c r="T166" i="37"/>
  <c r="T147" i="37"/>
  <c r="B134" i="37"/>
  <c r="B195" i="37" s="1"/>
  <c r="B290" i="37" s="1"/>
  <c r="R122" i="37"/>
  <c r="R120" i="37"/>
  <c r="R113" i="37"/>
  <c r="A113" i="37"/>
  <c r="A114" i="37" s="1"/>
  <c r="A115" i="37" s="1"/>
  <c r="A116" i="37" s="1"/>
  <c r="A117" i="37" s="1"/>
  <c r="A118" i="37" s="1"/>
  <c r="A100" i="37"/>
  <c r="A101" i="37" s="1"/>
  <c r="R95" i="37"/>
  <c r="T94" i="37"/>
  <c r="L84" i="37"/>
  <c r="T78" i="37"/>
  <c r="R68" i="37"/>
  <c r="P68" i="37"/>
  <c r="N68" i="37"/>
  <c r="L68" i="37"/>
  <c r="L81" i="37" s="1"/>
  <c r="J68" i="37"/>
  <c r="J81" i="37" s="1"/>
  <c r="T66" i="37"/>
  <c r="P55" i="37"/>
  <c r="P54" i="37"/>
  <c r="T48" i="37"/>
  <c r="N41" i="37"/>
  <c r="J41" i="37"/>
  <c r="D41" i="37"/>
  <c r="P34" i="37"/>
  <c r="N34" i="37"/>
  <c r="L34" i="37"/>
  <c r="J34" i="37"/>
  <c r="H34" i="37"/>
  <c r="F34" i="37"/>
  <c r="D34" i="37"/>
  <c r="P33" i="37"/>
  <c r="N33" i="37"/>
  <c r="L33" i="37"/>
  <c r="J33" i="37"/>
  <c r="H33" i="37"/>
  <c r="F33" i="37"/>
  <c r="D33" i="37"/>
  <c r="T32" i="37"/>
  <c r="T50" i="37" s="1"/>
  <c r="T138" i="37"/>
  <c r="P31" i="37"/>
  <c r="N31" i="37"/>
  <c r="L31" i="37"/>
  <c r="J31" i="37"/>
  <c r="H31" i="37"/>
  <c r="F31" i="37"/>
  <c r="D31" i="37"/>
  <c r="P30" i="37"/>
  <c r="N30" i="37"/>
  <c r="L30" i="37"/>
  <c r="J30" i="37"/>
  <c r="H30" i="37"/>
  <c r="F30" i="37"/>
  <c r="D30" i="37"/>
  <c r="S261" i="37"/>
  <c r="S248" i="37"/>
  <c r="S263" i="37"/>
  <c r="S258" i="37"/>
  <c r="S260" i="37"/>
  <c r="S262" i="37"/>
  <c r="T165" i="37"/>
  <c r="R86" i="36"/>
  <c r="R93" i="36" s="1"/>
  <c r="T101" i="36"/>
  <c r="T88" i="36"/>
  <c r="T87" i="36"/>
  <c r="N42" i="36"/>
  <c r="J42" i="36"/>
  <c r="D42" i="36"/>
  <c r="S278" i="36"/>
  <c r="R278" i="36"/>
  <c r="R216" i="36" s="1"/>
  <c r="Q278" i="36"/>
  <c r="P278" i="36"/>
  <c r="Q216" i="36" s="1"/>
  <c r="R266" i="36"/>
  <c r="S264" i="36"/>
  <c r="P266" i="36"/>
  <c r="Q257" i="36" s="1"/>
  <c r="R254" i="36"/>
  <c r="S251" i="36" s="1"/>
  <c r="P254" i="36"/>
  <c r="R240" i="36"/>
  <c r="P240" i="36"/>
  <c r="R239" i="36"/>
  <c r="P239" i="36"/>
  <c r="R238" i="36"/>
  <c r="P238" i="36"/>
  <c r="R237" i="36"/>
  <c r="P237" i="36"/>
  <c r="R236" i="36"/>
  <c r="P236" i="36"/>
  <c r="R235" i="36"/>
  <c r="P235" i="36"/>
  <c r="R234" i="36"/>
  <c r="P234" i="36"/>
  <c r="R233" i="36"/>
  <c r="P233" i="36"/>
  <c r="T180" i="36"/>
  <c r="T166" i="36"/>
  <c r="T147" i="36"/>
  <c r="B134" i="36"/>
  <c r="B195" i="36" s="1"/>
  <c r="B290" i="36" s="1"/>
  <c r="R122" i="36"/>
  <c r="R120" i="36"/>
  <c r="R113" i="36"/>
  <c r="A113" i="36"/>
  <c r="A114" i="36" s="1"/>
  <c r="A115" i="36" s="1"/>
  <c r="A116" i="36" s="1"/>
  <c r="A117" i="36" s="1"/>
  <c r="A118" i="36" s="1"/>
  <c r="A100" i="36"/>
  <c r="A101" i="36" s="1"/>
  <c r="R95" i="36"/>
  <c r="T94" i="36"/>
  <c r="L84" i="36"/>
  <c r="T78" i="36"/>
  <c r="R68" i="36"/>
  <c r="P68" i="36"/>
  <c r="L68" i="36"/>
  <c r="L81" i="36" s="1"/>
  <c r="J68" i="36"/>
  <c r="J81" i="36" s="1"/>
  <c r="T66" i="36"/>
  <c r="R210" i="36"/>
  <c r="P55" i="36"/>
  <c r="P54" i="36"/>
  <c r="T48" i="36"/>
  <c r="N41" i="36"/>
  <c r="J41" i="36"/>
  <c r="D41" i="36"/>
  <c r="P34" i="36"/>
  <c r="N34" i="36"/>
  <c r="L34" i="36"/>
  <c r="J34" i="36"/>
  <c r="H34" i="36"/>
  <c r="F34" i="36"/>
  <c r="D34" i="36"/>
  <c r="P33" i="36"/>
  <c r="N33" i="36"/>
  <c r="L33" i="36"/>
  <c r="J33" i="36"/>
  <c r="H33" i="36"/>
  <c r="F33" i="36"/>
  <c r="D33" i="36"/>
  <c r="T32" i="36"/>
  <c r="T138" i="36" s="1"/>
  <c r="P31" i="36"/>
  <c r="N31" i="36"/>
  <c r="L31" i="36"/>
  <c r="J31" i="36"/>
  <c r="H31" i="36"/>
  <c r="F31" i="36"/>
  <c r="D31" i="36"/>
  <c r="P30" i="36"/>
  <c r="N30" i="36"/>
  <c r="L30" i="36"/>
  <c r="J30" i="36"/>
  <c r="H30" i="36"/>
  <c r="F30" i="36"/>
  <c r="D30" i="36"/>
  <c r="S262" i="36"/>
  <c r="R215" i="36"/>
  <c r="Q263" i="36"/>
  <c r="S258" i="36"/>
  <c r="Q264" i="36"/>
  <c r="S252" i="36"/>
  <c r="S245" i="36"/>
  <c r="T65" i="36"/>
  <c r="N68" i="36"/>
  <c r="T165" i="36"/>
  <c r="T87" i="35"/>
  <c r="T101" i="35"/>
  <c r="T88" i="35"/>
  <c r="R86" i="35"/>
  <c r="N65" i="35"/>
  <c r="R210" i="35" s="1"/>
  <c r="N42" i="35"/>
  <c r="J42" i="35"/>
  <c r="D42" i="35"/>
  <c r="T168" i="35"/>
  <c r="S278" i="35"/>
  <c r="R278" i="35"/>
  <c r="R216" i="35" s="1"/>
  <c r="Q278" i="35"/>
  <c r="P278" i="35"/>
  <c r="Q216" i="35" s="1"/>
  <c r="R266" i="35"/>
  <c r="P266" i="35"/>
  <c r="Q215" i="35" s="1"/>
  <c r="R254" i="35"/>
  <c r="S246" i="35" s="1"/>
  <c r="P254" i="35"/>
  <c r="Q248" i="35" s="1"/>
  <c r="R240" i="35"/>
  <c r="P240" i="35"/>
  <c r="R239" i="35"/>
  <c r="P239" i="35"/>
  <c r="R238" i="35"/>
  <c r="P238" i="35"/>
  <c r="R237" i="35"/>
  <c r="P237" i="35"/>
  <c r="R236" i="35"/>
  <c r="P236" i="35"/>
  <c r="R235" i="35"/>
  <c r="P235" i="35"/>
  <c r="R234" i="35"/>
  <c r="P234" i="35"/>
  <c r="R233" i="35"/>
  <c r="P233" i="35"/>
  <c r="P242" i="35" s="1"/>
  <c r="T166" i="35"/>
  <c r="T147" i="35"/>
  <c r="B134" i="35"/>
  <c r="B195" i="35" s="1"/>
  <c r="B290" i="35" s="1"/>
  <c r="R122" i="35"/>
  <c r="R120" i="35"/>
  <c r="R113" i="35"/>
  <c r="A113" i="35"/>
  <c r="A114" i="35" s="1"/>
  <c r="A115" i="35" s="1"/>
  <c r="A116" i="35" s="1"/>
  <c r="A117" i="35" s="1"/>
  <c r="A118" i="35" s="1"/>
  <c r="A100" i="35"/>
  <c r="A101" i="35" s="1"/>
  <c r="R95" i="35"/>
  <c r="T94" i="35"/>
  <c r="R93" i="35"/>
  <c r="L84" i="35"/>
  <c r="T78" i="35"/>
  <c r="R68" i="35"/>
  <c r="L68" i="35"/>
  <c r="L81" i="35" s="1"/>
  <c r="J68" i="35"/>
  <c r="J81" i="35" s="1"/>
  <c r="T66" i="35"/>
  <c r="P68" i="35"/>
  <c r="P55" i="35"/>
  <c r="P54" i="35"/>
  <c r="T48" i="35"/>
  <c r="N41" i="35"/>
  <c r="J41" i="35"/>
  <c r="D41" i="35"/>
  <c r="P34" i="35"/>
  <c r="N34" i="35"/>
  <c r="L34" i="35"/>
  <c r="J34" i="35"/>
  <c r="H34" i="35"/>
  <c r="F34" i="35"/>
  <c r="D34" i="35"/>
  <c r="P33" i="35"/>
  <c r="N33" i="35"/>
  <c r="L33" i="35"/>
  <c r="J33" i="35"/>
  <c r="H33" i="35"/>
  <c r="F33" i="35"/>
  <c r="D33" i="35"/>
  <c r="T32" i="35"/>
  <c r="T50" i="35" s="1"/>
  <c r="P31" i="35"/>
  <c r="N31" i="35"/>
  <c r="L31" i="35"/>
  <c r="J31" i="35"/>
  <c r="H31" i="35"/>
  <c r="F31" i="35"/>
  <c r="D31" i="35"/>
  <c r="P30" i="35"/>
  <c r="N30" i="35"/>
  <c r="L30" i="35"/>
  <c r="J30" i="35"/>
  <c r="H30" i="35"/>
  <c r="F30" i="35"/>
  <c r="D30" i="35"/>
  <c r="S247" i="35"/>
  <c r="Q257" i="35"/>
  <c r="Q252" i="35"/>
  <c r="T180" i="35"/>
  <c r="T101" i="34"/>
  <c r="T88" i="34"/>
  <c r="T87" i="34"/>
  <c r="R86" i="34"/>
  <c r="R93" i="34" s="1"/>
  <c r="P65" i="34"/>
  <c r="P68" i="34" s="1"/>
  <c r="N65" i="34"/>
  <c r="N68" i="34" s="1"/>
  <c r="N42" i="34"/>
  <c r="J42" i="34"/>
  <c r="D42" i="34"/>
  <c r="S278" i="34"/>
  <c r="R278" i="34"/>
  <c r="R216" i="34" s="1"/>
  <c r="Q278" i="34"/>
  <c r="P278" i="34"/>
  <c r="R266" i="34"/>
  <c r="S259" i="34" s="1"/>
  <c r="P266" i="34"/>
  <c r="R254" i="34"/>
  <c r="P254" i="34"/>
  <c r="R240" i="34"/>
  <c r="P240" i="34"/>
  <c r="R239" i="34"/>
  <c r="P239" i="34"/>
  <c r="R238" i="34"/>
  <c r="P238" i="34"/>
  <c r="R237" i="34"/>
  <c r="P237" i="34"/>
  <c r="R236" i="34"/>
  <c r="P236" i="34"/>
  <c r="R235" i="34"/>
  <c r="P235" i="34"/>
  <c r="R234" i="34"/>
  <c r="R242" i="34" s="1"/>
  <c r="P234" i="34"/>
  <c r="R233" i="34"/>
  <c r="P233" i="34"/>
  <c r="Q216" i="34"/>
  <c r="T180" i="34"/>
  <c r="T166" i="34"/>
  <c r="T147" i="34"/>
  <c r="B134" i="34"/>
  <c r="B195" i="34" s="1"/>
  <c r="B290" i="34" s="1"/>
  <c r="R122" i="34"/>
  <c r="R120" i="34"/>
  <c r="R113" i="34"/>
  <c r="A113" i="34"/>
  <c r="A114" i="34" s="1"/>
  <c r="A115" i="34" s="1"/>
  <c r="A116" i="34" s="1"/>
  <c r="A117" i="34" s="1"/>
  <c r="A118" i="34" s="1"/>
  <c r="A100" i="34"/>
  <c r="A101" i="34" s="1"/>
  <c r="R95" i="34"/>
  <c r="T94" i="34"/>
  <c r="L84" i="34"/>
  <c r="T78" i="34"/>
  <c r="R68" i="34"/>
  <c r="L68" i="34"/>
  <c r="L81" i="34" s="1"/>
  <c r="J68" i="34"/>
  <c r="J81" i="34" s="1"/>
  <c r="T66" i="34"/>
  <c r="P55" i="34"/>
  <c r="P54" i="34"/>
  <c r="T48" i="34"/>
  <c r="N41" i="34"/>
  <c r="J41" i="34"/>
  <c r="D41" i="34"/>
  <c r="P34" i="34"/>
  <c r="T49" i="34" s="1"/>
  <c r="N34" i="34"/>
  <c r="L34" i="34"/>
  <c r="J34" i="34"/>
  <c r="H34" i="34"/>
  <c r="F34" i="34"/>
  <c r="D34" i="34"/>
  <c r="P33" i="34"/>
  <c r="N33" i="34"/>
  <c r="L33" i="34"/>
  <c r="J33" i="34"/>
  <c r="H33" i="34"/>
  <c r="F33" i="34"/>
  <c r="D33" i="34"/>
  <c r="T32" i="34"/>
  <c r="T138" i="34" s="1"/>
  <c r="P31" i="34"/>
  <c r="N31" i="34"/>
  <c r="L31" i="34"/>
  <c r="J31" i="34"/>
  <c r="H31" i="34"/>
  <c r="F31" i="34"/>
  <c r="D31" i="34"/>
  <c r="P30" i="34"/>
  <c r="N30" i="34"/>
  <c r="L30" i="34"/>
  <c r="J30" i="34"/>
  <c r="H30" i="34"/>
  <c r="F30" i="34"/>
  <c r="D30" i="34"/>
  <c r="R86" i="33"/>
  <c r="R93" i="33" s="1"/>
  <c r="T94" i="33"/>
  <c r="T101" i="33"/>
  <c r="T88" i="33"/>
  <c r="T93" i="33" s="1"/>
  <c r="T97" i="33" s="1"/>
  <c r="T87" i="33"/>
  <c r="N65" i="33"/>
  <c r="N68" i="33" s="1"/>
  <c r="N42" i="33"/>
  <c r="J42" i="33"/>
  <c r="D42" i="33"/>
  <c r="S278" i="33"/>
  <c r="R278" i="33"/>
  <c r="R216" i="33" s="1"/>
  <c r="Q278" i="33"/>
  <c r="P278" i="33"/>
  <c r="Q216" i="33" s="1"/>
  <c r="R266" i="33"/>
  <c r="S262" i="33" s="1"/>
  <c r="P266" i="33"/>
  <c r="R254" i="33"/>
  <c r="P254" i="33"/>
  <c r="Q245" i="33" s="1"/>
  <c r="R240" i="33"/>
  <c r="P240" i="33"/>
  <c r="R239" i="33"/>
  <c r="P239" i="33"/>
  <c r="R238" i="33"/>
  <c r="P238" i="33"/>
  <c r="R237" i="33"/>
  <c r="P237" i="33"/>
  <c r="R236" i="33"/>
  <c r="P236" i="33"/>
  <c r="R235" i="33"/>
  <c r="P235" i="33"/>
  <c r="R234" i="33"/>
  <c r="P234" i="33"/>
  <c r="R233" i="33"/>
  <c r="R242" i="33" s="1"/>
  <c r="S238" i="33" s="1"/>
  <c r="P233" i="33"/>
  <c r="T180" i="33"/>
  <c r="T166" i="33"/>
  <c r="T147" i="33"/>
  <c r="B134" i="33"/>
  <c r="B195" i="33" s="1"/>
  <c r="B290" i="33" s="1"/>
  <c r="R122" i="33"/>
  <c r="R120" i="33"/>
  <c r="R113" i="33"/>
  <c r="A113" i="33"/>
  <c r="A114" i="33" s="1"/>
  <c r="A115" i="33" s="1"/>
  <c r="A116" i="33" s="1"/>
  <c r="A117" i="33" s="1"/>
  <c r="A118" i="33" s="1"/>
  <c r="A100" i="33"/>
  <c r="A101" i="33" s="1"/>
  <c r="R95" i="33"/>
  <c r="L84" i="33"/>
  <c r="T78" i="33"/>
  <c r="R68" i="33"/>
  <c r="L68" i="33"/>
  <c r="L81" i="33" s="1"/>
  <c r="J68" i="33"/>
  <c r="J81" i="33" s="1"/>
  <c r="T66" i="33"/>
  <c r="P68" i="33"/>
  <c r="P55" i="33"/>
  <c r="P54" i="33"/>
  <c r="T48" i="33"/>
  <c r="N41" i="33"/>
  <c r="J41" i="33"/>
  <c r="D41" i="33"/>
  <c r="P34" i="33"/>
  <c r="N34" i="33"/>
  <c r="L34" i="33"/>
  <c r="J34" i="33"/>
  <c r="T49" i="33" s="1"/>
  <c r="H34" i="33"/>
  <c r="F34" i="33"/>
  <c r="D34" i="33"/>
  <c r="P33" i="33"/>
  <c r="N33" i="33"/>
  <c r="L33" i="33"/>
  <c r="J33" i="33"/>
  <c r="H33" i="33"/>
  <c r="T33" i="33" s="1"/>
  <c r="T41" i="33" s="1"/>
  <c r="R202" i="33" s="1"/>
  <c r="R203" i="33" s="1"/>
  <c r="F33" i="33"/>
  <c r="D33" i="33"/>
  <c r="T32" i="33"/>
  <c r="T138" i="33" s="1"/>
  <c r="P31" i="33"/>
  <c r="N31" i="33"/>
  <c r="L31" i="33"/>
  <c r="J31" i="33"/>
  <c r="H31" i="33"/>
  <c r="F31" i="33"/>
  <c r="D31" i="33"/>
  <c r="P30" i="33"/>
  <c r="N30" i="33"/>
  <c r="L30" i="33"/>
  <c r="J30" i="33"/>
  <c r="H30" i="33"/>
  <c r="F30" i="33"/>
  <c r="D30" i="33"/>
  <c r="T101" i="32"/>
  <c r="T88" i="32"/>
  <c r="T87" i="32"/>
  <c r="R86" i="32"/>
  <c r="R93" i="32" s="1"/>
  <c r="P65" i="32"/>
  <c r="P68" i="32" s="1"/>
  <c r="N65" i="32"/>
  <c r="N42" i="32"/>
  <c r="J42" i="32"/>
  <c r="D42" i="32"/>
  <c r="S278" i="32"/>
  <c r="R278" i="32"/>
  <c r="Q278" i="32"/>
  <c r="P278" i="32"/>
  <c r="Q216" i="32" s="1"/>
  <c r="R266" i="32"/>
  <c r="R215" i="32" s="1"/>
  <c r="P266" i="32"/>
  <c r="R254" i="32"/>
  <c r="S252" i="32" s="1"/>
  <c r="P254" i="32"/>
  <c r="R240" i="32"/>
  <c r="P240" i="32"/>
  <c r="R239" i="32"/>
  <c r="P239" i="32"/>
  <c r="R238" i="32"/>
  <c r="P238" i="32"/>
  <c r="R237" i="32"/>
  <c r="P237" i="32"/>
  <c r="R236" i="32"/>
  <c r="P236" i="32"/>
  <c r="R235" i="32"/>
  <c r="P235" i="32"/>
  <c r="R234" i="32"/>
  <c r="P234" i="32"/>
  <c r="R233" i="32"/>
  <c r="P233" i="32"/>
  <c r="T180" i="32"/>
  <c r="T166" i="32"/>
  <c r="T147" i="32"/>
  <c r="B134" i="32"/>
  <c r="B195" i="32" s="1"/>
  <c r="B290" i="32" s="1"/>
  <c r="R122" i="32"/>
  <c r="R120" i="32"/>
  <c r="R113" i="32"/>
  <c r="A113" i="32"/>
  <c r="A114" i="32" s="1"/>
  <c r="A115" i="32" s="1"/>
  <c r="A116" i="32" s="1"/>
  <c r="A117" i="32" s="1"/>
  <c r="A118" i="32" s="1"/>
  <c r="A100" i="32"/>
  <c r="A101" i="32" s="1"/>
  <c r="R95" i="32"/>
  <c r="T94" i="32"/>
  <c r="L84" i="32"/>
  <c r="T78" i="32"/>
  <c r="R68" i="32"/>
  <c r="L68" i="32"/>
  <c r="L81" i="32" s="1"/>
  <c r="J68" i="32"/>
  <c r="J81" i="32" s="1"/>
  <c r="T66" i="32"/>
  <c r="P55" i="32"/>
  <c r="P54" i="32"/>
  <c r="T48" i="32"/>
  <c r="N41" i="32"/>
  <c r="J41" i="32"/>
  <c r="D41" i="32"/>
  <c r="P34" i="32"/>
  <c r="N34" i="32"/>
  <c r="L34" i="32"/>
  <c r="J34" i="32"/>
  <c r="H34" i="32"/>
  <c r="F34" i="32"/>
  <c r="D34" i="32"/>
  <c r="P33" i="32"/>
  <c r="N33" i="32"/>
  <c r="L33" i="32"/>
  <c r="J33" i="32"/>
  <c r="H33" i="32"/>
  <c r="F33" i="32"/>
  <c r="D33" i="32"/>
  <c r="T32" i="32"/>
  <c r="P31" i="32"/>
  <c r="N31" i="32"/>
  <c r="L31" i="32"/>
  <c r="J31" i="32"/>
  <c r="H31" i="32"/>
  <c r="F31" i="32"/>
  <c r="D31" i="32"/>
  <c r="P30" i="32"/>
  <c r="N30" i="32"/>
  <c r="L30" i="32"/>
  <c r="J30" i="32"/>
  <c r="H30" i="32"/>
  <c r="F30" i="32"/>
  <c r="D30" i="32"/>
  <c r="T168" i="31"/>
  <c r="T101" i="31"/>
  <c r="T88" i="31"/>
  <c r="T87" i="31"/>
  <c r="R86" i="31"/>
  <c r="R93" i="31" s="1"/>
  <c r="N65" i="31"/>
  <c r="N42" i="31"/>
  <c r="J42" i="31"/>
  <c r="D42" i="31"/>
  <c r="S278" i="31"/>
  <c r="R278" i="31"/>
  <c r="Q278" i="31"/>
  <c r="P278" i="31"/>
  <c r="Q216" i="31" s="1"/>
  <c r="R266" i="31"/>
  <c r="P266" i="31"/>
  <c r="Q264" i="31" s="1"/>
  <c r="R254" i="31"/>
  <c r="P254" i="31"/>
  <c r="Q249" i="31" s="1"/>
  <c r="R240" i="31"/>
  <c r="P240" i="31"/>
  <c r="R239" i="31"/>
  <c r="P239" i="31"/>
  <c r="R238" i="31"/>
  <c r="P238" i="31"/>
  <c r="R237" i="31"/>
  <c r="P237" i="31"/>
  <c r="R236" i="31"/>
  <c r="P236" i="31"/>
  <c r="R235" i="31"/>
  <c r="P235" i="31"/>
  <c r="R234" i="31"/>
  <c r="P234" i="31"/>
  <c r="R233" i="31"/>
  <c r="P233" i="31"/>
  <c r="R216" i="31"/>
  <c r="T180" i="31"/>
  <c r="T166" i="31"/>
  <c r="T147" i="31"/>
  <c r="B134" i="31"/>
  <c r="B195" i="31" s="1"/>
  <c r="B290" i="31" s="1"/>
  <c r="R122" i="31"/>
  <c r="R120" i="31"/>
  <c r="R113" i="31"/>
  <c r="A113" i="31"/>
  <c r="A114" i="31" s="1"/>
  <c r="A115" i="31" s="1"/>
  <c r="A116" i="31" s="1"/>
  <c r="A117" i="31" s="1"/>
  <c r="A118" i="31" s="1"/>
  <c r="A100" i="31"/>
  <c r="A101" i="31" s="1"/>
  <c r="R95" i="31"/>
  <c r="T94" i="31"/>
  <c r="L84" i="31"/>
  <c r="T78" i="31"/>
  <c r="R68" i="31"/>
  <c r="P68" i="31"/>
  <c r="L68" i="31"/>
  <c r="J68" i="31"/>
  <c r="J81" i="31" s="1"/>
  <c r="T66" i="31"/>
  <c r="P55" i="31"/>
  <c r="P54" i="31"/>
  <c r="T48" i="31"/>
  <c r="N41" i="31"/>
  <c r="J41" i="31"/>
  <c r="D41" i="31"/>
  <c r="P34" i="31"/>
  <c r="N34" i="31"/>
  <c r="L34" i="31"/>
  <c r="J34" i="31"/>
  <c r="H34" i="31"/>
  <c r="F34" i="31"/>
  <c r="D34" i="31"/>
  <c r="P33" i="31"/>
  <c r="N33" i="31"/>
  <c r="L33" i="31"/>
  <c r="J33" i="31"/>
  <c r="H33" i="31"/>
  <c r="F33" i="31"/>
  <c r="D33" i="31"/>
  <c r="T32" i="31"/>
  <c r="T138" i="31" s="1"/>
  <c r="P31" i="31"/>
  <c r="N31" i="31"/>
  <c r="L31" i="31"/>
  <c r="J31" i="31"/>
  <c r="H31" i="31"/>
  <c r="F31" i="31"/>
  <c r="D31" i="31"/>
  <c r="P30" i="31"/>
  <c r="N30" i="31"/>
  <c r="L30" i="31"/>
  <c r="J30" i="31"/>
  <c r="H30" i="31"/>
  <c r="F30" i="31"/>
  <c r="D30" i="31"/>
  <c r="R86" i="30"/>
  <c r="R93" i="30" s="1"/>
  <c r="N65" i="30"/>
  <c r="R210" i="30" s="1"/>
  <c r="T101" i="30"/>
  <c r="T88" i="30"/>
  <c r="T87" i="30"/>
  <c r="N42" i="30"/>
  <c r="J42" i="30"/>
  <c r="D42" i="30"/>
  <c r="R254" i="30"/>
  <c r="S246" i="30" s="1"/>
  <c r="R266" i="30"/>
  <c r="S261" i="30" s="1"/>
  <c r="S278" i="30"/>
  <c r="R278" i="30"/>
  <c r="Q278" i="30"/>
  <c r="P278" i="30"/>
  <c r="Q216" i="30" s="1"/>
  <c r="P266" i="30"/>
  <c r="P254" i="30"/>
  <c r="Q252" i="30" s="1"/>
  <c r="S251" i="30"/>
  <c r="R240" i="30"/>
  <c r="P240" i="30"/>
  <c r="R239" i="30"/>
  <c r="P239" i="30"/>
  <c r="R238" i="30"/>
  <c r="P238" i="30"/>
  <c r="R237" i="30"/>
  <c r="P237" i="30"/>
  <c r="R236" i="30"/>
  <c r="P236" i="30"/>
  <c r="R235" i="30"/>
  <c r="P235" i="30"/>
  <c r="R234" i="30"/>
  <c r="P234" i="30"/>
  <c r="R233" i="30"/>
  <c r="P233" i="30"/>
  <c r="T180" i="30"/>
  <c r="T166" i="30"/>
  <c r="T147" i="30"/>
  <c r="B134" i="30"/>
  <c r="B195" i="30"/>
  <c r="B290" i="30" s="1"/>
  <c r="R122" i="30"/>
  <c r="R120" i="30"/>
  <c r="R113" i="30"/>
  <c r="A113" i="30"/>
  <c r="A114" i="30" s="1"/>
  <c r="A115" i="30" s="1"/>
  <c r="A116" i="30" s="1"/>
  <c r="A117" i="30" s="1"/>
  <c r="A118" i="30" s="1"/>
  <c r="A100" i="30"/>
  <c r="A101" i="30" s="1"/>
  <c r="R95" i="30"/>
  <c r="T94" i="30"/>
  <c r="L84" i="30"/>
  <c r="L68" i="30"/>
  <c r="L81" i="30" s="1"/>
  <c r="T78" i="30"/>
  <c r="R68" i="30"/>
  <c r="J68" i="30"/>
  <c r="J81" i="30" s="1"/>
  <c r="T66" i="30"/>
  <c r="P68" i="30"/>
  <c r="P55" i="30"/>
  <c r="P54" i="30"/>
  <c r="T48" i="30"/>
  <c r="N41" i="30"/>
  <c r="J41" i="30"/>
  <c r="D41" i="30"/>
  <c r="P34" i="30"/>
  <c r="N34" i="30"/>
  <c r="L34" i="30"/>
  <c r="D34" i="30"/>
  <c r="F34" i="30"/>
  <c r="H34" i="30"/>
  <c r="J34" i="30"/>
  <c r="P33" i="30"/>
  <c r="N33" i="30"/>
  <c r="L33" i="30"/>
  <c r="J33" i="30"/>
  <c r="H33" i="30"/>
  <c r="F33" i="30"/>
  <c r="D33" i="30"/>
  <c r="T32" i="30"/>
  <c r="T50" i="30" s="1"/>
  <c r="P31" i="30"/>
  <c r="N31" i="30"/>
  <c r="L31" i="30"/>
  <c r="J31" i="30"/>
  <c r="H31" i="30"/>
  <c r="F31" i="30"/>
  <c r="D31" i="30"/>
  <c r="P30" i="30"/>
  <c r="N30" i="30"/>
  <c r="L30" i="30"/>
  <c r="J30" i="30"/>
  <c r="H30" i="30"/>
  <c r="F30" i="30"/>
  <c r="D30" i="30"/>
  <c r="T101" i="29"/>
  <c r="T88" i="29"/>
  <c r="T87" i="29"/>
  <c r="R121" i="29"/>
  <c r="R86" i="29"/>
  <c r="R93" i="29" s="1"/>
  <c r="R97" i="29" s="1"/>
  <c r="R130" i="29" s="1"/>
  <c r="N65" i="29"/>
  <c r="R209" i="29" s="1"/>
  <c r="P65" i="29"/>
  <c r="P68" i="29" s="1"/>
  <c r="N42" i="29"/>
  <c r="J42" i="29"/>
  <c r="D42" i="29"/>
  <c r="S277" i="29"/>
  <c r="R277" i="29"/>
  <c r="R215" i="29" s="1"/>
  <c r="Q277" i="29"/>
  <c r="P277" i="29"/>
  <c r="Q215" i="29" s="1"/>
  <c r="R265" i="29"/>
  <c r="P265" i="29"/>
  <c r="Q261" i="29" s="1"/>
  <c r="R253" i="29"/>
  <c r="P253" i="29"/>
  <c r="Q244" i="29" s="1"/>
  <c r="R239" i="29"/>
  <c r="P239" i="29"/>
  <c r="R238" i="29"/>
  <c r="P238" i="29"/>
  <c r="R237" i="29"/>
  <c r="P237" i="29"/>
  <c r="R236" i="29"/>
  <c r="P236" i="29"/>
  <c r="R235" i="29"/>
  <c r="P235" i="29"/>
  <c r="R234" i="29"/>
  <c r="P234" i="29"/>
  <c r="R233" i="29"/>
  <c r="P233" i="29"/>
  <c r="R232" i="29"/>
  <c r="P232" i="29"/>
  <c r="T179" i="29"/>
  <c r="T165" i="29"/>
  <c r="T146" i="29"/>
  <c r="B133" i="29"/>
  <c r="B194" i="29" s="1"/>
  <c r="B289" i="29" s="1"/>
  <c r="R119" i="29"/>
  <c r="R129" i="29" s="1"/>
  <c r="R112" i="29"/>
  <c r="A112" i="29"/>
  <c r="A113" i="29" s="1"/>
  <c r="A114" i="29" s="1"/>
  <c r="A115" i="29" s="1"/>
  <c r="A116" i="29" s="1"/>
  <c r="A117" i="29" s="1"/>
  <c r="A100" i="29"/>
  <c r="A101" i="29" s="1"/>
  <c r="R95" i="29"/>
  <c r="T94" i="29"/>
  <c r="L84" i="29"/>
  <c r="T78" i="29"/>
  <c r="R68" i="29"/>
  <c r="L68" i="29"/>
  <c r="L81" i="29" s="1"/>
  <c r="J68" i="29"/>
  <c r="J81" i="29" s="1"/>
  <c r="T66" i="29"/>
  <c r="P55" i="29"/>
  <c r="P54" i="29"/>
  <c r="T48" i="29"/>
  <c r="N41" i="29"/>
  <c r="J41" i="29"/>
  <c r="D41" i="29"/>
  <c r="P34" i="29"/>
  <c r="N34" i="29"/>
  <c r="L34" i="29"/>
  <c r="J34" i="29"/>
  <c r="H34" i="29"/>
  <c r="F34" i="29"/>
  <c r="D34" i="29"/>
  <c r="P33" i="29"/>
  <c r="N33" i="29"/>
  <c r="L33" i="29"/>
  <c r="J33" i="29"/>
  <c r="H33" i="29"/>
  <c r="F33" i="29"/>
  <c r="D33" i="29"/>
  <c r="T32" i="29"/>
  <c r="P31" i="29"/>
  <c r="N31" i="29"/>
  <c r="L31" i="29"/>
  <c r="J31" i="29"/>
  <c r="H31" i="29"/>
  <c r="F31" i="29"/>
  <c r="D31" i="29"/>
  <c r="P30" i="29"/>
  <c r="N30" i="29"/>
  <c r="L30" i="29"/>
  <c r="J30" i="29"/>
  <c r="H30" i="29"/>
  <c r="F30" i="29"/>
  <c r="D30" i="29"/>
  <c r="T167" i="28"/>
  <c r="T101" i="28"/>
  <c r="T88" i="28"/>
  <c r="T87" i="28"/>
  <c r="R86" i="28"/>
  <c r="R93" i="28" s="1"/>
  <c r="R95" i="28"/>
  <c r="N65" i="28"/>
  <c r="N42" i="28"/>
  <c r="J42" i="28"/>
  <c r="D42" i="28"/>
  <c r="S277" i="28"/>
  <c r="R277" i="28"/>
  <c r="R215" i="28" s="1"/>
  <c r="Q277" i="28"/>
  <c r="P277" i="28"/>
  <c r="Q215" i="28" s="1"/>
  <c r="R265" i="28"/>
  <c r="P265" i="28"/>
  <c r="R253" i="28"/>
  <c r="S250" i="28" s="1"/>
  <c r="P253" i="28"/>
  <c r="R239" i="28"/>
  <c r="P239" i="28"/>
  <c r="R238" i="28"/>
  <c r="P238" i="28"/>
  <c r="R237" i="28"/>
  <c r="P237" i="28"/>
  <c r="R236" i="28"/>
  <c r="P236" i="28"/>
  <c r="R235" i="28"/>
  <c r="P235" i="28"/>
  <c r="R234" i="28"/>
  <c r="P234" i="28"/>
  <c r="R233" i="28"/>
  <c r="P233" i="28"/>
  <c r="R232" i="28"/>
  <c r="P232" i="28"/>
  <c r="T179" i="28"/>
  <c r="T165" i="28"/>
  <c r="T146" i="28"/>
  <c r="B133" i="28"/>
  <c r="B194" i="28" s="1"/>
  <c r="B289" i="28" s="1"/>
  <c r="R121" i="28"/>
  <c r="R119" i="28"/>
  <c r="R112" i="28"/>
  <c r="A112" i="28"/>
  <c r="A113" i="28" s="1"/>
  <c r="A114" i="28" s="1"/>
  <c r="A115" i="28" s="1"/>
  <c r="A116" i="28" s="1"/>
  <c r="A117" i="28" s="1"/>
  <c r="A100" i="28"/>
  <c r="A101" i="28" s="1"/>
  <c r="T94" i="28"/>
  <c r="L84" i="28"/>
  <c r="T78" i="28"/>
  <c r="R68" i="28"/>
  <c r="P68" i="28"/>
  <c r="L68" i="28"/>
  <c r="L81" i="28" s="1"/>
  <c r="J68" i="28"/>
  <c r="J81" i="28" s="1"/>
  <c r="T66" i="28"/>
  <c r="P55" i="28"/>
  <c r="P54" i="28"/>
  <c r="T48" i="28"/>
  <c r="N41" i="28"/>
  <c r="J41" i="28"/>
  <c r="D41" i="28"/>
  <c r="P34" i="28"/>
  <c r="N34" i="28"/>
  <c r="L34" i="28"/>
  <c r="J34" i="28"/>
  <c r="H34" i="28"/>
  <c r="F34" i="28"/>
  <c r="D34" i="28"/>
  <c r="P33" i="28"/>
  <c r="N33" i="28"/>
  <c r="L33" i="28"/>
  <c r="J33" i="28"/>
  <c r="H33" i="28"/>
  <c r="F33" i="28"/>
  <c r="D33" i="28"/>
  <c r="T32" i="28"/>
  <c r="P31" i="28"/>
  <c r="N31" i="28"/>
  <c r="L31" i="28"/>
  <c r="J31" i="28"/>
  <c r="H31" i="28"/>
  <c r="F31" i="28"/>
  <c r="D31" i="28"/>
  <c r="P30" i="28"/>
  <c r="N30" i="28"/>
  <c r="L30" i="28"/>
  <c r="J30" i="28"/>
  <c r="H30" i="28"/>
  <c r="F30" i="28"/>
  <c r="D30" i="28"/>
  <c r="T102" i="27"/>
  <c r="T101" i="27"/>
  <c r="T88" i="27"/>
  <c r="T87" i="27"/>
  <c r="T93" i="27" s="1"/>
  <c r="R86" i="27"/>
  <c r="R93" i="27" s="1"/>
  <c r="N65" i="27"/>
  <c r="N42" i="27"/>
  <c r="J42" i="27"/>
  <c r="D42" i="27"/>
  <c r="S277" i="27"/>
  <c r="R277" i="27"/>
  <c r="R215" i="27" s="1"/>
  <c r="Q277" i="27"/>
  <c r="P277" i="27"/>
  <c r="R265" i="27"/>
  <c r="P265" i="27"/>
  <c r="Q214" i="27" s="1"/>
  <c r="R253" i="27"/>
  <c r="P253" i="27"/>
  <c r="Q247" i="27" s="1"/>
  <c r="S247" i="27"/>
  <c r="R239" i="27"/>
  <c r="P239" i="27"/>
  <c r="R238" i="27"/>
  <c r="P238" i="27"/>
  <c r="R237" i="27"/>
  <c r="P237" i="27"/>
  <c r="R236" i="27"/>
  <c r="P236" i="27"/>
  <c r="R235" i="27"/>
  <c r="P235" i="27"/>
  <c r="R234" i="27"/>
  <c r="P234" i="27"/>
  <c r="R233" i="27"/>
  <c r="P233" i="27"/>
  <c r="R232" i="27"/>
  <c r="P232" i="27"/>
  <c r="Q215" i="27"/>
  <c r="T179" i="27"/>
  <c r="T165" i="27"/>
  <c r="T146" i="27"/>
  <c r="B133" i="27"/>
  <c r="B194" i="27" s="1"/>
  <c r="B289" i="27" s="1"/>
  <c r="R121" i="27"/>
  <c r="R119" i="27"/>
  <c r="R112" i="27"/>
  <c r="A112" i="27"/>
  <c r="A113" i="27" s="1"/>
  <c r="A114" i="27" s="1"/>
  <c r="A115" i="27" s="1"/>
  <c r="A116" i="27" s="1"/>
  <c r="A117" i="27" s="1"/>
  <c r="A100" i="27"/>
  <c r="A101" i="27" s="1"/>
  <c r="R95" i="27"/>
  <c r="T94" i="27"/>
  <c r="L84" i="27"/>
  <c r="T78" i="27"/>
  <c r="R68" i="27"/>
  <c r="L68" i="27"/>
  <c r="L81" i="27" s="1"/>
  <c r="J68" i="27"/>
  <c r="J81" i="27" s="1"/>
  <c r="T66" i="27"/>
  <c r="P68" i="27"/>
  <c r="P55" i="27"/>
  <c r="P54" i="27"/>
  <c r="T48" i="27"/>
  <c r="N41" i="27"/>
  <c r="J41" i="27"/>
  <c r="D41" i="27"/>
  <c r="P34" i="27"/>
  <c r="N34" i="27"/>
  <c r="L34" i="27"/>
  <c r="J34" i="27"/>
  <c r="H34" i="27"/>
  <c r="F34" i="27"/>
  <c r="D34" i="27"/>
  <c r="P33" i="27"/>
  <c r="N33" i="27"/>
  <c r="L33" i="27"/>
  <c r="J33" i="27"/>
  <c r="H33" i="27"/>
  <c r="F33" i="27"/>
  <c r="D33" i="27"/>
  <c r="T32" i="27"/>
  <c r="T137" i="27" s="1"/>
  <c r="P31" i="27"/>
  <c r="N31" i="27"/>
  <c r="L31" i="27"/>
  <c r="J31" i="27"/>
  <c r="H31" i="27"/>
  <c r="F31" i="27"/>
  <c r="D31" i="27"/>
  <c r="P30" i="27"/>
  <c r="N30" i="27"/>
  <c r="L30" i="27"/>
  <c r="J30" i="27"/>
  <c r="H30" i="27"/>
  <c r="F30" i="27"/>
  <c r="D30" i="27"/>
  <c r="T101" i="26"/>
  <c r="T88" i="26"/>
  <c r="T87" i="26"/>
  <c r="R86" i="26"/>
  <c r="R93" i="26" s="1"/>
  <c r="P65" i="26"/>
  <c r="P68" i="26" s="1"/>
  <c r="N65" i="26"/>
  <c r="R209" i="26" s="1"/>
  <c r="N42" i="26"/>
  <c r="J42" i="26"/>
  <c r="D42" i="26"/>
  <c r="R277" i="26"/>
  <c r="P277" i="26"/>
  <c r="Q215" i="26" s="1"/>
  <c r="Q277" i="26"/>
  <c r="S277" i="26"/>
  <c r="R265" i="26"/>
  <c r="S258" i="26" s="1"/>
  <c r="P265" i="26"/>
  <c r="Q259" i="26" s="1"/>
  <c r="R253" i="26"/>
  <c r="P253" i="26"/>
  <c r="Q244" i="26" s="1"/>
  <c r="R239" i="26"/>
  <c r="P239" i="26"/>
  <c r="R238" i="26"/>
  <c r="P238" i="26"/>
  <c r="R237" i="26"/>
  <c r="P237" i="26"/>
  <c r="R236" i="26"/>
  <c r="P236" i="26"/>
  <c r="R235" i="26"/>
  <c r="P235" i="26"/>
  <c r="R234" i="26"/>
  <c r="P234" i="26"/>
  <c r="R233" i="26"/>
  <c r="R241" i="26" s="1"/>
  <c r="P233" i="26"/>
  <c r="P241" i="26" s="1"/>
  <c r="R232" i="26"/>
  <c r="P232" i="26"/>
  <c r="T167" i="26"/>
  <c r="T165" i="26"/>
  <c r="T146" i="26"/>
  <c r="B133" i="26"/>
  <c r="B194" i="26" s="1"/>
  <c r="B289" i="26" s="1"/>
  <c r="R119" i="26"/>
  <c r="R112" i="26"/>
  <c r="A112" i="26"/>
  <c r="A113" i="26" s="1"/>
  <c r="A114" i="26" s="1"/>
  <c r="A115" i="26" s="1"/>
  <c r="A116" i="26" s="1"/>
  <c r="A117" i="26" s="1"/>
  <c r="A100" i="26"/>
  <c r="A101" i="26" s="1"/>
  <c r="R95" i="26"/>
  <c r="T94" i="26"/>
  <c r="L84" i="26"/>
  <c r="T78" i="26"/>
  <c r="R68" i="26"/>
  <c r="L68" i="26"/>
  <c r="L81" i="26" s="1"/>
  <c r="J68" i="26"/>
  <c r="J81" i="26" s="1"/>
  <c r="T66" i="26"/>
  <c r="P55" i="26"/>
  <c r="P54" i="26"/>
  <c r="T48" i="26"/>
  <c r="N41" i="26"/>
  <c r="J41" i="26"/>
  <c r="D41" i="26"/>
  <c r="P34" i="26"/>
  <c r="N34" i="26"/>
  <c r="L34" i="26"/>
  <c r="J34" i="26"/>
  <c r="H34" i="26"/>
  <c r="F34" i="26"/>
  <c r="D34" i="26"/>
  <c r="P33" i="26"/>
  <c r="N33" i="26"/>
  <c r="L33" i="26"/>
  <c r="J33" i="26"/>
  <c r="H33" i="26"/>
  <c r="F33" i="26"/>
  <c r="D33" i="26"/>
  <c r="T32" i="26"/>
  <c r="T137" i="26" s="1"/>
  <c r="P31" i="26"/>
  <c r="N31" i="26"/>
  <c r="L31" i="26"/>
  <c r="J31" i="26"/>
  <c r="H31" i="26"/>
  <c r="F31" i="26"/>
  <c r="D31" i="26"/>
  <c r="P30" i="26"/>
  <c r="N30" i="26"/>
  <c r="L30" i="26"/>
  <c r="J30" i="26"/>
  <c r="H30" i="26"/>
  <c r="F30" i="26"/>
  <c r="D30" i="26"/>
  <c r="P277" i="25"/>
  <c r="R277" i="25"/>
  <c r="T167" i="25"/>
  <c r="T101" i="25"/>
  <c r="T88" i="25"/>
  <c r="T87" i="25"/>
  <c r="R86" i="25"/>
  <c r="R93" i="25" s="1"/>
  <c r="N65" i="25"/>
  <c r="N68" i="25" s="1"/>
  <c r="N42" i="25"/>
  <c r="J42" i="25"/>
  <c r="D42" i="25"/>
  <c r="D30" i="25"/>
  <c r="F30" i="25"/>
  <c r="H30" i="25"/>
  <c r="J30" i="25"/>
  <c r="L30" i="25"/>
  <c r="N30" i="25"/>
  <c r="P30" i="25"/>
  <c r="D31" i="25"/>
  <c r="F31" i="25"/>
  <c r="H31" i="25"/>
  <c r="J31" i="25"/>
  <c r="L31" i="25"/>
  <c r="N31" i="25"/>
  <c r="P31" i="25"/>
  <c r="T32" i="25"/>
  <c r="D33" i="25"/>
  <c r="F33" i="25"/>
  <c r="H33" i="25"/>
  <c r="J33" i="25"/>
  <c r="L33" i="25"/>
  <c r="N33" i="25"/>
  <c r="P33" i="25"/>
  <c r="D34" i="25"/>
  <c r="F34" i="25"/>
  <c r="H34" i="25"/>
  <c r="J34" i="25"/>
  <c r="L34" i="25"/>
  <c r="N34" i="25"/>
  <c r="P34" i="25"/>
  <c r="D41" i="25"/>
  <c r="J41" i="25"/>
  <c r="N41" i="25"/>
  <c r="T48" i="25"/>
  <c r="P54" i="25"/>
  <c r="P55" i="25"/>
  <c r="T66" i="25"/>
  <c r="J68" i="25"/>
  <c r="J81" i="25" s="1"/>
  <c r="L68" i="25"/>
  <c r="P68" i="25"/>
  <c r="R68" i="25"/>
  <c r="T78" i="25"/>
  <c r="L81" i="25"/>
  <c r="L84" i="25"/>
  <c r="T94" i="25"/>
  <c r="R95" i="25"/>
  <c r="A100" i="25"/>
  <c r="A101" i="25" s="1"/>
  <c r="A112" i="25"/>
  <c r="A113" i="25" s="1"/>
  <c r="A114" i="25" s="1"/>
  <c r="A115" i="25" s="1"/>
  <c r="A116" i="25" s="1"/>
  <c r="A117" i="25" s="1"/>
  <c r="R112" i="25"/>
  <c r="R119" i="25"/>
  <c r="R121" i="25"/>
  <c r="B133" i="25"/>
  <c r="B194" i="25" s="1"/>
  <c r="B289" i="25" s="1"/>
  <c r="T146" i="25"/>
  <c r="T164" i="25"/>
  <c r="T166" i="25" s="1"/>
  <c r="T165" i="25"/>
  <c r="T179" i="25"/>
  <c r="R265" i="25"/>
  <c r="R214" i="25" s="1"/>
  <c r="P232" i="25"/>
  <c r="P233" i="25"/>
  <c r="P234" i="25"/>
  <c r="P235" i="25"/>
  <c r="P236" i="25"/>
  <c r="P237" i="25"/>
  <c r="P238" i="25"/>
  <c r="R232" i="25"/>
  <c r="R233" i="25"/>
  <c r="R234" i="25"/>
  <c r="R235" i="25"/>
  <c r="R236" i="25"/>
  <c r="R237" i="25"/>
  <c r="R238" i="25"/>
  <c r="P239" i="25"/>
  <c r="R239" i="25"/>
  <c r="R253" i="25"/>
  <c r="S248" i="25" s="1"/>
  <c r="P253" i="25"/>
  <c r="Q246" i="25"/>
  <c r="P265" i="25"/>
  <c r="Q258" i="25" s="1"/>
  <c r="T87" i="24"/>
  <c r="R86" i="24"/>
  <c r="R93" i="24" s="1"/>
  <c r="R95" i="24"/>
  <c r="N65" i="24"/>
  <c r="T101" i="24"/>
  <c r="T88" i="24"/>
  <c r="P65" i="24"/>
  <c r="P68" i="24" s="1"/>
  <c r="N42" i="24"/>
  <c r="J42" i="24"/>
  <c r="D42" i="24"/>
  <c r="T164" i="20"/>
  <c r="R122" i="15"/>
  <c r="D30" i="24"/>
  <c r="F30" i="24"/>
  <c r="H30" i="24"/>
  <c r="J30" i="24"/>
  <c r="L30" i="24"/>
  <c r="N30" i="24"/>
  <c r="P30" i="24"/>
  <c r="D31" i="24"/>
  <c r="F31" i="24"/>
  <c r="H31" i="24"/>
  <c r="J31" i="24"/>
  <c r="L31" i="24"/>
  <c r="N31" i="24"/>
  <c r="P31" i="24"/>
  <c r="T32" i="24"/>
  <c r="T137" i="24" s="1"/>
  <c r="D33" i="24"/>
  <c r="F33" i="24"/>
  <c r="H33" i="24"/>
  <c r="J33" i="24"/>
  <c r="L33" i="24"/>
  <c r="N33" i="24"/>
  <c r="P33" i="24"/>
  <c r="D34" i="24"/>
  <c r="F34" i="24"/>
  <c r="H34" i="24"/>
  <c r="J34" i="24"/>
  <c r="L34" i="24"/>
  <c r="N34" i="24"/>
  <c r="P34" i="24"/>
  <c r="D41" i="24"/>
  <c r="J41" i="24"/>
  <c r="N41" i="24"/>
  <c r="T48" i="24"/>
  <c r="P54" i="24"/>
  <c r="P55" i="24"/>
  <c r="T66" i="24"/>
  <c r="J68" i="24"/>
  <c r="J81" i="24" s="1"/>
  <c r="L68" i="24"/>
  <c r="L81" i="24" s="1"/>
  <c r="R68" i="24"/>
  <c r="T78" i="24"/>
  <c r="L84" i="24"/>
  <c r="T94" i="24"/>
  <c r="A100" i="24"/>
  <c r="A101" i="24" s="1"/>
  <c r="A112" i="24"/>
  <c r="A113" i="24" s="1"/>
  <c r="A114" i="24" s="1"/>
  <c r="A115" i="24" s="1"/>
  <c r="A116" i="24" s="1"/>
  <c r="A117" i="24" s="1"/>
  <c r="R112" i="24"/>
  <c r="R119" i="24"/>
  <c r="R121" i="24"/>
  <c r="B133" i="24"/>
  <c r="B194" i="24" s="1"/>
  <c r="B289" i="24" s="1"/>
  <c r="T146" i="24"/>
  <c r="T165" i="24"/>
  <c r="T179" i="24"/>
  <c r="P265" i="24"/>
  <c r="Q257" i="24" s="1"/>
  <c r="R265" i="24"/>
  <c r="P277" i="24"/>
  <c r="Q215" i="24" s="1"/>
  <c r="R277" i="24"/>
  <c r="R215" i="24" s="1"/>
  <c r="P232" i="24"/>
  <c r="P233" i="24"/>
  <c r="P234" i="24"/>
  <c r="P235" i="24"/>
  <c r="P236" i="24"/>
  <c r="P237" i="24"/>
  <c r="P238" i="24"/>
  <c r="P239" i="24"/>
  <c r="R232" i="24"/>
  <c r="R233" i="24"/>
  <c r="R234" i="24"/>
  <c r="R235" i="24"/>
  <c r="R236" i="24"/>
  <c r="R237" i="24"/>
  <c r="R238" i="24"/>
  <c r="R239" i="24"/>
  <c r="P253" i="24"/>
  <c r="Q246" i="24" s="1"/>
  <c r="R253" i="24"/>
  <c r="Q277" i="24"/>
  <c r="S277" i="24"/>
  <c r="T101" i="23"/>
  <c r="T88" i="23"/>
  <c r="T87" i="23"/>
  <c r="T93" i="23" s="1"/>
  <c r="T97" i="23" s="1"/>
  <c r="R203" i="23" s="1"/>
  <c r="P65" i="23"/>
  <c r="P68" i="23" s="1"/>
  <c r="N65" i="23"/>
  <c r="R86" i="23"/>
  <c r="R93" i="23" s="1"/>
  <c r="N42" i="23"/>
  <c r="J42" i="23"/>
  <c r="D42" i="23"/>
  <c r="D30" i="23"/>
  <c r="F30" i="23"/>
  <c r="H30" i="23"/>
  <c r="J30" i="23"/>
  <c r="L30" i="23"/>
  <c r="N30" i="23"/>
  <c r="P30" i="23"/>
  <c r="D31" i="23"/>
  <c r="F31" i="23"/>
  <c r="H31" i="23"/>
  <c r="J31" i="23"/>
  <c r="L31" i="23"/>
  <c r="N31" i="23"/>
  <c r="P31" i="23"/>
  <c r="T32" i="23"/>
  <c r="T50" i="23" s="1"/>
  <c r="D33" i="23"/>
  <c r="F33" i="23"/>
  <c r="H33" i="23"/>
  <c r="J33" i="23"/>
  <c r="L33" i="23"/>
  <c r="N33" i="23"/>
  <c r="P33" i="23"/>
  <c r="D34" i="23"/>
  <c r="F34" i="23"/>
  <c r="H34" i="23"/>
  <c r="J34" i="23"/>
  <c r="L34" i="23"/>
  <c r="N34" i="23"/>
  <c r="P34" i="23"/>
  <c r="D41" i="23"/>
  <c r="J41" i="23"/>
  <c r="N41" i="23"/>
  <c r="T48" i="23"/>
  <c r="P54" i="23"/>
  <c r="P55" i="23"/>
  <c r="T66" i="23"/>
  <c r="T78" i="23"/>
  <c r="J68" i="23"/>
  <c r="J81" i="23" s="1"/>
  <c r="L68" i="23"/>
  <c r="L81" i="23" s="1"/>
  <c r="R68" i="23"/>
  <c r="L84" i="23"/>
  <c r="R95" i="23"/>
  <c r="T94" i="23"/>
  <c r="A100" i="23"/>
  <c r="A101" i="23" s="1"/>
  <c r="A112" i="23"/>
  <c r="A113" i="23" s="1"/>
  <c r="A114" i="23" s="1"/>
  <c r="A115" i="23" s="1"/>
  <c r="A116" i="23" s="1"/>
  <c r="A117" i="23" s="1"/>
  <c r="R112" i="23"/>
  <c r="R119" i="23"/>
  <c r="R121" i="23"/>
  <c r="B133" i="23"/>
  <c r="B194" i="23" s="1"/>
  <c r="B289" i="23" s="1"/>
  <c r="T146" i="23"/>
  <c r="T165" i="23"/>
  <c r="T179" i="23"/>
  <c r="P265" i="23"/>
  <c r="R265" i="23"/>
  <c r="S261" i="23" s="1"/>
  <c r="P277" i="23"/>
  <c r="Q215" i="23" s="1"/>
  <c r="R277" i="23"/>
  <c r="R215" i="23" s="1"/>
  <c r="P232" i="23"/>
  <c r="P233" i="23"/>
  <c r="P234" i="23"/>
  <c r="P235" i="23"/>
  <c r="P236" i="23"/>
  <c r="P237" i="23"/>
  <c r="P238" i="23"/>
  <c r="P239" i="23"/>
  <c r="R232" i="23"/>
  <c r="R233" i="23"/>
  <c r="R234" i="23"/>
  <c r="R235" i="23"/>
  <c r="R236" i="23"/>
  <c r="R237" i="23"/>
  <c r="R238" i="23"/>
  <c r="R239" i="23"/>
  <c r="P253" i="23"/>
  <c r="R253" i="23"/>
  <c r="S251" i="23" s="1"/>
  <c r="Q277" i="23"/>
  <c r="S277" i="23"/>
  <c r="T101" i="22"/>
  <c r="T88" i="22"/>
  <c r="T87" i="22"/>
  <c r="T94" i="22"/>
  <c r="R86" i="22"/>
  <c r="R93" i="22" s="1"/>
  <c r="P65" i="22"/>
  <c r="P68" i="22"/>
  <c r="N65" i="22"/>
  <c r="R209" i="22" s="1"/>
  <c r="T66" i="22"/>
  <c r="N42" i="22"/>
  <c r="J42" i="22"/>
  <c r="D42" i="22"/>
  <c r="D30" i="22"/>
  <c r="F30" i="22"/>
  <c r="H30" i="22"/>
  <c r="J30" i="22"/>
  <c r="L30" i="22"/>
  <c r="N30" i="22"/>
  <c r="P30" i="22"/>
  <c r="D31" i="22"/>
  <c r="F31" i="22"/>
  <c r="H31" i="22"/>
  <c r="J31" i="22"/>
  <c r="L31" i="22"/>
  <c r="N31" i="22"/>
  <c r="P31" i="22"/>
  <c r="T32" i="22"/>
  <c r="D33" i="22"/>
  <c r="F33" i="22"/>
  <c r="H33" i="22"/>
  <c r="J33" i="22"/>
  <c r="T33" i="22" s="1"/>
  <c r="L33" i="22"/>
  <c r="N33" i="22"/>
  <c r="P33" i="22"/>
  <c r="D34" i="22"/>
  <c r="F34" i="22"/>
  <c r="H34" i="22"/>
  <c r="J34" i="22"/>
  <c r="L34" i="22"/>
  <c r="N34" i="22"/>
  <c r="P34" i="22"/>
  <c r="D41" i="22"/>
  <c r="J41" i="22"/>
  <c r="N41" i="22"/>
  <c r="T48" i="22"/>
  <c r="P54" i="22"/>
  <c r="P55" i="22"/>
  <c r="J68" i="22"/>
  <c r="J81" i="22"/>
  <c r="L68" i="22"/>
  <c r="L81" i="22" s="1"/>
  <c r="R68" i="22"/>
  <c r="T78" i="22"/>
  <c r="L84" i="22"/>
  <c r="R95" i="22"/>
  <c r="A100" i="22"/>
  <c r="A101" i="22" s="1"/>
  <c r="A112" i="22"/>
  <c r="A113" i="22" s="1"/>
  <c r="A114" i="22" s="1"/>
  <c r="A115" i="22" s="1"/>
  <c r="A116" i="22" s="1"/>
  <c r="A117" i="22" s="1"/>
  <c r="R112" i="22"/>
  <c r="R119" i="22"/>
  <c r="R121" i="22"/>
  <c r="B133" i="22"/>
  <c r="B194" i="22" s="1"/>
  <c r="B289" i="22" s="1"/>
  <c r="T146" i="22"/>
  <c r="T165" i="22"/>
  <c r="T179" i="22"/>
  <c r="P265" i="22"/>
  <c r="R265" i="22"/>
  <c r="P277" i="22"/>
  <c r="R277" i="22"/>
  <c r="P232" i="22"/>
  <c r="P233" i="22"/>
  <c r="P234" i="22"/>
  <c r="P235" i="22"/>
  <c r="P238" i="22"/>
  <c r="P239" i="22"/>
  <c r="P236" i="22"/>
  <c r="P237" i="22"/>
  <c r="R232" i="22"/>
  <c r="R233" i="22"/>
  <c r="R234" i="22"/>
  <c r="R235" i="22"/>
  <c r="R238" i="22"/>
  <c r="R239" i="22"/>
  <c r="R236" i="22"/>
  <c r="R237" i="22"/>
  <c r="P253" i="22"/>
  <c r="Q251" i="22" s="1"/>
  <c r="R253" i="22"/>
  <c r="S247" i="22" s="1"/>
  <c r="Q277" i="22"/>
  <c r="S277" i="22"/>
  <c r="T167" i="21"/>
  <c r="T101" i="21"/>
  <c r="T88" i="21"/>
  <c r="T93" i="21" s="1"/>
  <c r="T87" i="21"/>
  <c r="R86" i="21"/>
  <c r="R93" i="21" s="1"/>
  <c r="R97" i="21" s="1"/>
  <c r="P65" i="21"/>
  <c r="N65" i="21"/>
  <c r="N68" i="21" s="1"/>
  <c r="N42" i="21"/>
  <c r="J42" i="21"/>
  <c r="D42" i="21"/>
  <c r="D30" i="21"/>
  <c r="F30" i="21"/>
  <c r="H30" i="21"/>
  <c r="J30" i="21"/>
  <c r="L30" i="21"/>
  <c r="N30" i="21"/>
  <c r="P30" i="21"/>
  <c r="D31" i="21"/>
  <c r="F31" i="21"/>
  <c r="H31" i="21"/>
  <c r="J31" i="21"/>
  <c r="L31" i="21"/>
  <c r="N31" i="21"/>
  <c r="P31" i="21"/>
  <c r="T32" i="21"/>
  <c r="T50" i="21" s="1"/>
  <c r="D33" i="21"/>
  <c r="F33" i="21"/>
  <c r="H33" i="21"/>
  <c r="J33" i="21"/>
  <c r="L33" i="21"/>
  <c r="N33" i="21"/>
  <c r="P33" i="21"/>
  <c r="D34" i="21"/>
  <c r="F34" i="21"/>
  <c r="H34" i="21"/>
  <c r="T34" i="21" s="1"/>
  <c r="J34" i="21"/>
  <c r="L34" i="21"/>
  <c r="N34" i="21"/>
  <c r="P34" i="21"/>
  <c r="D41" i="21"/>
  <c r="J41" i="21"/>
  <c r="N41" i="21"/>
  <c r="T48" i="21"/>
  <c r="P54" i="21"/>
  <c r="P55" i="21"/>
  <c r="T66" i="21"/>
  <c r="J68" i="21"/>
  <c r="J81" i="21" s="1"/>
  <c r="L68" i="21"/>
  <c r="L81" i="21"/>
  <c r="R68" i="21"/>
  <c r="T78" i="21"/>
  <c r="L84" i="21"/>
  <c r="T94" i="21"/>
  <c r="R95" i="21"/>
  <c r="A100" i="21"/>
  <c r="A101" i="21" s="1"/>
  <c r="A112" i="21"/>
  <c r="A113" i="21" s="1"/>
  <c r="A114" i="21" s="1"/>
  <c r="A115" i="21" s="1"/>
  <c r="A116" i="21" s="1"/>
  <c r="A117" i="21" s="1"/>
  <c r="R112" i="21"/>
  <c r="R119" i="21"/>
  <c r="R121" i="21"/>
  <c r="R129" i="21" s="1"/>
  <c r="B133" i="21"/>
  <c r="B194" i="21" s="1"/>
  <c r="B289" i="21" s="1"/>
  <c r="T146" i="21"/>
  <c r="T165" i="21"/>
  <c r="T179" i="21"/>
  <c r="P265" i="21"/>
  <c r="R265" i="21"/>
  <c r="P277" i="21"/>
  <c r="Q215" i="21" s="1"/>
  <c r="R277" i="21"/>
  <c r="R215" i="21" s="1"/>
  <c r="P232" i="21"/>
  <c r="P233" i="21"/>
  <c r="P234" i="21"/>
  <c r="P235" i="21"/>
  <c r="P236" i="21"/>
  <c r="P237" i="21"/>
  <c r="P238" i="21"/>
  <c r="P239" i="21"/>
  <c r="R232" i="21"/>
  <c r="R233" i="21"/>
  <c r="R234" i="21"/>
  <c r="R235" i="21"/>
  <c r="R236" i="21"/>
  <c r="R237" i="21"/>
  <c r="R238" i="21"/>
  <c r="R239" i="21"/>
  <c r="P253" i="21"/>
  <c r="R253" i="21"/>
  <c r="Q277" i="21"/>
  <c r="S277" i="21"/>
  <c r="R233" i="20"/>
  <c r="R234" i="20"/>
  <c r="R235" i="20"/>
  <c r="R236" i="20"/>
  <c r="R237" i="20"/>
  <c r="R238" i="20"/>
  <c r="R239" i="20"/>
  <c r="R232" i="20"/>
  <c r="P233" i="20"/>
  <c r="P234" i="20"/>
  <c r="P235" i="20"/>
  <c r="P236" i="20"/>
  <c r="P237" i="20"/>
  <c r="P238" i="20"/>
  <c r="P239" i="20"/>
  <c r="P232" i="20"/>
  <c r="T101" i="20"/>
  <c r="T88" i="20"/>
  <c r="T87" i="20"/>
  <c r="R86" i="20"/>
  <c r="R93" i="20" s="1"/>
  <c r="R97" i="20" s="1"/>
  <c r="R95" i="20"/>
  <c r="N65" i="20"/>
  <c r="P65" i="20"/>
  <c r="P68" i="20" s="1"/>
  <c r="N42" i="20"/>
  <c r="J42" i="20"/>
  <c r="D42" i="20"/>
  <c r="D34" i="20"/>
  <c r="D30" i="20"/>
  <c r="F30" i="20"/>
  <c r="H30" i="20"/>
  <c r="J30" i="20"/>
  <c r="L30" i="20"/>
  <c r="N30" i="20"/>
  <c r="P30" i="20"/>
  <c r="D31" i="20"/>
  <c r="F31" i="20"/>
  <c r="H31" i="20"/>
  <c r="J31" i="20"/>
  <c r="L31" i="20"/>
  <c r="N31" i="20"/>
  <c r="P31" i="20"/>
  <c r="T32" i="20"/>
  <c r="D33" i="20"/>
  <c r="F33" i="20"/>
  <c r="H33" i="20"/>
  <c r="J33" i="20"/>
  <c r="L33" i="20"/>
  <c r="N33" i="20"/>
  <c r="P33" i="20"/>
  <c r="F34" i="20"/>
  <c r="H34" i="20"/>
  <c r="J34" i="20"/>
  <c r="L34" i="20"/>
  <c r="N34" i="20"/>
  <c r="P34" i="20"/>
  <c r="D41" i="20"/>
  <c r="J41" i="20"/>
  <c r="N41" i="20"/>
  <c r="T48" i="20"/>
  <c r="P54" i="20"/>
  <c r="P55" i="20"/>
  <c r="T66" i="20"/>
  <c r="J68" i="20"/>
  <c r="J81" i="20" s="1"/>
  <c r="L68" i="20"/>
  <c r="L81" i="20" s="1"/>
  <c r="R68" i="20"/>
  <c r="T78" i="20"/>
  <c r="L84" i="20"/>
  <c r="T94" i="20"/>
  <c r="T97" i="20" s="1"/>
  <c r="T187" i="20" s="1"/>
  <c r="A100" i="20"/>
  <c r="A101" i="20" s="1"/>
  <c r="A112" i="20"/>
  <c r="A113" i="20" s="1"/>
  <c r="A114" i="20" s="1"/>
  <c r="A115" i="20" s="1"/>
  <c r="A116" i="20" s="1"/>
  <c r="A117" i="20" s="1"/>
  <c r="R112" i="20"/>
  <c r="R119" i="20"/>
  <c r="R129" i="20" s="1"/>
  <c r="R121" i="20"/>
  <c r="B133" i="20"/>
  <c r="B194" i="20" s="1"/>
  <c r="B289" i="20" s="1"/>
  <c r="T146" i="20"/>
  <c r="T165" i="20"/>
  <c r="T166" i="20" s="1"/>
  <c r="T179" i="20"/>
  <c r="P265" i="20"/>
  <c r="Q214" i="20" s="1"/>
  <c r="R265" i="20"/>
  <c r="S258" i="20" s="1"/>
  <c r="P277" i="20"/>
  <c r="R277" i="20"/>
  <c r="P253" i="20"/>
  <c r="R253" i="20"/>
  <c r="S244" i="20" s="1"/>
  <c r="Q277" i="20"/>
  <c r="S277" i="20"/>
  <c r="T102" i="19"/>
  <c r="T89" i="19"/>
  <c r="T88" i="19"/>
  <c r="R87" i="19"/>
  <c r="R94" i="19" s="1"/>
  <c r="P66" i="19"/>
  <c r="P69" i="19" s="1"/>
  <c r="N66" i="19"/>
  <c r="N42" i="19"/>
  <c r="J42" i="19"/>
  <c r="D42" i="19"/>
  <c r="D30" i="19"/>
  <c r="F30" i="19"/>
  <c r="H30" i="19"/>
  <c r="J30" i="19"/>
  <c r="L30" i="19"/>
  <c r="N30" i="19"/>
  <c r="P30" i="19"/>
  <c r="D31" i="19"/>
  <c r="F31" i="19"/>
  <c r="H31" i="19"/>
  <c r="J31" i="19"/>
  <c r="L31" i="19"/>
  <c r="N31" i="19"/>
  <c r="P31" i="19"/>
  <c r="T32" i="19"/>
  <c r="D33" i="19"/>
  <c r="F33" i="19"/>
  <c r="H33" i="19"/>
  <c r="J33" i="19"/>
  <c r="L33" i="19"/>
  <c r="N33" i="19"/>
  <c r="P33" i="19"/>
  <c r="D34" i="19"/>
  <c r="F34" i="19"/>
  <c r="H34" i="19"/>
  <c r="J34" i="19"/>
  <c r="L34" i="19"/>
  <c r="N34" i="19"/>
  <c r="P34" i="19"/>
  <c r="D41" i="19"/>
  <c r="J41" i="19"/>
  <c r="N41" i="19"/>
  <c r="T48" i="19"/>
  <c r="P54" i="19"/>
  <c r="P55" i="19"/>
  <c r="T67" i="19"/>
  <c r="J69" i="19"/>
  <c r="J82" i="19" s="1"/>
  <c r="L69" i="19"/>
  <c r="L82" i="19" s="1"/>
  <c r="R69" i="19"/>
  <c r="T79" i="19"/>
  <c r="L85" i="19"/>
  <c r="T95" i="19"/>
  <c r="R96" i="19"/>
  <c r="A101" i="19"/>
  <c r="A102" i="19" s="1"/>
  <c r="A113" i="19"/>
  <c r="A114" i="19" s="1"/>
  <c r="A115" i="19" s="1"/>
  <c r="A116" i="19" s="1"/>
  <c r="A117" i="19" s="1"/>
  <c r="A118" i="19" s="1"/>
  <c r="R113" i="19"/>
  <c r="R120" i="19"/>
  <c r="R122" i="19"/>
  <c r="B134" i="19"/>
  <c r="T147" i="19"/>
  <c r="T166" i="19"/>
  <c r="T180" i="19"/>
  <c r="B195" i="19"/>
  <c r="B278" i="19" s="1"/>
  <c r="P254" i="19"/>
  <c r="R254" i="19"/>
  <c r="P266" i="19"/>
  <c r="Q216" i="19" s="1"/>
  <c r="R266" i="19"/>
  <c r="P242" i="19"/>
  <c r="Q235" i="19" s="1"/>
  <c r="R242" i="19"/>
  <c r="Q266" i="19"/>
  <c r="S266" i="19"/>
  <c r="T103" i="18"/>
  <c r="T102" i="18"/>
  <c r="T89" i="18"/>
  <c r="T88" i="18"/>
  <c r="T95" i="18"/>
  <c r="R87" i="18"/>
  <c r="R94" i="18"/>
  <c r="P66" i="18"/>
  <c r="N66" i="18"/>
  <c r="R210" i="18" s="1"/>
  <c r="N42" i="18"/>
  <c r="J42" i="18"/>
  <c r="D42" i="18"/>
  <c r="D30" i="18"/>
  <c r="F30" i="18"/>
  <c r="H30" i="18"/>
  <c r="J30" i="18"/>
  <c r="L30" i="18"/>
  <c r="N30" i="18"/>
  <c r="P30" i="18"/>
  <c r="D31" i="18"/>
  <c r="F31" i="18"/>
  <c r="H31" i="18"/>
  <c r="J31" i="18"/>
  <c r="L31" i="18"/>
  <c r="N31" i="18"/>
  <c r="P31" i="18"/>
  <c r="T32" i="18"/>
  <c r="T138" i="18" s="1"/>
  <c r="D33" i="18"/>
  <c r="F33" i="18"/>
  <c r="T33" i="18" s="1"/>
  <c r="T41" i="18" s="1"/>
  <c r="R202" i="18" s="1"/>
  <c r="R203" i="18" s="1"/>
  <c r="H33" i="18"/>
  <c r="J33" i="18"/>
  <c r="L33" i="18"/>
  <c r="N33" i="18"/>
  <c r="P33" i="18"/>
  <c r="D34" i="18"/>
  <c r="F34" i="18"/>
  <c r="H34" i="18"/>
  <c r="J34" i="18"/>
  <c r="L34" i="18"/>
  <c r="N34" i="18"/>
  <c r="P34" i="18"/>
  <c r="D41" i="18"/>
  <c r="J41" i="18"/>
  <c r="N41" i="18"/>
  <c r="T48" i="18"/>
  <c r="P54" i="18"/>
  <c r="P55" i="18"/>
  <c r="T67" i="18"/>
  <c r="J69" i="18"/>
  <c r="J82" i="18" s="1"/>
  <c r="L69" i="18"/>
  <c r="L82" i="18" s="1"/>
  <c r="R69" i="18"/>
  <c r="T79" i="18"/>
  <c r="L85" i="18"/>
  <c r="R96" i="18"/>
  <c r="A101" i="18"/>
  <c r="A102" i="18" s="1"/>
  <c r="A113" i="18"/>
  <c r="A114" i="18" s="1"/>
  <c r="A115" i="18" s="1"/>
  <c r="A116" i="18" s="1"/>
  <c r="A117" i="18" s="1"/>
  <c r="A118" i="18" s="1"/>
  <c r="R113" i="18"/>
  <c r="R120" i="18"/>
  <c r="R122" i="18"/>
  <c r="B134" i="18"/>
  <c r="B195" i="18" s="1"/>
  <c r="B278" i="18" s="1"/>
  <c r="T147" i="18"/>
  <c r="T166" i="18"/>
  <c r="T168" i="18"/>
  <c r="T180" i="18"/>
  <c r="P254" i="18"/>
  <c r="R254" i="18"/>
  <c r="P266" i="18"/>
  <c r="R266" i="18"/>
  <c r="P242" i="18"/>
  <c r="R242" i="18"/>
  <c r="S233" i="18" s="1"/>
  <c r="Q266" i="18"/>
  <c r="S266" i="18"/>
  <c r="T168" i="17"/>
  <c r="T103" i="17"/>
  <c r="T102" i="17"/>
  <c r="T89" i="17"/>
  <c r="T88" i="17"/>
  <c r="T94" i="17" s="1"/>
  <c r="T98" i="17" s="1"/>
  <c r="T95" i="17"/>
  <c r="R120" i="17"/>
  <c r="R87" i="17"/>
  <c r="R94" i="17" s="1"/>
  <c r="P66" i="17"/>
  <c r="P69" i="17" s="1"/>
  <c r="N66" i="17"/>
  <c r="N42" i="17"/>
  <c r="J42" i="17"/>
  <c r="D42" i="17"/>
  <c r="D30" i="17"/>
  <c r="F30" i="17"/>
  <c r="H30" i="17"/>
  <c r="J30" i="17"/>
  <c r="L30" i="17"/>
  <c r="N30" i="17"/>
  <c r="P30" i="17"/>
  <c r="D31" i="17"/>
  <c r="F31" i="17"/>
  <c r="H31" i="17"/>
  <c r="J31" i="17"/>
  <c r="L31" i="17"/>
  <c r="N31" i="17"/>
  <c r="P31" i="17"/>
  <c r="T32" i="17"/>
  <c r="D33" i="17"/>
  <c r="F33" i="17"/>
  <c r="H33" i="17"/>
  <c r="J33" i="17"/>
  <c r="L33" i="17"/>
  <c r="N33" i="17"/>
  <c r="P33" i="17"/>
  <c r="D34" i="17"/>
  <c r="F34" i="17"/>
  <c r="H34" i="17"/>
  <c r="J34" i="17"/>
  <c r="L34" i="17"/>
  <c r="N34" i="17"/>
  <c r="P34" i="17"/>
  <c r="D41" i="17"/>
  <c r="J41" i="17"/>
  <c r="N41" i="17"/>
  <c r="T48" i="17"/>
  <c r="P54" i="17"/>
  <c r="P55" i="17"/>
  <c r="T67" i="17"/>
  <c r="J69" i="17"/>
  <c r="J82" i="17" s="1"/>
  <c r="L69" i="17"/>
  <c r="L82" i="17" s="1"/>
  <c r="R69" i="17"/>
  <c r="T79" i="17"/>
  <c r="L85" i="17"/>
  <c r="R96" i="17"/>
  <c r="A101" i="17"/>
  <c r="A102" i="17" s="1"/>
  <c r="A113" i="17"/>
  <c r="A114" i="17" s="1"/>
  <c r="A115" i="17" s="1"/>
  <c r="A116" i="17" s="1"/>
  <c r="A117" i="17" s="1"/>
  <c r="A118" i="17" s="1"/>
  <c r="R113" i="17"/>
  <c r="B134" i="17"/>
  <c r="B195" i="17" s="1"/>
  <c r="B278" i="17" s="1"/>
  <c r="T147" i="17"/>
  <c r="T166" i="17"/>
  <c r="T167" i="17" s="1"/>
  <c r="P254" i="17"/>
  <c r="R254" i="17"/>
  <c r="P266" i="17"/>
  <c r="Q260" i="17" s="1"/>
  <c r="R266" i="17"/>
  <c r="P242" i="17"/>
  <c r="R242" i="17"/>
  <c r="Q262" i="17"/>
  <c r="T103" i="16"/>
  <c r="T102" i="16"/>
  <c r="T88" i="16"/>
  <c r="T89" i="16"/>
  <c r="T95" i="16"/>
  <c r="R87" i="16"/>
  <c r="R94" i="16" s="1"/>
  <c r="R96" i="16"/>
  <c r="R113" i="16"/>
  <c r="N66" i="16"/>
  <c r="N69" i="16" s="1"/>
  <c r="P66" i="16"/>
  <c r="P69" i="16" s="1"/>
  <c r="N42" i="16"/>
  <c r="J42" i="16"/>
  <c r="D42" i="16"/>
  <c r="D30" i="16"/>
  <c r="F30" i="16"/>
  <c r="H30" i="16"/>
  <c r="J30" i="16"/>
  <c r="L30" i="16"/>
  <c r="N30" i="16"/>
  <c r="P30" i="16"/>
  <c r="D31" i="16"/>
  <c r="F31" i="16"/>
  <c r="H31" i="16"/>
  <c r="J31" i="16"/>
  <c r="L31" i="16"/>
  <c r="N31" i="16"/>
  <c r="P31" i="16"/>
  <c r="T32" i="16"/>
  <c r="D33" i="16"/>
  <c r="F33" i="16"/>
  <c r="H33" i="16"/>
  <c r="J33" i="16"/>
  <c r="L33" i="16"/>
  <c r="N33" i="16"/>
  <c r="P33" i="16"/>
  <c r="D34" i="16"/>
  <c r="F34" i="16"/>
  <c r="H34" i="16"/>
  <c r="J34" i="16"/>
  <c r="L34" i="16"/>
  <c r="N34" i="16"/>
  <c r="P34" i="16"/>
  <c r="D41" i="16"/>
  <c r="J41" i="16"/>
  <c r="N41" i="16"/>
  <c r="T48" i="16"/>
  <c r="P54" i="16"/>
  <c r="P55" i="16"/>
  <c r="T67" i="16"/>
  <c r="J69" i="16"/>
  <c r="J82" i="16" s="1"/>
  <c r="L69" i="16"/>
  <c r="L82" i="16" s="1"/>
  <c r="R69" i="16"/>
  <c r="T79" i="16"/>
  <c r="L85" i="16"/>
  <c r="A101" i="16"/>
  <c r="A102" i="16" s="1"/>
  <c r="A113" i="16"/>
  <c r="A114" i="16" s="1"/>
  <c r="A115" i="16" s="1"/>
  <c r="A116" i="16" s="1"/>
  <c r="A117" i="16" s="1"/>
  <c r="A118" i="16" s="1"/>
  <c r="B134" i="16"/>
  <c r="B194" i="16" s="1"/>
  <c r="B277" i="16" s="1"/>
  <c r="T147" i="16"/>
  <c r="T166" i="16"/>
  <c r="P253" i="16"/>
  <c r="R253" i="16"/>
  <c r="P265" i="16"/>
  <c r="R265" i="16"/>
  <c r="S257" i="16" s="1"/>
  <c r="P241" i="16"/>
  <c r="Q236" i="16" s="1"/>
  <c r="R241" i="16"/>
  <c r="Q258" i="16"/>
  <c r="Q259" i="16"/>
  <c r="R265" i="15"/>
  <c r="S258" i="15" s="1"/>
  <c r="P265" i="15"/>
  <c r="N66" i="15"/>
  <c r="T88" i="15"/>
  <c r="T89" i="15"/>
  <c r="T95" i="15"/>
  <c r="T102" i="15"/>
  <c r="R87" i="15"/>
  <c r="R94" i="15" s="1"/>
  <c r="R98" i="15" s="1"/>
  <c r="R96" i="15"/>
  <c r="P66" i="15"/>
  <c r="P69" i="15" s="1"/>
  <c r="N42" i="15"/>
  <c r="J42" i="15"/>
  <c r="D42" i="15"/>
  <c r="D30" i="15"/>
  <c r="F30" i="15"/>
  <c r="H30" i="15"/>
  <c r="J30" i="15"/>
  <c r="L30" i="15"/>
  <c r="N30" i="15"/>
  <c r="P30" i="15"/>
  <c r="D31" i="15"/>
  <c r="F31" i="15"/>
  <c r="H31" i="15"/>
  <c r="J31" i="15"/>
  <c r="L31" i="15"/>
  <c r="N31" i="15"/>
  <c r="P31" i="15"/>
  <c r="T32" i="15"/>
  <c r="T50" i="15" s="1"/>
  <c r="D33" i="15"/>
  <c r="F33" i="15"/>
  <c r="T33" i="15" s="1"/>
  <c r="T41" i="15" s="1"/>
  <c r="R201" i="15" s="1"/>
  <c r="R202" i="15" s="1"/>
  <c r="H33" i="15"/>
  <c r="J33" i="15"/>
  <c r="L33" i="15"/>
  <c r="N33" i="15"/>
  <c r="P33" i="15"/>
  <c r="D34" i="15"/>
  <c r="F34" i="15"/>
  <c r="H34" i="15"/>
  <c r="J34" i="15"/>
  <c r="L34" i="15"/>
  <c r="N34" i="15"/>
  <c r="P34" i="15"/>
  <c r="D41" i="15"/>
  <c r="J41" i="15"/>
  <c r="N41" i="15"/>
  <c r="T48" i="15"/>
  <c r="P54" i="15"/>
  <c r="P55" i="15"/>
  <c r="T67" i="15"/>
  <c r="J69" i="15"/>
  <c r="J82" i="15" s="1"/>
  <c r="L69" i="15"/>
  <c r="L82" i="15" s="1"/>
  <c r="R69" i="15"/>
  <c r="T79" i="15"/>
  <c r="L85" i="15"/>
  <c r="A101" i="15"/>
  <c r="A102" i="15" s="1"/>
  <c r="A113" i="15"/>
  <c r="A114" i="15" s="1"/>
  <c r="A115" i="15" s="1"/>
  <c r="A116" i="15" s="1"/>
  <c r="A117" i="15" s="1"/>
  <c r="A118" i="15" s="1"/>
  <c r="R113" i="15"/>
  <c r="R120" i="15"/>
  <c r="B134" i="15"/>
  <c r="B194" i="15" s="1"/>
  <c r="B277" i="15" s="1"/>
  <c r="T138" i="15"/>
  <c r="T147" i="15"/>
  <c r="T165" i="15"/>
  <c r="T167" i="15" s="1"/>
  <c r="T166" i="15"/>
  <c r="P253" i="15"/>
  <c r="Q214" i="15" s="1"/>
  <c r="R253" i="15"/>
  <c r="P241" i="15"/>
  <c r="R241" i="15"/>
  <c r="N66" i="14"/>
  <c r="T88" i="14"/>
  <c r="T102" i="14"/>
  <c r="T89" i="14"/>
  <c r="T94" i="14" s="1"/>
  <c r="R87" i="14"/>
  <c r="R94" i="14" s="1"/>
  <c r="P66" i="14"/>
  <c r="P69" i="14" s="1"/>
  <c r="J41" i="14"/>
  <c r="N42" i="14"/>
  <c r="J42" i="14"/>
  <c r="D42" i="14"/>
  <c r="D30" i="14"/>
  <c r="F30" i="14"/>
  <c r="H30" i="14"/>
  <c r="J30" i="14"/>
  <c r="L30" i="14"/>
  <c r="N30" i="14"/>
  <c r="P30" i="14"/>
  <c r="D31" i="14"/>
  <c r="F31" i="14"/>
  <c r="H31" i="14"/>
  <c r="J31" i="14"/>
  <c r="L31" i="14"/>
  <c r="N31" i="14"/>
  <c r="P31" i="14"/>
  <c r="T32" i="14"/>
  <c r="D33" i="14"/>
  <c r="F33" i="14"/>
  <c r="H33" i="14"/>
  <c r="J33" i="14"/>
  <c r="L33" i="14"/>
  <c r="N33" i="14"/>
  <c r="P33" i="14"/>
  <c r="D41" i="14"/>
  <c r="N41" i="14"/>
  <c r="D34" i="14"/>
  <c r="T34" i="14" s="1"/>
  <c r="F34" i="14"/>
  <c r="H34" i="14"/>
  <c r="J34" i="14"/>
  <c r="L34" i="14"/>
  <c r="N34" i="14"/>
  <c r="P34" i="14"/>
  <c r="T48" i="14"/>
  <c r="P54" i="14"/>
  <c r="P55" i="14"/>
  <c r="T67" i="14"/>
  <c r="J69" i="14"/>
  <c r="J82" i="14" s="1"/>
  <c r="L69" i="14"/>
  <c r="L82" i="14" s="1"/>
  <c r="R69" i="14"/>
  <c r="T79" i="14"/>
  <c r="L85" i="14"/>
  <c r="T95" i="14"/>
  <c r="R96" i="14"/>
  <c r="R120" i="14"/>
  <c r="R113" i="14"/>
  <c r="A101" i="14"/>
  <c r="A102" i="14" s="1"/>
  <c r="A113" i="14"/>
  <c r="A114" i="14" s="1"/>
  <c r="A115" i="14" s="1"/>
  <c r="A116" i="14" s="1"/>
  <c r="A117" i="14" s="1"/>
  <c r="A118" i="14" s="1"/>
  <c r="B134" i="14"/>
  <c r="B194" i="14" s="1"/>
  <c r="B277" i="14" s="1"/>
  <c r="T147" i="14"/>
  <c r="T165" i="14"/>
  <c r="T166" i="14"/>
  <c r="T179" i="14"/>
  <c r="P253" i="14"/>
  <c r="R253" i="14"/>
  <c r="P241" i="14"/>
  <c r="Q237" i="14" s="1"/>
  <c r="R241" i="14"/>
  <c r="S239" i="14" s="1"/>
  <c r="P265" i="14"/>
  <c r="Q265" i="14"/>
  <c r="R265" i="14"/>
  <c r="S265" i="14"/>
  <c r="N66" i="13"/>
  <c r="R209" i="13"/>
  <c r="T88" i="13"/>
  <c r="T102" i="13"/>
  <c r="T91" i="13"/>
  <c r="T89" i="13"/>
  <c r="T95" i="13"/>
  <c r="R87" i="13"/>
  <c r="R94" i="13" s="1"/>
  <c r="P66" i="13"/>
  <c r="P69" i="13" s="1"/>
  <c r="N42" i="13"/>
  <c r="J42" i="13"/>
  <c r="D42" i="13"/>
  <c r="D30" i="13"/>
  <c r="F30" i="13"/>
  <c r="H30" i="13"/>
  <c r="J30" i="13"/>
  <c r="L30" i="13"/>
  <c r="N30" i="13"/>
  <c r="P30" i="13"/>
  <c r="D31" i="13"/>
  <c r="F31" i="13"/>
  <c r="H31" i="13"/>
  <c r="J31" i="13"/>
  <c r="L31" i="13"/>
  <c r="N31" i="13"/>
  <c r="P31" i="13"/>
  <c r="T32" i="13"/>
  <c r="D33" i="13"/>
  <c r="F33" i="13"/>
  <c r="H33" i="13"/>
  <c r="T33" i="13" s="1"/>
  <c r="T41" i="13" s="1"/>
  <c r="R201" i="13" s="1"/>
  <c r="R202" i="13" s="1"/>
  <c r="J33" i="13"/>
  <c r="L33" i="13"/>
  <c r="N33" i="13"/>
  <c r="P33" i="13"/>
  <c r="D41" i="13"/>
  <c r="J41" i="13"/>
  <c r="N41" i="13"/>
  <c r="D34" i="13"/>
  <c r="T34" i="13" s="1"/>
  <c r="F34" i="13"/>
  <c r="H34" i="13"/>
  <c r="J34" i="13"/>
  <c r="L34" i="13"/>
  <c r="T49" i="13" s="1"/>
  <c r="N34" i="13"/>
  <c r="P34" i="13"/>
  <c r="T48" i="13"/>
  <c r="P54" i="13"/>
  <c r="P55" i="13"/>
  <c r="T67" i="13"/>
  <c r="J69" i="13"/>
  <c r="J82" i="13" s="1"/>
  <c r="L69" i="13"/>
  <c r="L82" i="13" s="1"/>
  <c r="R69" i="13"/>
  <c r="T79" i="13"/>
  <c r="L85" i="13"/>
  <c r="R96" i="13"/>
  <c r="R120" i="13"/>
  <c r="R122" i="13"/>
  <c r="R113" i="13"/>
  <c r="A101" i="13"/>
  <c r="A102" i="13" s="1"/>
  <c r="A113" i="13"/>
  <c r="A114" i="13" s="1"/>
  <c r="A115" i="13" s="1"/>
  <c r="A116" i="13" s="1"/>
  <c r="A117" i="13" s="1"/>
  <c r="A118" i="13" s="1"/>
  <c r="B134" i="13"/>
  <c r="B194" i="13" s="1"/>
  <c r="B277" i="13" s="1"/>
  <c r="T147" i="13"/>
  <c r="T165" i="13"/>
  <c r="T167" i="13" s="1"/>
  <c r="T166" i="13"/>
  <c r="T179" i="13"/>
  <c r="P253" i="13"/>
  <c r="R253" i="13"/>
  <c r="P241" i="13"/>
  <c r="Q236" i="13" s="1"/>
  <c r="R241" i="13"/>
  <c r="P265" i="13"/>
  <c r="Q265" i="13"/>
  <c r="R265" i="13"/>
  <c r="S265" i="13"/>
  <c r="N66" i="12"/>
  <c r="T102" i="12"/>
  <c r="T91" i="12"/>
  <c r="T89" i="12"/>
  <c r="T88" i="12"/>
  <c r="T95" i="12"/>
  <c r="R87" i="12"/>
  <c r="R94" i="12" s="1"/>
  <c r="P66" i="12"/>
  <c r="N41" i="12"/>
  <c r="J41" i="12"/>
  <c r="N42" i="12"/>
  <c r="J42" i="12"/>
  <c r="D42" i="12"/>
  <c r="D30" i="12"/>
  <c r="F30" i="12"/>
  <c r="H30" i="12"/>
  <c r="J30" i="12"/>
  <c r="L30" i="12"/>
  <c r="N30" i="12"/>
  <c r="P30" i="12"/>
  <c r="D31" i="12"/>
  <c r="F31" i="12"/>
  <c r="H31" i="12"/>
  <c r="J31" i="12"/>
  <c r="L31" i="12"/>
  <c r="N31" i="12"/>
  <c r="P31" i="12"/>
  <c r="T32" i="12"/>
  <c r="D33" i="12"/>
  <c r="F33" i="12"/>
  <c r="H33" i="12"/>
  <c r="J33" i="12"/>
  <c r="L33" i="12"/>
  <c r="N33" i="12"/>
  <c r="P33" i="12"/>
  <c r="D41" i="12"/>
  <c r="D34" i="12"/>
  <c r="F34" i="12"/>
  <c r="H34" i="12"/>
  <c r="J34" i="12"/>
  <c r="L34" i="12"/>
  <c r="N34" i="12"/>
  <c r="P34" i="12"/>
  <c r="T48" i="12"/>
  <c r="P54" i="12"/>
  <c r="P55" i="12"/>
  <c r="T67" i="12"/>
  <c r="J69" i="12"/>
  <c r="J82" i="12" s="1"/>
  <c r="L69" i="12"/>
  <c r="L82" i="12" s="1"/>
  <c r="R69" i="12"/>
  <c r="T79" i="12"/>
  <c r="L85" i="12"/>
  <c r="R96" i="12"/>
  <c r="A101" i="12"/>
  <c r="A102" i="12" s="1"/>
  <c r="A113" i="12"/>
  <c r="A114" i="12" s="1"/>
  <c r="A115" i="12" s="1"/>
  <c r="A116" i="12" s="1"/>
  <c r="A117" i="12" s="1"/>
  <c r="A118" i="12" s="1"/>
  <c r="R113" i="12"/>
  <c r="R120" i="12"/>
  <c r="B134" i="12"/>
  <c r="B194" i="12" s="1"/>
  <c r="B277" i="12" s="1"/>
  <c r="T147" i="12"/>
  <c r="T166" i="12"/>
  <c r="P253" i="12"/>
  <c r="R253" i="12"/>
  <c r="S244" i="12" s="1"/>
  <c r="P241" i="12"/>
  <c r="Q235" i="12" s="1"/>
  <c r="R241" i="12"/>
  <c r="P265" i="12"/>
  <c r="Q265" i="12"/>
  <c r="R265" i="12"/>
  <c r="S265" i="12"/>
  <c r="T102" i="11"/>
  <c r="T89" i="11"/>
  <c r="T94" i="11" s="1"/>
  <c r="T98" i="11" s="1"/>
  <c r="T88" i="11"/>
  <c r="T95" i="11"/>
  <c r="R87" i="11"/>
  <c r="R94" i="11" s="1"/>
  <c r="R96" i="11"/>
  <c r="R98" i="11" s="1"/>
  <c r="R120" i="11"/>
  <c r="R113" i="11"/>
  <c r="N66" i="11"/>
  <c r="R209" i="11" s="1"/>
  <c r="P66" i="11"/>
  <c r="T66" i="11" s="1"/>
  <c r="T67" i="11"/>
  <c r="N42" i="11"/>
  <c r="J42" i="11"/>
  <c r="D42" i="11"/>
  <c r="D30" i="11"/>
  <c r="F30" i="11"/>
  <c r="H30" i="11"/>
  <c r="J30" i="11"/>
  <c r="L30" i="11"/>
  <c r="N30" i="11"/>
  <c r="P30" i="11"/>
  <c r="D31" i="11"/>
  <c r="F31" i="11"/>
  <c r="H31" i="11"/>
  <c r="J31" i="11"/>
  <c r="L31" i="11"/>
  <c r="N31" i="11"/>
  <c r="P31" i="11"/>
  <c r="T32" i="11"/>
  <c r="T138" i="11" s="1"/>
  <c r="D33" i="11"/>
  <c r="F33" i="11"/>
  <c r="H33" i="11"/>
  <c r="J33" i="11"/>
  <c r="L33" i="11"/>
  <c r="N33" i="11"/>
  <c r="P33" i="11"/>
  <c r="D41" i="11"/>
  <c r="J41" i="11"/>
  <c r="N41" i="11"/>
  <c r="D34" i="11"/>
  <c r="F34" i="11"/>
  <c r="H34" i="11"/>
  <c r="T34" i="11" s="1"/>
  <c r="J34" i="11"/>
  <c r="T49" i="11" s="1"/>
  <c r="L34" i="11"/>
  <c r="N34" i="11"/>
  <c r="P34" i="11"/>
  <c r="T48" i="11"/>
  <c r="P54" i="11"/>
  <c r="P55" i="11"/>
  <c r="J69" i="11"/>
  <c r="J82" i="11" s="1"/>
  <c r="L69" i="11"/>
  <c r="L82" i="11" s="1"/>
  <c r="R69" i="11"/>
  <c r="T79" i="11"/>
  <c r="L85" i="11"/>
  <c r="A101" i="11"/>
  <c r="A102" i="11" s="1"/>
  <c r="A113" i="11"/>
  <c r="A114" i="11" s="1"/>
  <c r="A115" i="11" s="1"/>
  <c r="A116" i="11" s="1"/>
  <c r="A117" i="11" s="1"/>
  <c r="A118" i="11" s="1"/>
  <c r="B134" i="11"/>
  <c r="B194" i="11" s="1"/>
  <c r="B277" i="11" s="1"/>
  <c r="T147" i="11"/>
  <c r="T166" i="11"/>
  <c r="T167" i="11" s="1"/>
  <c r="P253" i="11"/>
  <c r="Q245" i="11" s="1"/>
  <c r="R253" i="11"/>
  <c r="P241" i="11"/>
  <c r="R241" i="11"/>
  <c r="S234" i="11" s="1"/>
  <c r="P265" i="11"/>
  <c r="Q265" i="11"/>
  <c r="R265" i="11"/>
  <c r="R267" i="11" s="1"/>
  <c r="S265" i="11"/>
  <c r="N66" i="10"/>
  <c r="T102" i="10"/>
  <c r="T91" i="10"/>
  <c r="T89" i="10"/>
  <c r="T88" i="10"/>
  <c r="T95" i="10"/>
  <c r="R87" i="10"/>
  <c r="R94" i="10" s="1"/>
  <c r="R98" i="10" s="1"/>
  <c r="P66" i="10"/>
  <c r="P69" i="10" s="1"/>
  <c r="T67" i="10"/>
  <c r="N42" i="10"/>
  <c r="J42" i="10"/>
  <c r="D42" i="10"/>
  <c r="D30" i="10"/>
  <c r="F30" i="10"/>
  <c r="H30" i="10"/>
  <c r="J30" i="10"/>
  <c r="L30" i="10"/>
  <c r="N30" i="10"/>
  <c r="P30" i="10"/>
  <c r="D31" i="10"/>
  <c r="F31" i="10"/>
  <c r="H31" i="10"/>
  <c r="J31" i="10"/>
  <c r="L31" i="10"/>
  <c r="N31" i="10"/>
  <c r="P31" i="10"/>
  <c r="T32" i="10"/>
  <c r="T50" i="10" s="1"/>
  <c r="D33" i="10"/>
  <c r="F33" i="10"/>
  <c r="H33" i="10"/>
  <c r="T33" i="10" s="1"/>
  <c r="T41" i="10" s="1"/>
  <c r="R201" i="10" s="1"/>
  <c r="R202" i="10" s="1"/>
  <c r="J33" i="10"/>
  <c r="L33" i="10"/>
  <c r="N33" i="10"/>
  <c r="P33" i="10"/>
  <c r="D34" i="10"/>
  <c r="F34" i="10"/>
  <c r="H34" i="10"/>
  <c r="J34" i="10"/>
  <c r="L34" i="10"/>
  <c r="N34" i="10"/>
  <c r="P34" i="10"/>
  <c r="D41" i="10"/>
  <c r="J41" i="10"/>
  <c r="N41" i="10"/>
  <c r="T48" i="10"/>
  <c r="P54" i="10"/>
  <c r="P55" i="10"/>
  <c r="J69" i="10"/>
  <c r="J82" i="10" s="1"/>
  <c r="L69" i="10"/>
  <c r="L82" i="10"/>
  <c r="R69" i="10"/>
  <c r="T79" i="10"/>
  <c r="L85" i="10"/>
  <c r="R96" i="10"/>
  <c r="A101" i="10"/>
  <c r="A102" i="10" s="1"/>
  <c r="A113" i="10"/>
  <c r="A114" i="10" s="1"/>
  <c r="A115" i="10" s="1"/>
  <c r="A116" i="10" s="1"/>
  <c r="A117" i="10" s="1"/>
  <c r="A118" i="10" s="1"/>
  <c r="R113" i="10"/>
  <c r="R120" i="10"/>
  <c r="R122" i="10"/>
  <c r="B134" i="10"/>
  <c r="B194" i="10" s="1"/>
  <c r="B277" i="10" s="1"/>
  <c r="T147" i="10"/>
  <c r="T166" i="10"/>
  <c r="T179" i="10"/>
  <c r="P253" i="10"/>
  <c r="Q246" i="10" s="1"/>
  <c r="R253" i="10"/>
  <c r="P241" i="10"/>
  <c r="R241" i="10"/>
  <c r="S234" i="10" s="1"/>
  <c r="P265" i="10"/>
  <c r="Q265" i="10"/>
  <c r="R265" i="10"/>
  <c r="R267" i="10" s="1"/>
  <c r="S265" i="10"/>
  <c r="T91" i="9"/>
  <c r="T88" i="9"/>
  <c r="T101" i="9"/>
  <c r="T117" i="9" s="1"/>
  <c r="T129" i="9" s="1"/>
  <c r="T130" i="9" s="1"/>
  <c r="T89" i="9"/>
  <c r="R87" i="9"/>
  <c r="R94" i="9" s="1"/>
  <c r="N66" i="9"/>
  <c r="R208" i="9" s="1"/>
  <c r="P66" i="9"/>
  <c r="N42" i="9"/>
  <c r="J42" i="9"/>
  <c r="D42" i="9"/>
  <c r="D30" i="9"/>
  <c r="F30" i="9"/>
  <c r="H30" i="9"/>
  <c r="J30" i="9"/>
  <c r="L30" i="9"/>
  <c r="N30" i="9"/>
  <c r="P30" i="9"/>
  <c r="D31" i="9"/>
  <c r="F31" i="9"/>
  <c r="H31" i="9"/>
  <c r="J31" i="9"/>
  <c r="L31" i="9"/>
  <c r="N31" i="9"/>
  <c r="P31" i="9"/>
  <c r="T32" i="9"/>
  <c r="T50" i="9" s="1"/>
  <c r="D33" i="9"/>
  <c r="F33" i="9"/>
  <c r="H33" i="9"/>
  <c r="J33" i="9"/>
  <c r="L33" i="9"/>
  <c r="N33" i="9"/>
  <c r="P33" i="9"/>
  <c r="D34" i="9"/>
  <c r="F34" i="9"/>
  <c r="H34" i="9"/>
  <c r="T34" i="9" s="1"/>
  <c r="J34" i="9"/>
  <c r="T49" i="9" s="1"/>
  <c r="L34" i="9"/>
  <c r="N34" i="9"/>
  <c r="P34" i="9"/>
  <c r="D41" i="9"/>
  <c r="J41" i="9"/>
  <c r="N41" i="9"/>
  <c r="T48" i="9"/>
  <c r="P54" i="9"/>
  <c r="P55" i="9"/>
  <c r="T67" i="9"/>
  <c r="J69" i="9"/>
  <c r="J82" i="9" s="1"/>
  <c r="L69" i="9"/>
  <c r="L82" i="9" s="1"/>
  <c r="N69" i="9"/>
  <c r="R69" i="9"/>
  <c r="T79" i="9"/>
  <c r="L85" i="9"/>
  <c r="T95" i="9"/>
  <c r="R96" i="9"/>
  <c r="A100" i="9"/>
  <c r="A101" i="9" s="1"/>
  <c r="A112" i="9"/>
  <c r="A113" i="9" s="1"/>
  <c r="A114" i="9" s="1"/>
  <c r="A115" i="9" s="1"/>
  <c r="A116" i="9" s="1"/>
  <c r="A117" i="9" s="1"/>
  <c r="R112" i="9"/>
  <c r="R119" i="9"/>
  <c r="R121" i="9"/>
  <c r="R129" i="9" s="1"/>
  <c r="B133" i="9"/>
  <c r="B193" i="9" s="1"/>
  <c r="B276" i="9" s="1"/>
  <c r="T137" i="9"/>
  <c r="T146" i="9"/>
  <c r="T164" i="9"/>
  <c r="T166" i="9" s="1"/>
  <c r="T165" i="9"/>
  <c r="T178" i="9"/>
  <c r="P252" i="9"/>
  <c r="Q213" i="9" s="1"/>
  <c r="R252" i="9"/>
  <c r="S250" i="9" s="1"/>
  <c r="P240" i="9"/>
  <c r="Q235" i="9" s="1"/>
  <c r="R240" i="9"/>
  <c r="S234" i="9" s="1"/>
  <c r="Q249" i="9"/>
  <c r="P264" i="9"/>
  <c r="P266" i="9" s="1"/>
  <c r="Q264" i="9"/>
  <c r="R264" i="9"/>
  <c r="S264" i="9"/>
  <c r="R94" i="8"/>
  <c r="R97" i="8" s="1"/>
  <c r="R96" i="8"/>
  <c r="R119" i="8"/>
  <c r="R121" i="8"/>
  <c r="R112" i="8"/>
  <c r="R94" i="7"/>
  <c r="R96" i="7"/>
  <c r="R119" i="7"/>
  <c r="R121" i="7"/>
  <c r="R129" i="7" s="1"/>
  <c r="R112" i="7"/>
  <c r="R87" i="6"/>
  <c r="R94" i="6" s="1"/>
  <c r="R96" i="6"/>
  <c r="R119" i="6"/>
  <c r="R129" i="6" s="1"/>
  <c r="R130" i="6" s="1"/>
  <c r="R121" i="6"/>
  <c r="R112" i="6"/>
  <c r="R87" i="5"/>
  <c r="R93" i="5" s="1"/>
  <c r="R95" i="5"/>
  <c r="R118" i="5"/>
  <c r="R128" i="5" s="1"/>
  <c r="R120" i="5"/>
  <c r="R111" i="5"/>
  <c r="N66" i="8"/>
  <c r="T101" i="8"/>
  <c r="T89" i="8"/>
  <c r="T88" i="8"/>
  <c r="T94" i="8" s="1"/>
  <c r="P66" i="8"/>
  <c r="P69" i="8" s="1"/>
  <c r="N42" i="8"/>
  <c r="J42" i="8"/>
  <c r="D42" i="8"/>
  <c r="D30" i="8"/>
  <c r="F30" i="8"/>
  <c r="H30" i="8"/>
  <c r="J30" i="8"/>
  <c r="L30" i="8"/>
  <c r="N30" i="8"/>
  <c r="P30" i="8"/>
  <c r="D31" i="8"/>
  <c r="F31" i="8"/>
  <c r="H31" i="8"/>
  <c r="J31" i="8"/>
  <c r="L31" i="8"/>
  <c r="N31" i="8"/>
  <c r="P31" i="8"/>
  <c r="T32" i="8"/>
  <c r="D33" i="8"/>
  <c r="F33" i="8"/>
  <c r="H33" i="8"/>
  <c r="J33" i="8"/>
  <c r="L33" i="8"/>
  <c r="N33" i="8"/>
  <c r="P33" i="8"/>
  <c r="D41" i="8"/>
  <c r="J41" i="8"/>
  <c r="N41" i="8"/>
  <c r="D34" i="8"/>
  <c r="F34" i="8"/>
  <c r="H34" i="8"/>
  <c r="J34" i="8"/>
  <c r="L34" i="8"/>
  <c r="N34" i="8"/>
  <c r="P34" i="8"/>
  <c r="T48" i="8"/>
  <c r="P54" i="8"/>
  <c r="P55" i="8"/>
  <c r="T67" i="8"/>
  <c r="J69" i="8"/>
  <c r="J82" i="8" s="1"/>
  <c r="L69" i="8"/>
  <c r="L82" i="8" s="1"/>
  <c r="R69" i="8"/>
  <c r="T79" i="8"/>
  <c r="L85" i="8"/>
  <c r="T95" i="8"/>
  <c r="A100" i="8"/>
  <c r="A101" i="8" s="1"/>
  <c r="A112" i="8"/>
  <c r="A113" i="8" s="1"/>
  <c r="A114" i="8" s="1"/>
  <c r="A115" i="8" s="1"/>
  <c r="A116" i="8" s="1"/>
  <c r="A117" i="8" s="1"/>
  <c r="B133" i="8"/>
  <c r="B193" i="8" s="1"/>
  <c r="B276" i="8" s="1"/>
  <c r="T146" i="8"/>
  <c r="T165" i="8"/>
  <c r="T178" i="8"/>
  <c r="P252" i="8"/>
  <c r="Q244" i="8" s="1"/>
  <c r="R252" i="8"/>
  <c r="P240" i="8"/>
  <c r="R240" i="8"/>
  <c r="P264" i="8"/>
  <c r="Q264" i="8"/>
  <c r="R264" i="8"/>
  <c r="S264" i="8"/>
  <c r="T101" i="7"/>
  <c r="T89" i="7"/>
  <c r="T88" i="7"/>
  <c r="P66" i="7"/>
  <c r="P69" i="7" s="1"/>
  <c r="N66" i="7"/>
  <c r="N69" i="7" s="1"/>
  <c r="J41" i="7"/>
  <c r="N42" i="7"/>
  <c r="J42" i="7"/>
  <c r="D42" i="7"/>
  <c r="D30" i="7"/>
  <c r="F30" i="7"/>
  <c r="H30" i="7"/>
  <c r="J30" i="7"/>
  <c r="L30" i="7"/>
  <c r="N30" i="7"/>
  <c r="P30" i="7"/>
  <c r="D31" i="7"/>
  <c r="F31" i="7"/>
  <c r="H31" i="7"/>
  <c r="J31" i="7"/>
  <c r="L31" i="7"/>
  <c r="N31" i="7"/>
  <c r="P31" i="7"/>
  <c r="T32" i="7"/>
  <c r="T137" i="7" s="1"/>
  <c r="D33" i="7"/>
  <c r="F33" i="7"/>
  <c r="H33" i="7"/>
  <c r="J33" i="7"/>
  <c r="L33" i="7"/>
  <c r="N33" i="7"/>
  <c r="P33" i="7"/>
  <c r="D34" i="7"/>
  <c r="F34" i="7"/>
  <c r="H34" i="7"/>
  <c r="J34" i="7"/>
  <c r="L34" i="7"/>
  <c r="N34" i="7"/>
  <c r="P34" i="7"/>
  <c r="D41" i="7"/>
  <c r="N41" i="7"/>
  <c r="T48" i="7"/>
  <c r="P54" i="7"/>
  <c r="P55" i="7"/>
  <c r="T67" i="7"/>
  <c r="J69" i="7"/>
  <c r="J82" i="7" s="1"/>
  <c r="L69" i="7"/>
  <c r="L82" i="7" s="1"/>
  <c r="R69" i="7"/>
  <c r="T79" i="7"/>
  <c r="L85" i="7"/>
  <c r="T95" i="7"/>
  <c r="A100" i="7"/>
  <c r="A101" i="7" s="1"/>
  <c r="A112" i="7"/>
  <c r="A113" i="7" s="1"/>
  <c r="A114" i="7" s="1"/>
  <c r="A115" i="7" s="1"/>
  <c r="A116" i="7" s="1"/>
  <c r="A117" i="7" s="1"/>
  <c r="B133" i="7"/>
  <c r="B193" i="7" s="1"/>
  <c r="B275" i="7" s="1"/>
  <c r="T146" i="7"/>
  <c r="T164" i="7"/>
  <c r="T165" i="7"/>
  <c r="T166" i="7" s="1"/>
  <c r="T178" i="7"/>
  <c r="P252" i="7"/>
  <c r="R252" i="7"/>
  <c r="P240" i="7"/>
  <c r="Q237" i="7" s="1"/>
  <c r="R240" i="7"/>
  <c r="S232" i="7" s="1"/>
  <c r="P264" i="7"/>
  <c r="Q264" i="7"/>
  <c r="R264" i="7"/>
  <c r="S264" i="7"/>
  <c r="T101" i="6"/>
  <c r="T89" i="6"/>
  <c r="T88" i="6"/>
  <c r="N66" i="6"/>
  <c r="P66" i="6"/>
  <c r="P69" i="6" s="1"/>
  <c r="N42" i="6"/>
  <c r="J42" i="6"/>
  <c r="D42" i="6"/>
  <c r="D30" i="6"/>
  <c r="F30" i="6"/>
  <c r="H30" i="6"/>
  <c r="J30" i="6"/>
  <c r="L30" i="6"/>
  <c r="N30" i="6"/>
  <c r="P30" i="6"/>
  <c r="D31" i="6"/>
  <c r="F31" i="6"/>
  <c r="H31" i="6"/>
  <c r="J31" i="6"/>
  <c r="L31" i="6"/>
  <c r="N31" i="6"/>
  <c r="P31" i="6"/>
  <c r="T32" i="6"/>
  <c r="T50" i="6" s="1"/>
  <c r="D33" i="6"/>
  <c r="F33" i="6"/>
  <c r="H33" i="6"/>
  <c r="J33" i="6"/>
  <c r="L33" i="6"/>
  <c r="N33" i="6"/>
  <c r="P33" i="6"/>
  <c r="D34" i="6"/>
  <c r="F34" i="6"/>
  <c r="H34" i="6"/>
  <c r="J34" i="6"/>
  <c r="L34" i="6"/>
  <c r="N34" i="6"/>
  <c r="P34" i="6"/>
  <c r="D41" i="6"/>
  <c r="J41" i="6"/>
  <c r="N41" i="6"/>
  <c r="T48" i="6"/>
  <c r="P54" i="6"/>
  <c r="P55" i="6"/>
  <c r="T67" i="6"/>
  <c r="J69" i="6"/>
  <c r="J82" i="6" s="1"/>
  <c r="L69" i="6"/>
  <c r="L82" i="6" s="1"/>
  <c r="R69" i="6"/>
  <c r="T79" i="6"/>
  <c r="L85" i="6"/>
  <c r="T95" i="6"/>
  <c r="A100" i="6"/>
  <c r="A101" i="6" s="1"/>
  <c r="A112" i="6"/>
  <c r="A113" i="6" s="1"/>
  <c r="A114" i="6"/>
  <c r="A115" i="6" s="1"/>
  <c r="A116" i="6" s="1"/>
  <c r="A117" i="6" s="1"/>
  <c r="B133" i="6"/>
  <c r="B193" i="6" s="1"/>
  <c r="B275" i="6" s="1"/>
  <c r="T146" i="6"/>
  <c r="T164" i="6"/>
  <c r="T165" i="6"/>
  <c r="T178" i="6"/>
  <c r="P252" i="6"/>
  <c r="Q248" i="6" s="1"/>
  <c r="R252" i="6"/>
  <c r="P240" i="6"/>
  <c r="R240" i="6"/>
  <c r="S237" i="6" s="1"/>
  <c r="Q247" i="6"/>
  <c r="P264" i="6"/>
  <c r="Q264" i="6"/>
  <c r="R264" i="6"/>
  <c r="R266" i="6" s="1"/>
  <c r="S264" i="6"/>
  <c r="T88" i="1"/>
  <c r="T91" i="1"/>
  <c r="T92" i="1"/>
  <c r="T96" i="1"/>
  <c r="L69" i="1"/>
  <c r="T88" i="5"/>
  <c r="T89" i="5"/>
  <c r="T94" i="5"/>
  <c r="L69" i="5"/>
  <c r="L82" i="5" s="1"/>
  <c r="T88" i="4"/>
  <c r="T89" i="4"/>
  <c r="T93" i="4" s="1"/>
  <c r="T94" i="4"/>
  <c r="L69" i="4"/>
  <c r="L82" i="4" s="1"/>
  <c r="T88" i="3"/>
  <c r="T89" i="3"/>
  <c r="T93" i="3" s="1"/>
  <c r="T94" i="3"/>
  <c r="L69" i="3"/>
  <c r="L82" i="3" s="1"/>
  <c r="T88" i="2"/>
  <c r="T89" i="2"/>
  <c r="T94" i="2"/>
  <c r="L69" i="2"/>
  <c r="L82" i="2" s="1"/>
  <c r="T149" i="4"/>
  <c r="T149" i="5"/>
  <c r="T145" i="2"/>
  <c r="T145" i="3"/>
  <c r="T145" i="4"/>
  <c r="T145" i="5"/>
  <c r="P239" i="5"/>
  <c r="P251" i="5"/>
  <c r="P263" i="5"/>
  <c r="T164" i="5"/>
  <c r="T100" i="5"/>
  <c r="P66" i="5"/>
  <c r="P69" i="5" s="1"/>
  <c r="N66" i="5"/>
  <c r="N42" i="5"/>
  <c r="J42" i="5"/>
  <c r="D42" i="5"/>
  <c r="D30" i="5"/>
  <c r="F30" i="5"/>
  <c r="H30" i="5"/>
  <c r="J30" i="5"/>
  <c r="L30" i="5"/>
  <c r="N30" i="5"/>
  <c r="P30" i="5"/>
  <c r="D31" i="5"/>
  <c r="F31" i="5"/>
  <c r="H31" i="5"/>
  <c r="J31" i="5"/>
  <c r="L31" i="5"/>
  <c r="N31" i="5"/>
  <c r="P31" i="5"/>
  <c r="T32" i="5"/>
  <c r="T50" i="5" s="1"/>
  <c r="D33" i="5"/>
  <c r="F33" i="5"/>
  <c r="H33" i="5"/>
  <c r="J33" i="5"/>
  <c r="L33" i="5"/>
  <c r="N33" i="5"/>
  <c r="P33" i="5"/>
  <c r="D34" i="5"/>
  <c r="F34" i="5"/>
  <c r="H34" i="5"/>
  <c r="J34" i="5"/>
  <c r="T49" i="5" s="1"/>
  <c r="L34" i="5"/>
  <c r="N34" i="5"/>
  <c r="P34" i="5"/>
  <c r="D41" i="5"/>
  <c r="J41" i="5"/>
  <c r="N41" i="5"/>
  <c r="T48" i="5"/>
  <c r="P54" i="5"/>
  <c r="P55" i="5"/>
  <c r="T67" i="5"/>
  <c r="J69" i="5"/>
  <c r="J82" i="5" s="1"/>
  <c r="R69" i="5"/>
  <c r="T79" i="5"/>
  <c r="L85" i="5"/>
  <c r="A99" i="5"/>
  <c r="A100" i="5" s="1"/>
  <c r="A111" i="5"/>
  <c r="A112" i="5" s="1"/>
  <c r="A113" i="5" s="1"/>
  <c r="A114" i="5" s="1"/>
  <c r="A115" i="5" s="1"/>
  <c r="A116" i="5" s="1"/>
  <c r="B132" i="5"/>
  <c r="B192" i="5" s="1"/>
  <c r="B274" i="5" s="1"/>
  <c r="T177" i="5"/>
  <c r="R251" i="5"/>
  <c r="Q230" i="5"/>
  <c r="Q232" i="5"/>
  <c r="R239" i="5"/>
  <c r="Q263" i="5"/>
  <c r="R263" i="5"/>
  <c r="S263" i="5"/>
  <c r="T100" i="4"/>
  <c r="P66" i="4"/>
  <c r="N66" i="4"/>
  <c r="N42" i="4"/>
  <c r="J42" i="4"/>
  <c r="D42" i="4"/>
  <c r="D30" i="4"/>
  <c r="F30" i="4"/>
  <c r="H30" i="4"/>
  <c r="J30" i="4"/>
  <c r="L30" i="4"/>
  <c r="N30" i="4"/>
  <c r="P30" i="4"/>
  <c r="D31" i="4"/>
  <c r="F31" i="4"/>
  <c r="H31" i="4"/>
  <c r="J31" i="4"/>
  <c r="L31" i="4"/>
  <c r="N31" i="4"/>
  <c r="P31" i="4"/>
  <c r="T32" i="4"/>
  <c r="D33" i="4"/>
  <c r="F33" i="4"/>
  <c r="H33" i="4"/>
  <c r="J33" i="4"/>
  <c r="L33" i="4"/>
  <c r="N33" i="4"/>
  <c r="P33" i="4"/>
  <c r="D34" i="4"/>
  <c r="F34" i="4"/>
  <c r="H34" i="4"/>
  <c r="J34" i="4"/>
  <c r="L34" i="4"/>
  <c r="N34" i="4"/>
  <c r="P34" i="4"/>
  <c r="D41" i="4"/>
  <c r="J41" i="4"/>
  <c r="N41" i="4"/>
  <c r="T48" i="4"/>
  <c r="P54" i="4"/>
  <c r="P55" i="4"/>
  <c r="T67" i="4"/>
  <c r="J69" i="4"/>
  <c r="J82" i="4"/>
  <c r="R69" i="4"/>
  <c r="T79" i="4"/>
  <c r="L85" i="4"/>
  <c r="R93" i="4"/>
  <c r="R95" i="4"/>
  <c r="R96" i="4" s="1"/>
  <c r="R118" i="4"/>
  <c r="R120" i="4"/>
  <c r="A99" i="4"/>
  <c r="A100" i="4" s="1"/>
  <c r="A111" i="4"/>
  <c r="A112" i="4" s="1"/>
  <c r="A113" i="4" s="1"/>
  <c r="A114" i="4" s="1"/>
  <c r="A115" i="4" s="1"/>
  <c r="A116" i="4" s="1"/>
  <c r="B132" i="4"/>
  <c r="B192" i="4" s="1"/>
  <c r="B274" i="4" s="1"/>
  <c r="T163" i="4"/>
  <c r="T164" i="4"/>
  <c r="T177" i="4"/>
  <c r="P251" i="4"/>
  <c r="Q212" i="4" s="1"/>
  <c r="R251" i="4"/>
  <c r="S246" i="4" s="1"/>
  <c r="P239" i="4"/>
  <c r="R239" i="4"/>
  <c r="Q242" i="4"/>
  <c r="P263" i="4"/>
  <c r="Q263" i="4"/>
  <c r="R263" i="4"/>
  <c r="S263" i="4"/>
  <c r="T149" i="3"/>
  <c r="T48" i="3"/>
  <c r="D41" i="3"/>
  <c r="J41" i="3"/>
  <c r="N41" i="3"/>
  <c r="D33" i="3"/>
  <c r="F33" i="3"/>
  <c r="H33" i="3"/>
  <c r="J33" i="3"/>
  <c r="L33" i="3"/>
  <c r="N33" i="3"/>
  <c r="P33" i="3"/>
  <c r="T100" i="3"/>
  <c r="P66" i="3"/>
  <c r="N66" i="3"/>
  <c r="N42" i="3"/>
  <c r="J42" i="3"/>
  <c r="D42" i="3"/>
  <c r="D30" i="3"/>
  <c r="F30" i="3"/>
  <c r="H30" i="3"/>
  <c r="J30" i="3"/>
  <c r="L30" i="3"/>
  <c r="N30" i="3"/>
  <c r="P30" i="3"/>
  <c r="D31" i="3"/>
  <c r="F31" i="3"/>
  <c r="H31" i="3"/>
  <c r="J31" i="3"/>
  <c r="L31" i="3"/>
  <c r="N31" i="3"/>
  <c r="P31" i="3"/>
  <c r="T32" i="3"/>
  <c r="D34" i="3"/>
  <c r="F34" i="3"/>
  <c r="H34" i="3"/>
  <c r="J34" i="3"/>
  <c r="L34" i="3"/>
  <c r="N34" i="3"/>
  <c r="P34" i="3"/>
  <c r="P54" i="3"/>
  <c r="P55" i="3"/>
  <c r="T67" i="3"/>
  <c r="J69" i="3"/>
  <c r="J82" i="3" s="1"/>
  <c r="R69" i="3"/>
  <c r="T79" i="3"/>
  <c r="L85" i="3"/>
  <c r="R93" i="3"/>
  <c r="R95" i="3"/>
  <c r="A99" i="3"/>
  <c r="A100" i="3" s="1"/>
  <c r="A111" i="3"/>
  <c r="A112" i="3" s="1"/>
  <c r="A113" i="3" s="1"/>
  <c r="A114" i="3" s="1"/>
  <c r="A115" i="3" s="1"/>
  <c r="A116" i="3" s="1"/>
  <c r="R118" i="3"/>
  <c r="R120" i="3"/>
  <c r="B132" i="3"/>
  <c r="B192" i="3" s="1"/>
  <c r="B274" i="3" s="1"/>
  <c r="T163" i="3"/>
  <c r="T165" i="3" s="1"/>
  <c r="T164" i="3"/>
  <c r="T177" i="3"/>
  <c r="P251" i="3"/>
  <c r="Q212" i="3" s="1"/>
  <c r="R251" i="3"/>
  <c r="P239" i="3"/>
  <c r="R239" i="3"/>
  <c r="S230" i="3" s="1"/>
  <c r="P263" i="3"/>
  <c r="Q263" i="3"/>
  <c r="R263" i="3"/>
  <c r="S263" i="3"/>
  <c r="T100" i="2"/>
  <c r="T98" i="1"/>
  <c r="D41" i="2"/>
  <c r="J41" i="2"/>
  <c r="N41" i="2"/>
  <c r="D33" i="2"/>
  <c r="F33" i="2"/>
  <c r="H33" i="2"/>
  <c r="J33" i="2"/>
  <c r="L33" i="2"/>
  <c r="N33" i="2"/>
  <c r="P33" i="2"/>
  <c r="J34" i="2"/>
  <c r="L34" i="2"/>
  <c r="N34" i="2"/>
  <c r="P34" i="2"/>
  <c r="D34" i="2"/>
  <c r="F34" i="2"/>
  <c r="H34" i="2"/>
  <c r="T149" i="2"/>
  <c r="P66" i="2"/>
  <c r="N66" i="2"/>
  <c r="T67" i="2"/>
  <c r="P54" i="2"/>
  <c r="N42" i="2"/>
  <c r="J42" i="2"/>
  <c r="D42" i="2"/>
  <c r="P30" i="2"/>
  <c r="N30" i="2"/>
  <c r="L30" i="2"/>
  <c r="J30" i="2"/>
  <c r="H30" i="2"/>
  <c r="F30" i="2"/>
  <c r="D30" i="2"/>
  <c r="R239" i="2"/>
  <c r="S237" i="2" s="1"/>
  <c r="R251" i="2"/>
  <c r="R212" i="2" s="1"/>
  <c r="R263" i="2"/>
  <c r="D31" i="2"/>
  <c r="F31" i="2"/>
  <c r="H31" i="2"/>
  <c r="J31" i="2"/>
  <c r="L31" i="2"/>
  <c r="N31" i="2"/>
  <c r="P31" i="2"/>
  <c r="T32" i="2"/>
  <c r="T48" i="2"/>
  <c r="P55" i="2"/>
  <c r="J69" i="2"/>
  <c r="J82" i="2" s="1"/>
  <c r="R69" i="2"/>
  <c r="T79" i="2"/>
  <c r="L85" i="2"/>
  <c r="R93" i="2"/>
  <c r="R95" i="2"/>
  <c r="R118" i="2"/>
  <c r="R120" i="2"/>
  <c r="A99" i="2"/>
  <c r="A100" i="2" s="1"/>
  <c r="A111" i="2"/>
  <c r="A112" i="2" s="1"/>
  <c r="A113" i="2" s="1"/>
  <c r="A114" i="2" s="1"/>
  <c r="A115" i="2" s="1"/>
  <c r="A116" i="2" s="1"/>
  <c r="B132" i="2"/>
  <c r="B192" i="2" s="1"/>
  <c r="B274" i="2" s="1"/>
  <c r="T163" i="2"/>
  <c r="T164" i="2"/>
  <c r="T177" i="2"/>
  <c r="P251" i="2"/>
  <c r="P239" i="2"/>
  <c r="S246" i="2"/>
  <c r="P263" i="2"/>
  <c r="Q263" i="2"/>
  <c r="S263" i="2"/>
  <c r="L85" i="1"/>
  <c r="R116" i="1"/>
  <c r="J34" i="1"/>
  <c r="L34" i="1"/>
  <c r="N34" i="1"/>
  <c r="P34" i="1"/>
  <c r="D34" i="1"/>
  <c r="F34" i="1"/>
  <c r="H34" i="1"/>
  <c r="T48" i="1"/>
  <c r="R118" i="1"/>
  <c r="N66" i="1"/>
  <c r="P66" i="1"/>
  <c r="P69" i="1" s="1"/>
  <c r="F31" i="1"/>
  <c r="R245" i="1"/>
  <c r="P245" i="1"/>
  <c r="P31" i="1"/>
  <c r="N31" i="1"/>
  <c r="L31" i="1"/>
  <c r="J31" i="1"/>
  <c r="H31" i="1"/>
  <c r="R233" i="1"/>
  <c r="S224" i="1" s="1"/>
  <c r="R257" i="1"/>
  <c r="R259" i="1" s="1"/>
  <c r="P257" i="1"/>
  <c r="S257" i="1"/>
  <c r="Q257" i="1"/>
  <c r="J69" i="1"/>
  <c r="J82" i="1" s="1"/>
  <c r="L82" i="1"/>
  <c r="P233" i="1"/>
  <c r="Q231" i="1" s="1"/>
  <c r="R91" i="1"/>
  <c r="R93" i="1"/>
  <c r="D31" i="1"/>
  <c r="A109" i="1"/>
  <c r="A110" i="1"/>
  <c r="A111" i="1" s="1"/>
  <c r="A112" i="1" s="1"/>
  <c r="A113" i="1" s="1"/>
  <c r="A114" i="1" s="1"/>
  <c r="T79" i="1"/>
  <c r="T33" i="1"/>
  <c r="T67" i="1"/>
  <c r="A97" i="1"/>
  <c r="A98" i="1" s="1"/>
  <c r="P55" i="1"/>
  <c r="T173" i="1"/>
  <c r="R69" i="1"/>
  <c r="B130" i="1"/>
  <c r="B189" i="1" s="1"/>
  <c r="B268" i="1" s="1"/>
  <c r="T160" i="1"/>
  <c r="T161" i="1"/>
  <c r="T175" i="1"/>
  <c r="T174" i="1"/>
  <c r="N68" i="22"/>
  <c r="S235" i="4"/>
  <c r="S238" i="10"/>
  <c r="S231" i="3"/>
  <c r="T165" i="17"/>
  <c r="R122" i="17"/>
  <c r="T180" i="17"/>
  <c r="N69" i="11"/>
  <c r="N69" i="13"/>
  <c r="T66" i="13"/>
  <c r="S247" i="15"/>
  <c r="S263" i="15"/>
  <c r="S261" i="15"/>
  <c r="S259" i="15"/>
  <c r="S250" i="19"/>
  <c r="S247" i="19"/>
  <c r="S246" i="19"/>
  <c r="S238" i="19"/>
  <c r="S235" i="19"/>
  <c r="S234" i="19"/>
  <c r="S251" i="20"/>
  <c r="S250" i="20"/>
  <c r="S249" i="20"/>
  <c r="S248" i="20"/>
  <c r="S247" i="20"/>
  <c r="S246" i="20"/>
  <c r="S245" i="20"/>
  <c r="S253" i="20" s="1"/>
  <c r="Q263" i="22"/>
  <c r="Q259" i="22"/>
  <c r="Q258" i="22"/>
  <c r="T49" i="23"/>
  <c r="S233" i="17"/>
  <c r="S234" i="17"/>
  <c r="S236" i="17"/>
  <c r="S237" i="17"/>
  <c r="S238" i="17"/>
  <c r="S240" i="17"/>
  <c r="T165" i="19"/>
  <c r="T167" i="19" s="1"/>
  <c r="S244" i="21"/>
  <c r="S246" i="21"/>
  <c r="S247" i="21"/>
  <c r="S248" i="21"/>
  <c r="S250" i="21"/>
  <c r="S251" i="21"/>
  <c r="S246" i="18"/>
  <c r="S247" i="18"/>
  <c r="S251" i="18"/>
  <c r="T165" i="18"/>
  <c r="T50" i="19"/>
  <c r="T138" i="19"/>
  <c r="Q260" i="21"/>
  <c r="Q214" i="23"/>
  <c r="Q256" i="23"/>
  <c r="Q257" i="23"/>
  <c r="Q259" i="23"/>
  <c r="Q260" i="23"/>
  <c r="Q261" i="23"/>
  <c r="Q263" i="23"/>
  <c r="S249" i="3"/>
  <c r="S245" i="3"/>
  <c r="S244" i="3"/>
  <c r="Q249" i="4"/>
  <c r="Q243" i="4"/>
  <c r="S235" i="14"/>
  <c r="Q251" i="15"/>
  <c r="S258" i="21"/>
  <c r="P68" i="21"/>
  <c r="S260" i="23"/>
  <c r="S258" i="23"/>
  <c r="S234" i="5"/>
  <c r="Q237" i="6"/>
  <c r="R216" i="18"/>
  <c r="Q232" i="13"/>
  <c r="Q238" i="13"/>
  <c r="S234" i="2"/>
  <c r="S236" i="2"/>
  <c r="S249" i="24"/>
  <c r="S246" i="24"/>
  <c r="S245" i="8"/>
  <c r="S244" i="8"/>
  <c r="S245" i="11"/>
  <c r="R214" i="11"/>
  <c r="S251" i="11"/>
  <c r="S248" i="11"/>
  <c r="R209" i="20"/>
  <c r="N68" i="20"/>
  <c r="T33" i="4"/>
  <c r="T41" i="4" s="1"/>
  <c r="R199" i="4" s="1"/>
  <c r="R200" i="4" s="1"/>
  <c r="S243" i="6"/>
  <c r="S245" i="6"/>
  <c r="S247" i="6"/>
  <c r="S249" i="6"/>
  <c r="R213" i="6"/>
  <c r="S244" i="6"/>
  <c r="S246" i="6"/>
  <c r="S248" i="6"/>
  <c r="S250" i="6"/>
  <c r="R97" i="6"/>
  <c r="N69" i="10"/>
  <c r="Q245" i="13"/>
  <c r="Q249" i="13"/>
  <c r="Q247" i="13"/>
  <c r="Q246" i="13"/>
  <c r="Q250" i="13"/>
  <c r="T165" i="11"/>
  <c r="T65" i="20"/>
  <c r="S226" i="1"/>
  <c r="R209" i="1"/>
  <c r="S243" i="1"/>
  <c r="P266" i="8"/>
  <c r="R214" i="12"/>
  <c r="T65" i="23"/>
  <c r="T68" i="23" s="1"/>
  <c r="S258" i="24"/>
  <c r="S263" i="24"/>
  <c r="Q229" i="1"/>
  <c r="Q247" i="11"/>
  <c r="Q251" i="11"/>
  <c r="Q214" i="11"/>
  <c r="Q249" i="11"/>
  <c r="R215" i="17"/>
  <c r="S245" i="17"/>
  <c r="S249" i="17"/>
  <c r="S251" i="17"/>
  <c r="S246" i="17"/>
  <c r="S250" i="17"/>
  <c r="S252" i="17"/>
  <c r="S245" i="23"/>
  <c r="S249" i="23"/>
  <c r="S246" i="23"/>
  <c r="S250" i="23"/>
  <c r="S248" i="23"/>
  <c r="S244" i="23"/>
  <c r="S247" i="23"/>
  <c r="T65" i="24"/>
  <c r="T68" i="24" s="1"/>
  <c r="T164" i="22"/>
  <c r="T166" i="22" s="1"/>
  <c r="S236" i="7"/>
  <c r="S236" i="9"/>
  <c r="Q250" i="11"/>
  <c r="Q250" i="12"/>
  <c r="Q246" i="12"/>
  <c r="Q236" i="12"/>
  <c r="T65" i="22"/>
  <c r="T68" i="22" s="1"/>
  <c r="T172" i="22" s="1"/>
  <c r="Q233" i="17"/>
  <c r="Q236" i="17"/>
  <c r="S259" i="23"/>
  <c r="R214" i="23"/>
  <c r="T50" i="24"/>
  <c r="S249" i="22"/>
  <c r="R129" i="22"/>
  <c r="T137" i="23"/>
  <c r="Q248" i="23"/>
  <c r="Q233" i="8"/>
  <c r="Q236" i="8"/>
  <c r="Q238" i="8"/>
  <c r="Q232" i="8"/>
  <c r="Q237" i="8"/>
  <c r="S238" i="15"/>
  <c r="S234" i="15"/>
  <c r="S236" i="15"/>
  <c r="S233" i="15"/>
  <c r="Q245" i="17"/>
  <c r="Q251" i="17"/>
  <c r="P268" i="17"/>
  <c r="Q247" i="17"/>
  <c r="Q246" i="17"/>
  <c r="Q246" i="2"/>
  <c r="N69" i="4"/>
  <c r="Q249" i="6"/>
  <c r="Q250" i="6"/>
  <c r="P266" i="6"/>
  <c r="Q251" i="10"/>
  <c r="Q244" i="10"/>
  <c r="Q245" i="10"/>
  <c r="Q247" i="10"/>
  <c r="Q250" i="10"/>
  <c r="T50" i="11"/>
  <c r="Q245" i="14"/>
  <c r="Q249" i="14"/>
  <c r="Q251" i="14"/>
  <c r="Q214" i="14"/>
  <c r="Q244" i="14"/>
  <c r="R209" i="16"/>
  <c r="S231" i="2"/>
  <c r="S230" i="2"/>
  <c r="S233" i="2"/>
  <c r="S232" i="2"/>
  <c r="R212" i="5"/>
  <c r="S244" i="5"/>
  <c r="S248" i="5"/>
  <c r="S249" i="5"/>
  <c r="Q216" i="18"/>
  <c r="Q250" i="17"/>
  <c r="Q231" i="8"/>
  <c r="S235" i="2"/>
  <c r="Q244" i="4"/>
  <c r="Q246" i="4"/>
  <c r="Q248" i="4"/>
  <c r="Q247" i="4"/>
  <c r="Q245" i="4"/>
  <c r="S243" i="5"/>
  <c r="N69" i="5"/>
  <c r="S225" i="1"/>
  <c r="S227" i="1"/>
  <c r="S229" i="1"/>
  <c r="S237" i="7"/>
  <c r="S233" i="7"/>
  <c r="S238" i="7"/>
  <c r="Q214" i="12"/>
  <c r="Q244" i="12"/>
  <c r="Q249" i="12"/>
  <c r="Q245" i="12"/>
  <c r="Q251" i="12"/>
  <c r="R214" i="15"/>
  <c r="S250" i="15"/>
  <c r="S246" i="15"/>
  <c r="S249" i="15"/>
  <c r="S245" i="15"/>
  <c r="T138" i="16"/>
  <c r="T50" i="16"/>
  <c r="S244" i="2"/>
  <c r="S232" i="3"/>
  <c r="S234" i="3"/>
  <c r="S236" i="3"/>
  <c r="S245" i="7"/>
  <c r="T33" i="9"/>
  <c r="T41" i="9" s="1"/>
  <c r="R200" i="9" s="1"/>
  <c r="R201" i="9" s="1"/>
  <c r="S244" i="11"/>
  <c r="S250" i="11"/>
  <c r="R209" i="12"/>
  <c r="N69" i="12"/>
  <c r="R122" i="16"/>
  <c r="R130" i="16" s="1"/>
  <c r="T179" i="16"/>
  <c r="T165" i="10"/>
  <c r="T167" i="10" s="1"/>
  <c r="Q228" i="1"/>
  <c r="R214" i="16"/>
  <c r="Q237" i="19"/>
  <c r="Q260" i="24"/>
  <c r="R209" i="25"/>
  <c r="T65" i="25"/>
  <c r="T68" i="25" s="1"/>
  <c r="R215" i="16"/>
  <c r="S256" i="16"/>
  <c r="S258" i="16"/>
  <c r="S260" i="16"/>
  <c r="S262" i="16"/>
  <c r="S245" i="22"/>
  <c r="S248" i="22"/>
  <c r="S244" i="22"/>
  <c r="S251" i="22"/>
  <c r="S246" i="22"/>
  <c r="Q246" i="22"/>
  <c r="Q249" i="22"/>
  <c r="Q248" i="22"/>
  <c r="Q245" i="22"/>
  <c r="Q250" i="22"/>
  <c r="Q247" i="20"/>
  <c r="Q251" i="20"/>
  <c r="Q259" i="20"/>
  <c r="Q261" i="20"/>
  <c r="Q263" i="20"/>
  <c r="Q248" i="24"/>
  <c r="Q257" i="25"/>
  <c r="Q259" i="25"/>
  <c r="Q263" i="25"/>
  <c r="Q256" i="25"/>
  <c r="Q245" i="25"/>
  <c r="Q247" i="25"/>
  <c r="Q249" i="25"/>
  <c r="Q251" i="25"/>
  <c r="Q244" i="25"/>
  <c r="Q237" i="16"/>
  <c r="T93" i="20"/>
  <c r="Q250" i="23"/>
  <c r="Q230" i="1"/>
  <c r="Q226" i="1"/>
  <c r="Q235" i="2"/>
  <c r="S235" i="3"/>
  <c r="S233" i="9"/>
  <c r="Q236" i="9"/>
  <c r="Q233" i="9"/>
  <c r="S260" i="15"/>
  <c r="S237" i="18"/>
  <c r="S235" i="18"/>
  <c r="Q251" i="21"/>
  <c r="Q249" i="21"/>
  <c r="Q246" i="21"/>
  <c r="S250" i="22"/>
  <c r="Q262" i="25"/>
  <c r="Q250" i="25"/>
  <c r="Q215" i="25"/>
  <c r="Q247" i="23"/>
  <c r="Q250" i="24"/>
  <c r="Q245" i="24"/>
  <c r="T50" i="26"/>
  <c r="T93" i="26"/>
  <c r="T97" i="26" s="1"/>
  <c r="S232" i="26"/>
  <c r="T50" i="27"/>
  <c r="P279" i="27"/>
  <c r="P241" i="27"/>
  <c r="Q244" i="27"/>
  <c r="T164" i="28"/>
  <c r="R279" i="28"/>
  <c r="S244" i="28"/>
  <c r="S246" i="28"/>
  <c r="S248" i="28"/>
  <c r="S247" i="28"/>
  <c r="S249" i="28"/>
  <c r="Q245" i="28"/>
  <c r="Q249" i="28"/>
  <c r="T34" i="28"/>
  <c r="R241" i="28"/>
  <c r="S256" i="28"/>
  <c r="S257" i="28"/>
  <c r="S258" i="28"/>
  <c r="S259" i="28"/>
  <c r="S260" i="28"/>
  <c r="S261" i="28"/>
  <c r="S262" i="28"/>
  <c r="T65" i="29"/>
  <c r="T68" i="29" s="1"/>
  <c r="S245" i="29"/>
  <c r="S249" i="29"/>
  <c r="S250" i="29"/>
  <c r="Q245" i="29"/>
  <c r="Q253" i="29" s="1"/>
  <c r="Q246" i="29"/>
  <c r="Q247" i="29"/>
  <c r="Q248" i="29"/>
  <c r="Q249" i="29"/>
  <c r="Q250" i="29"/>
  <c r="Q251" i="29"/>
  <c r="T65" i="30"/>
  <c r="N68" i="30"/>
  <c r="T165" i="30"/>
  <c r="T167" i="30" s="1"/>
  <c r="T50" i="31"/>
  <c r="T34" i="31"/>
  <c r="L81" i="31"/>
  <c r="Q245" i="31"/>
  <c r="Q251" i="31"/>
  <c r="Q252" i="31"/>
  <c r="S250" i="32"/>
  <c r="S245" i="32"/>
  <c r="S246" i="32"/>
  <c r="S247" i="32"/>
  <c r="S249" i="32"/>
  <c r="S251" i="32"/>
  <c r="Q248" i="32"/>
  <c r="Q249" i="32"/>
  <c r="Q250" i="32"/>
  <c r="Q251" i="32"/>
  <c r="Q252" i="32"/>
  <c r="T50" i="33"/>
  <c r="T165" i="33"/>
  <c r="R210" i="33"/>
  <c r="T65" i="33"/>
  <c r="T68" i="33" s="1"/>
  <c r="S247" i="33"/>
  <c r="Q246" i="33"/>
  <c r="Q247" i="33"/>
  <c r="Q248" i="33"/>
  <c r="Q249" i="33"/>
  <c r="Q250" i="33"/>
  <c r="Q251" i="33"/>
  <c r="Q252" i="33"/>
  <c r="R242" i="32"/>
  <c r="S237" i="32" s="1"/>
  <c r="R128" i="3"/>
  <c r="Q237" i="5"/>
  <c r="Q235" i="5"/>
  <c r="Q250" i="9"/>
  <c r="Q245" i="9"/>
  <c r="S237" i="9"/>
  <c r="T179" i="15"/>
  <c r="Q263" i="17"/>
  <c r="Q261" i="17"/>
  <c r="Q258" i="17"/>
  <c r="T164" i="21"/>
  <c r="T166" i="21" s="1"/>
  <c r="Q247" i="22"/>
  <c r="S262" i="25"/>
  <c r="S259" i="25"/>
  <c r="S257" i="25"/>
  <c r="Q215" i="31"/>
  <c r="Q258" i="31"/>
  <c r="Q259" i="31"/>
  <c r="Q263" i="31"/>
  <c r="R130" i="32"/>
  <c r="Q258" i="32"/>
  <c r="S245" i="34"/>
  <c r="S247" i="34"/>
  <c r="S257" i="34"/>
  <c r="T166" i="6"/>
  <c r="Q248" i="11"/>
  <c r="Q250" i="14"/>
  <c r="R130" i="18"/>
  <c r="Q260" i="20"/>
  <c r="Q260" i="25"/>
  <c r="S249" i="26"/>
  <c r="S233" i="26"/>
  <c r="S251" i="26"/>
  <c r="S257" i="26"/>
  <c r="S261" i="26"/>
  <c r="R214" i="29"/>
  <c r="Q246" i="31"/>
  <c r="R126" i="1"/>
  <c r="Q243" i="3"/>
  <c r="Q246" i="9"/>
  <c r="S232" i="9"/>
  <c r="T33" i="14"/>
  <c r="T41" i="14" s="1"/>
  <c r="R201" i="14" s="1"/>
  <c r="R202" i="14" s="1"/>
  <c r="R98" i="14"/>
  <c r="T66" i="14"/>
  <c r="T69" i="14" s="1"/>
  <c r="T82" i="14" s="1"/>
  <c r="T173" i="14" s="1"/>
  <c r="T49" i="17"/>
  <c r="Q248" i="25"/>
  <c r="S249" i="27"/>
  <c r="S261" i="27"/>
  <c r="R215" i="31"/>
  <c r="Q247" i="31"/>
  <c r="S261" i="31"/>
  <c r="S239" i="26"/>
  <c r="T66" i="7"/>
  <c r="T69" i="7" s="1"/>
  <c r="T82" i="7" s="1"/>
  <c r="T172" i="7" s="1"/>
  <c r="Q216" i="17"/>
  <c r="Q248" i="31"/>
  <c r="R130" i="34"/>
  <c r="S246" i="34"/>
  <c r="Q258" i="34"/>
  <c r="S263" i="21"/>
  <c r="S256" i="21"/>
  <c r="S261" i="21"/>
  <c r="R214" i="21"/>
  <c r="S262" i="21"/>
  <c r="S257" i="21"/>
  <c r="Q256" i="24"/>
  <c r="Q262" i="24"/>
  <c r="Q258" i="24"/>
  <c r="P279" i="24"/>
  <c r="Q263" i="24"/>
  <c r="Q261" i="24"/>
  <c r="Q259" i="24"/>
  <c r="Q250" i="19"/>
  <c r="P268" i="19"/>
  <c r="P241" i="29"/>
  <c r="Q234" i="29" s="1"/>
  <c r="T49" i="31"/>
  <c r="N69" i="3"/>
  <c r="S247" i="7"/>
  <c r="S250" i="7"/>
  <c r="S249" i="7"/>
  <c r="R266" i="7"/>
  <c r="R266" i="9"/>
  <c r="S232" i="11"/>
  <c r="Q233" i="12"/>
  <c r="Q238" i="12"/>
  <c r="S239" i="13"/>
  <c r="S235" i="13"/>
  <c r="S232" i="14"/>
  <c r="S238" i="14"/>
  <c r="S234" i="14"/>
  <c r="S237" i="14"/>
  <c r="S233" i="14"/>
  <c r="S236" i="14"/>
  <c r="Q246" i="15"/>
  <c r="Q249" i="15"/>
  <c r="Q248" i="15"/>
  <c r="Q247" i="15"/>
  <c r="Q244" i="15"/>
  <c r="Q253" i="15" s="1"/>
  <c r="Q245" i="15"/>
  <c r="Q250" i="15"/>
  <c r="T138" i="17"/>
  <c r="T50" i="17"/>
  <c r="Q247" i="26"/>
  <c r="Q249" i="26"/>
  <c r="Q246" i="26"/>
  <c r="Q248" i="26"/>
  <c r="Q250" i="26"/>
  <c r="S239" i="28"/>
  <c r="S233" i="28"/>
  <c r="Q237" i="12"/>
  <c r="S260" i="21"/>
  <c r="S259" i="21"/>
  <c r="R214" i="20"/>
  <c r="S261" i="20"/>
  <c r="S256" i="20"/>
  <c r="S263" i="20"/>
  <c r="Q248" i="21"/>
  <c r="Q247" i="21"/>
  <c r="Q244" i="21"/>
  <c r="Q250" i="21"/>
  <c r="S263" i="28"/>
  <c r="R214" i="28"/>
  <c r="T65" i="28"/>
  <c r="T68" i="28" s="1"/>
  <c r="T81" i="28" s="1"/>
  <c r="T173" i="28" s="1"/>
  <c r="S264" i="30"/>
  <c r="S260" i="30"/>
  <c r="S263" i="30"/>
  <c r="S259" i="30"/>
  <c r="S262" i="30"/>
  <c r="S258" i="30"/>
  <c r="R215" i="30"/>
  <c r="Q249" i="20"/>
  <c r="Q246" i="20"/>
  <c r="Q215" i="22"/>
  <c r="P279" i="22"/>
  <c r="R122" i="12"/>
  <c r="R130" i="12" s="1"/>
  <c r="T179" i="12"/>
  <c r="T164" i="24"/>
  <c r="T165" i="12"/>
  <c r="T164" i="8"/>
  <c r="N68" i="26"/>
  <c r="T65" i="26"/>
  <c r="T68" i="26" s="1"/>
  <c r="T179" i="26"/>
  <c r="R121" i="26"/>
  <c r="S261" i="33"/>
  <c r="S257" i="33"/>
  <c r="S264" i="33"/>
  <c r="S260" i="33"/>
  <c r="R215" i="33"/>
  <c r="S263" i="33"/>
  <c r="S259" i="33"/>
  <c r="S248" i="4"/>
  <c r="R98" i="12"/>
  <c r="Q233" i="16"/>
  <c r="Q238" i="16"/>
  <c r="Q239" i="16"/>
  <c r="Q234" i="16"/>
  <c r="Q244" i="16"/>
  <c r="Q248" i="16"/>
  <c r="Q251" i="16"/>
  <c r="Q236" i="18"/>
  <c r="Q245" i="21"/>
  <c r="T164" i="26"/>
  <c r="T166" i="26" s="1"/>
  <c r="T164" i="27"/>
  <c r="Q251" i="27"/>
  <c r="Q248" i="27"/>
  <c r="Q246" i="27"/>
  <c r="Q250" i="27"/>
  <c r="S258" i="33"/>
  <c r="Q247" i="3"/>
  <c r="S233" i="3"/>
  <c r="R128" i="4"/>
  <c r="R97" i="7"/>
  <c r="Q263" i="30"/>
  <c r="Q250" i="31"/>
  <c r="Q257" i="31"/>
  <c r="R97" i="32"/>
  <c r="R96" i="3"/>
  <c r="R129" i="3" s="1"/>
  <c r="Q248" i="9"/>
  <c r="Q244" i="9"/>
  <c r="S235" i="9"/>
  <c r="T93" i="22"/>
  <c r="T97" i="22" s="1"/>
  <c r="T185" i="22" s="1"/>
  <c r="S257" i="27"/>
  <c r="R242" i="30"/>
  <c r="S239" i="30" s="1"/>
  <c r="P242" i="32"/>
  <c r="Q238" i="32" s="1"/>
  <c r="Q259" i="34"/>
  <c r="Q247" i="9"/>
  <c r="Q243" i="9"/>
  <c r="S231" i="9"/>
  <c r="T94" i="9"/>
  <c r="T94" i="16"/>
  <c r="R129" i="23"/>
  <c r="T93" i="25"/>
  <c r="T97" i="25" s="1"/>
  <c r="T117" i="25" s="1"/>
  <c r="T129" i="25" s="1"/>
  <c r="T130" i="25" s="1"/>
  <c r="S259" i="29"/>
  <c r="Q247" i="34"/>
  <c r="S250" i="34"/>
  <c r="Q257" i="34"/>
  <c r="T172" i="14"/>
  <c r="Q239" i="27"/>
  <c r="S238" i="26"/>
  <c r="Q246" i="3"/>
  <c r="Q242" i="3"/>
  <c r="Q249" i="3"/>
  <c r="Q245" i="3"/>
  <c r="S237" i="3"/>
  <c r="S236" i="28"/>
  <c r="Q248" i="3"/>
  <c r="Q244" i="3"/>
  <c r="R129" i="8"/>
  <c r="R214" i="14"/>
  <c r="R215" i="15"/>
  <c r="S257" i="15"/>
  <c r="Q249" i="16"/>
  <c r="Q246" i="16"/>
  <c r="Q253" i="16" s="1"/>
  <c r="Q214" i="16"/>
  <c r="Q264" i="17"/>
  <c r="S234" i="18"/>
  <c r="R130" i="19"/>
  <c r="Q262" i="20"/>
  <c r="S259" i="20"/>
  <c r="Q257" i="20"/>
  <c r="Q248" i="20"/>
  <c r="Q244" i="20"/>
  <c r="S263" i="22"/>
  <c r="S259" i="22"/>
  <c r="R214" i="22"/>
  <c r="Q251" i="24"/>
  <c r="S261" i="25"/>
  <c r="S258" i="25"/>
  <c r="S256" i="25"/>
  <c r="R97" i="27"/>
  <c r="S248" i="32"/>
  <c r="Q263" i="32"/>
  <c r="Q261" i="34"/>
  <c r="Q264" i="34"/>
  <c r="R98" i="19"/>
  <c r="S256" i="27"/>
  <c r="S260" i="27"/>
  <c r="Q248" i="30"/>
  <c r="Q260" i="30"/>
  <c r="R97" i="31"/>
  <c r="R131" i="31" s="1"/>
  <c r="S257" i="32"/>
  <c r="S259" i="32"/>
  <c r="S261" i="32"/>
  <c r="S263" i="32"/>
  <c r="T94" i="15"/>
  <c r="S256" i="15"/>
  <c r="P267" i="16"/>
  <c r="Q250" i="16"/>
  <c r="Q245" i="16"/>
  <c r="R98" i="16"/>
  <c r="S238" i="18"/>
  <c r="S260" i="20"/>
  <c r="Q258" i="20"/>
  <c r="Q256" i="20"/>
  <c r="Q245" i="20"/>
  <c r="T137" i="21"/>
  <c r="S261" i="22"/>
  <c r="S257" i="22"/>
  <c r="R279" i="23"/>
  <c r="S263" i="25"/>
  <c r="Q257" i="28"/>
  <c r="R97" i="30"/>
  <c r="T138" i="30"/>
  <c r="Q259" i="30"/>
  <c r="R130" i="31"/>
  <c r="P280" i="31"/>
  <c r="S251" i="34"/>
  <c r="Q262" i="34"/>
  <c r="R97" i="9"/>
  <c r="T97" i="9"/>
  <c r="T186" i="9" s="1"/>
  <c r="Q263" i="15"/>
  <c r="S262" i="15"/>
  <c r="Q247" i="16"/>
  <c r="Q235" i="16"/>
  <c r="Q232" i="16"/>
  <c r="S236" i="18"/>
  <c r="S262" i="20"/>
  <c r="S257" i="20"/>
  <c r="Q250" i="20"/>
  <c r="S260" i="22"/>
  <c r="S258" i="27"/>
  <c r="Q256" i="28"/>
  <c r="T164" i="29"/>
  <c r="T166" i="29" s="1"/>
  <c r="R130" i="30"/>
  <c r="S249" i="34"/>
  <c r="Q260" i="34"/>
  <c r="S238" i="28"/>
  <c r="S232" i="28"/>
  <c r="S234" i="28"/>
  <c r="S241" i="28" s="1"/>
  <c r="S235" i="28"/>
  <c r="Q238" i="29"/>
  <c r="S237" i="28"/>
  <c r="N69" i="2"/>
  <c r="R213" i="7"/>
  <c r="S243" i="7"/>
  <c r="S248" i="7"/>
  <c r="S246" i="7"/>
  <c r="S244" i="7"/>
  <c r="Q247" i="12"/>
  <c r="Q248" i="12"/>
  <c r="R209" i="14"/>
  <c r="N69" i="14"/>
  <c r="N69" i="15"/>
  <c r="S263" i="16"/>
  <c r="S261" i="16"/>
  <c r="S259" i="16"/>
  <c r="T66" i="6"/>
  <c r="T69" i="6" s="1"/>
  <c r="R208" i="6"/>
  <c r="N69" i="6"/>
  <c r="S246" i="10"/>
  <c r="S250" i="10"/>
  <c r="R214" i="10"/>
  <c r="S247" i="10"/>
  <c r="S251" i="10"/>
  <c r="S244" i="10"/>
  <c r="S248" i="10"/>
  <c r="R98" i="13"/>
  <c r="T179" i="11"/>
  <c r="R122" i="11"/>
  <c r="Q225" i="1"/>
  <c r="Q224" i="1"/>
  <c r="Q227" i="1"/>
  <c r="T97" i="8"/>
  <c r="S232" i="10"/>
  <c r="S235" i="10"/>
  <c r="S239" i="10"/>
  <c r="S236" i="10"/>
  <c r="S237" i="10"/>
  <c r="P69" i="12"/>
  <c r="T66" i="12"/>
  <c r="T69" i="12" s="1"/>
  <c r="P267" i="13"/>
  <c r="T138" i="14"/>
  <c r="T50" i="14"/>
  <c r="S244" i="15"/>
  <c r="S251" i="15"/>
  <c r="S248" i="15"/>
  <c r="R241" i="22"/>
  <c r="S239" i="22" s="1"/>
  <c r="S244" i="25"/>
  <c r="S249" i="25"/>
  <c r="S245" i="25"/>
  <c r="S247" i="25"/>
  <c r="S251" i="25"/>
  <c r="S234" i="7"/>
  <c r="Q232" i="9"/>
  <c r="Q214" i="10"/>
  <c r="Q248" i="13"/>
  <c r="S233" i="13"/>
  <c r="Q238" i="19"/>
  <c r="R97" i="25"/>
  <c r="S250" i="26"/>
  <c r="S248" i="26"/>
  <c r="S246" i="26"/>
  <c r="S244" i="26"/>
  <c r="Q272" i="25"/>
  <c r="Q277" i="25" s="1"/>
  <c r="P279" i="25"/>
  <c r="T33" i="26"/>
  <c r="T41" i="26" s="1"/>
  <c r="R201" i="26" s="1"/>
  <c r="R202" i="26" s="1"/>
  <c r="Q244" i="23"/>
  <c r="Q246" i="23"/>
  <c r="R97" i="23"/>
  <c r="R130" i="23" s="1"/>
  <c r="P241" i="25"/>
  <c r="Q235" i="25" s="1"/>
  <c r="R97" i="26"/>
  <c r="T34" i="30"/>
  <c r="T165" i="32"/>
  <c r="T167" i="32" s="1"/>
  <c r="Q246" i="32"/>
  <c r="Q245" i="32"/>
  <c r="Q257" i="33"/>
  <c r="Q263" i="33"/>
  <c r="Q264" i="33"/>
  <c r="Q262" i="33"/>
  <c r="S240" i="18"/>
  <c r="Q256" i="29"/>
  <c r="Q260" i="29"/>
  <c r="Q258" i="29"/>
  <c r="Q263" i="29"/>
  <c r="Q214" i="29"/>
  <c r="Q262" i="29"/>
  <c r="Q259" i="29"/>
  <c r="Q257" i="29"/>
  <c r="Q247" i="32"/>
  <c r="S260" i="34"/>
  <c r="Q256" i="27"/>
  <c r="Q262" i="27"/>
  <c r="Q260" i="27"/>
  <c r="Q258" i="27"/>
  <c r="Q263" i="27"/>
  <c r="Q261" i="27"/>
  <c r="Q259" i="27"/>
  <c r="Q257" i="27"/>
  <c r="P279" i="29"/>
  <c r="T33" i="30"/>
  <c r="T41" i="30" s="1"/>
  <c r="R202" i="30" s="1"/>
  <c r="R203" i="30" s="1"/>
  <c r="Q245" i="30"/>
  <c r="Q254" i="30" s="1"/>
  <c r="Q249" i="30"/>
  <c r="Q246" i="30"/>
  <c r="Q250" i="30"/>
  <c r="P280" i="30"/>
  <c r="Q247" i="30"/>
  <c r="Q251" i="30"/>
  <c r="R97" i="33"/>
  <c r="Q262" i="30"/>
  <c r="Q258" i="30"/>
  <c r="Q258" i="28"/>
  <c r="Q261" i="30"/>
  <c r="Q249" i="27"/>
  <c r="Q262" i="31"/>
  <c r="Q250" i="34"/>
  <c r="Q252" i="34"/>
  <c r="T34" i="34"/>
  <c r="T165" i="34"/>
  <c r="T167" i="34" s="1"/>
  <c r="R210" i="34"/>
  <c r="T50" i="34"/>
  <c r="S239" i="32"/>
  <c r="S234" i="32"/>
  <c r="S238" i="32"/>
  <c r="S233" i="32"/>
  <c r="S236" i="32"/>
  <c r="S240" i="32"/>
  <c r="Q235" i="29"/>
  <c r="S233" i="30"/>
  <c r="Q237" i="32"/>
  <c r="Q237" i="29"/>
  <c r="Q241" i="16"/>
  <c r="R131" i="30"/>
  <c r="S252" i="7"/>
  <c r="T172" i="28"/>
  <c r="T188" i="8"/>
  <c r="R202" i="8"/>
  <c r="T186" i="8"/>
  <c r="Q238" i="25"/>
  <c r="Q234" i="25"/>
  <c r="Q233" i="25"/>
  <c r="S236" i="34" l="1"/>
  <c r="S237" i="34"/>
  <c r="S233" i="34"/>
  <c r="T66" i="8"/>
  <c r="T69" i="8" s="1"/>
  <c r="T171" i="8" s="1"/>
  <c r="R208" i="8"/>
  <c r="Q233" i="11"/>
  <c r="Q232" i="11"/>
  <c r="S249" i="13"/>
  <c r="S244" i="13"/>
  <c r="S250" i="13"/>
  <c r="S248" i="14"/>
  <c r="S249" i="14"/>
  <c r="S251" i="14"/>
  <c r="S246" i="14"/>
  <c r="S245" i="14"/>
  <c r="S247" i="14"/>
  <c r="Q237" i="15"/>
  <c r="Q232" i="15"/>
  <c r="Q236" i="15"/>
  <c r="P267" i="15"/>
  <c r="Q259" i="15"/>
  <c r="Q261" i="15"/>
  <c r="Q260" i="15"/>
  <c r="Q258" i="15"/>
  <c r="Q262" i="15"/>
  <c r="Q256" i="15"/>
  <c r="S235" i="16"/>
  <c r="S239" i="16"/>
  <c r="S232" i="16"/>
  <c r="S233" i="16"/>
  <c r="S246" i="16"/>
  <c r="S245" i="16"/>
  <c r="S250" i="16"/>
  <c r="R216" i="17"/>
  <c r="S259" i="17"/>
  <c r="S260" i="17"/>
  <c r="Q246" i="18"/>
  <c r="Q252" i="18"/>
  <c r="Q245" i="18"/>
  <c r="Q254" i="18" s="1"/>
  <c r="Q250" i="18"/>
  <c r="Q215" i="18"/>
  <c r="Q251" i="18"/>
  <c r="T34" i="18"/>
  <c r="Q252" i="19"/>
  <c r="Q247" i="19"/>
  <c r="Q249" i="19"/>
  <c r="Q215" i="19"/>
  <c r="Q248" i="19"/>
  <c r="Q215" i="20"/>
  <c r="P279" i="20"/>
  <c r="Q257" i="32"/>
  <c r="Q260" i="32"/>
  <c r="Q266" i="32" s="1"/>
  <c r="Q262" i="32"/>
  <c r="Q247" i="45"/>
  <c r="Q250" i="45"/>
  <c r="Q245" i="45"/>
  <c r="Q251" i="45"/>
  <c r="T118" i="54"/>
  <c r="T130" i="54" s="1"/>
  <c r="T131" i="54" s="1"/>
  <c r="R204" i="54"/>
  <c r="T188" i="54"/>
  <c r="T190" i="54"/>
  <c r="T186" i="54"/>
  <c r="T187" i="23"/>
  <c r="S262" i="34"/>
  <c r="Q233" i="19"/>
  <c r="Q233" i="1"/>
  <c r="Q215" i="15"/>
  <c r="Q234" i="7"/>
  <c r="R267" i="13"/>
  <c r="Q237" i="27"/>
  <c r="Q235" i="27"/>
  <c r="T66" i="17"/>
  <c r="T69" i="17" s="1"/>
  <c r="T173" i="17" s="1"/>
  <c r="S234" i="16"/>
  <c r="S257" i="17"/>
  <c r="N69" i="18"/>
  <c r="Q235" i="15"/>
  <c r="Q248" i="18"/>
  <c r="S245" i="13"/>
  <c r="Q230" i="2"/>
  <c r="Q239" i="2" s="1"/>
  <c r="Q233" i="2"/>
  <c r="Q236" i="2"/>
  <c r="Q237" i="2"/>
  <c r="Q231" i="2"/>
  <c r="T66" i="4"/>
  <c r="T69" i="4" s="1"/>
  <c r="P69" i="4"/>
  <c r="S240" i="33"/>
  <c r="T189" i="23"/>
  <c r="R203" i="25"/>
  <c r="Q236" i="32"/>
  <c r="S234" i="34"/>
  <c r="R215" i="34"/>
  <c r="S264" i="34"/>
  <c r="Q238" i="9"/>
  <c r="Q239" i="11"/>
  <c r="S233" i="10"/>
  <c r="T117" i="8"/>
  <c r="T129" i="8" s="1"/>
  <c r="T130" i="8" s="1"/>
  <c r="Q234" i="27"/>
  <c r="Q247" i="18"/>
  <c r="T50" i="7"/>
  <c r="Q245" i="19"/>
  <c r="Q254" i="19" s="1"/>
  <c r="S244" i="14"/>
  <c r="Q249" i="18"/>
  <c r="Q236" i="11"/>
  <c r="S237" i="16"/>
  <c r="P69" i="11"/>
  <c r="S264" i="17"/>
  <c r="Q234" i="15"/>
  <c r="Q241" i="15" s="1"/>
  <c r="Q239" i="15"/>
  <c r="S246" i="13"/>
  <c r="S239" i="1"/>
  <c r="S237" i="1"/>
  <c r="S238" i="1"/>
  <c r="S240" i="1"/>
  <c r="S241" i="1"/>
  <c r="R212" i="3"/>
  <c r="S247" i="3"/>
  <c r="S243" i="3"/>
  <c r="S248" i="3"/>
  <c r="S242" i="3"/>
  <c r="S246" i="3"/>
  <c r="R265" i="3"/>
  <c r="S237" i="4"/>
  <c r="S233" i="4"/>
  <c r="S231" i="4"/>
  <c r="S252" i="46"/>
  <c r="S245" i="46"/>
  <c r="S247" i="46"/>
  <c r="T138" i="48"/>
  <c r="T50" i="48"/>
  <c r="S262" i="51"/>
  <c r="S261" i="51"/>
  <c r="S264" i="51"/>
  <c r="S258" i="51"/>
  <c r="S263" i="51"/>
  <c r="S260" i="51"/>
  <c r="S257" i="51"/>
  <c r="S266" i="51" s="1"/>
  <c r="R215" i="51"/>
  <c r="S259" i="51"/>
  <c r="R217" i="5"/>
  <c r="T163" i="5"/>
  <c r="T165" i="5" s="1"/>
  <c r="R210" i="53"/>
  <c r="N68" i="53"/>
  <c r="Q235" i="7"/>
  <c r="Q236" i="7"/>
  <c r="S233" i="8"/>
  <c r="S238" i="8"/>
  <c r="P69" i="9"/>
  <c r="T66" i="9"/>
  <c r="T69" i="9" s="1"/>
  <c r="T171" i="9" s="1"/>
  <c r="Q234" i="10"/>
  <c r="Q232" i="10"/>
  <c r="Q233" i="10"/>
  <c r="S246" i="12"/>
  <c r="S253" i="12" s="1"/>
  <c r="S245" i="12"/>
  <c r="S248" i="12"/>
  <c r="S249" i="12"/>
  <c r="S250" i="12"/>
  <c r="S251" i="12"/>
  <c r="T34" i="15"/>
  <c r="Q237" i="18"/>
  <c r="Q234" i="18"/>
  <c r="Q242" i="18" s="1"/>
  <c r="Q233" i="18"/>
  <c r="Q238" i="18"/>
  <c r="Q235" i="18"/>
  <c r="Q239" i="18"/>
  <c r="Q234" i="19"/>
  <c r="Q236" i="19"/>
  <c r="Q239" i="19"/>
  <c r="T65" i="21"/>
  <c r="T68" i="21" s="1"/>
  <c r="R209" i="21"/>
  <c r="R216" i="32"/>
  <c r="R280" i="32"/>
  <c r="S252" i="33"/>
  <c r="R280" i="33"/>
  <c r="S250" i="33"/>
  <c r="S248" i="33"/>
  <c r="S249" i="33"/>
  <c r="S254" i="33" s="1"/>
  <c r="S246" i="33"/>
  <c r="S233" i="33"/>
  <c r="T189" i="25"/>
  <c r="Q240" i="32"/>
  <c r="R280" i="34"/>
  <c r="T81" i="22"/>
  <c r="T173" i="22" s="1"/>
  <c r="Q232" i="7"/>
  <c r="S244" i="9"/>
  <c r="Q246" i="19"/>
  <c r="S247" i="16"/>
  <c r="S245" i="33"/>
  <c r="Q233" i="7"/>
  <c r="Q257" i="15"/>
  <c r="S263" i="34"/>
  <c r="S258" i="34"/>
  <c r="S266" i="34" s="1"/>
  <c r="P280" i="32"/>
  <c r="Q235" i="11"/>
  <c r="T171" i="7"/>
  <c r="Q235" i="10"/>
  <c r="S246" i="9"/>
  <c r="Q238" i="7"/>
  <c r="Q240" i="18"/>
  <c r="Q251" i="19"/>
  <c r="T138" i="10"/>
  <c r="Q234" i="2"/>
  <c r="Q264" i="32"/>
  <c r="Q259" i="32"/>
  <c r="S251" i="33"/>
  <c r="Q232" i="2"/>
  <c r="Q240" i="19"/>
  <c r="S244" i="16"/>
  <c r="S253" i="16" s="1"/>
  <c r="Q238" i="11"/>
  <c r="S247" i="12"/>
  <c r="N69" i="8"/>
  <c r="P267" i="11"/>
  <c r="Q231" i="5"/>
  <c r="Q239" i="5" s="1"/>
  <c r="Q234" i="5"/>
  <c r="Q236" i="5"/>
  <c r="Q233" i="5"/>
  <c r="Q244" i="6"/>
  <c r="Q252" i="6" s="1"/>
  <c r="Q245" i="6"/>
  <c r="Q213" i="6"/>
  <c r="Q243" i="6"/>
  <c r="Q246" i="6"/>
  <c r="T34" i="6"/>
  <c r="Q231" i="7"/>
  <c r="Q213" i="8"/>
  <c r="Q247" i="8"/>
  <c r="Q248" i="8"/>
  <c r="Q246" i="8"/>
  <c r="Q231" i="9"/>
  <c r="Q237" i="9"/>
  <c r="Q234" i="9"/>
  <c r="T94" i="10"/>
  <c r="T98" i="10" s="1"/>
  <c r="S233" i="11"/>
  <c r="S235" i="11"/>
  <c r="S237" i="11"/>
  <c r="S239" i="11"/>
  <c r="P267" i="12"/>
  <c r="Q232" i="12"/>
  <c r="Q241" i="12" s="1"/>
  <c r="Q239" i="12"/>
  <c r="Q234" i="12"/>
  <c r="Q235" i="13"/>
  <c r="Q234" i="13"/>
  <c r="Q241" i="13" s="1"/>
  <c r="Q237" i="13"/>
  <c r="Q233" i="13"/>
  <c r="Q239" i="13"/>
  <c r="R215" i="22"/>
  <c r="R279" i="22"/>
  <c r="T41" i="22"/>
  <c r="R201" i="22" s="1"/>
  <c r="R202" i="22" s="1"/>
  <c r="S272" i="25"/>
  <c r="S277" i="25" s="1"/>
  <c r="R215" i="25"/>
  <c r="S236" i="26"/>
  <c r="S234" i="26"/>
  <c r="S235" i="26"/>
  <c r="S241" i="26" s="1"/>
  <c r="S237" i="26"/>
  <c r="R215" i="26"/>
  <c r="R279" i="26"/>
  <c r="S259" i="27"/>
  <c r="R279" i="27"/>
  <c r="S263" i="27"/>
  <c r="R209" i="27"/>
  <c r="T65" i="27"/>
  <c r="T68" i="27" s="1"/>
  <c r="T137" i="28"/>
  <c r="T50" i="28"/>
  <c r="Q262" i="28"/>
  <c r="Q260" i="28"/>
  <c r="Q261" i="28"/>
  <c r="Q263" i="28"/>
  <c r="S251" i="29"/>
  <c r="S246" i="29"/>
  <c r="S247" i="29"/>
  <c r="S248" i="29"/>
  <c r="T49" i="30"/>
  <c r="R210" i="40"/>
  <c r="N68" i="40"/>
  <c r="T65" i="40"/>
  <c r="T68" i="40" s="1"/>
  <c r="T173" i="40" s="1"/>
  <c r="S264" i="48"/>
  <c r="R210" i="51"/>
  <c r="S266" i="33"/>
  <c r="T166" i="24"/>
  <c r="T50" i="2"/>
  <c r="T136" i="2"/>
  <c r="Q234" i="8"/>
  <c r="Q240" i="8" s="1"/>
  <c r="Q235" i="8"/>
  <c r="T33" i="8"/>
  <c r="R96" i="5"/>
  <c r="S256" i="22"/>
  <c r="S262" i="22"/>
  <c r="P279" i="23"/>
  <c r="P241" i="23"/>
  <c r="Q237" i="23" s="1"/>
  <c r="Q258" i="23"/>
  <c r="Q265" i="23" s="1"/>
  <c r="Q262" i="23"/>
  <c r="S250" i="37"/>
  <c r="S252" i="37"/>
  <c r="Q257" i="41"/>
  <c r="Q263" i="41"/>
  <c r="Q258" i="41"/>
  <c r="S263" i="45"/>
  <c r="S257" i="45"/>
  <c r="R215" i="47"/>
  <c r="S264" i="47"/>
  <c r="S259" i="47"/>
  <c r="S262" i="47"/>
  <c r="S258" i="47"/>
  <c r="N68" i="47"/>
  <c r="T65" i="47"/>
  <c r="T68" i="47" s="1"/>
  <c r="T173" i="47" s="1"/>
  <c r="R219" i="16"/>
  <c r="T165" i="16"/>
  <c r="T167" i="16" s="1"/>
  <c r="T98" i="15"/>
  <c r="S239" i="2"/>
  <c r="T49" i="4"/>
  <c r="T49" i="12"/>
  <c r="T94" i="12"/>
  <c r="T98" i="12" s="1"/>
  <c r="T189" i="12" s="1"/>
  <c r="S235" i="17"/>
  <c r="S239" i="17"/>
  <c r="S247" i="17"/>
  <c r="S248" i="17"/>
  <c r="S245" i="21"/>
  <c r="S249" i="21"/>
  <c r="S253" i="21" s="1"/>
  <c r="T49" i="21"/>
  <c r="T33" i="21"/>
  <c r="R130" i="21"/>
  <c r="P241" i="24"/>
  <c r="S262" i="39"/>
  <c r="S257" i="39"/>
  <c r="S258" i="39"/>
  <c r="R280" i="39"/>
  <c r="S259" i="39"/>
  <c r="S261" i="39"/>
  <c r="S260" i="39"/>
  <c r="S264" i="39"/>
  <c r="S266" i="39" s="1"/>
  <c r="R210" i="39"/>
  <c r="T65" i="39"/>
  <c r="S264" i="44"/>
  <c r="S261" i="44"/>
  <c r="S257" i="44"/>
  <c r="N68" i="44"/>
  <c r="T65" i="44"/>
  <c r="T50" i="1"/>
  <c r="T134" i="1"/>
  <c r="T143" i="1" s="1"/>
  <c r="Q176" i="2"/>
  <c r="Q176" i="1"/>
  <c r="R220" i="51"/>
  <c r="T165" i="51"/>
  <c r="R220" i="43"/>
  <c r="T165" i="43"/>
  <c r="T167" i="43" s="1"/>
  <c r="R220" i="39"/>
  <c r="T165" i="39"/>
  <c r="T49" i="14"/>
  <c r="R129" i="27"/>
  <c r="R241" i="27"/>
  <c r="P242" i="37"/>
  <c r="R280" i="41"/>
  <c r="T33" i="43"/>
  <c r="T41" i="43" s="1"/>
  <c r="R202" i="43" s="1"/>
  <c r="R203" i="43" s="1"/>
  <c r="R130" i="45"/>
  <c r="R97" i="51"/>
  <c r="T93" i="29"/>
  <c r="T97" i="29" s="1"/>
  <c r="R242" i="36"/>
  <c r="S238" i="36" s="1"/>
  <c r="T93" i="36"/>
  <c r="T97" i="36" s="1"/>
  <c r="T190" i="36" s="1"/>
  <c r="T93" i="39"/>
  <c r="T97" i="39" s="1"/>
  <c r="S259" i="42"/>
  <c r="T167" i="44"/>
  <c r="Q261" i="44"/>
  <c r="Q266" i="44" s="1"/>
  <c r="S251" i="45"/>
  <c r="Q257" i="45"/>
  <c r="Q263" i="45"/>
  <c r="T93" i="47"/>
  <c r="T97" i="47" s="1"/>
  <c r="S251" i="49"/>
  <c r="S247" i="49"/>
  <c r="Q263" i="50"/>
  <c r="Q261" i="51"/>
  <c r="T69" i="13"/>
  <c r="R130" i="17"/>
  <c r="R128" i="2"/>
  <c r="R129" i="24"/>
  <c r="R130" i="24" s="1"/>
  <c r="T138" i="35"/>
  <c r="R130" i="36"/>
  <c r="S262" i="42"/>
  <c r="T93" i="43"/>
  <c r="T97" i="43" s="1"/>
  <c r="R242" i="45"/>
  <c r="S234" i="45" s="1"/>
  <c r="P242" i="46"/>
  <c r="Q234" i="46" s="1"/>
  <c r="S250" i="49"/>
  <c r="S246" i="49"/>
  <c r="S254" i="49" s="1"/>
  <c r="P242" i="51"/>
  <c r="Q234" i="51" s="1"/>
  <c r="S233" i="54"/>
  <c r="R204" i="33"/>
  <c r="T188" i="33"/>
  <c r="R129" i="4"/>
  <c r="T49" i="6"/>
  <c r="T33" i="6"/>
  <c r="T41" i="6" s="1"/>
  <c r="R200" i="6" s="1"/>
  <c r="R201" i="6" s="1"/>
  <c r="T94" i="6"/>
  <c r="T97" i="6" s="1"/>
  <c r="T34" i="17"/>
  <c r="T33" i="17"/>
  <c r="T41" i="17" s="1"/>
  <c r="R202" i="17" s="1"/>
  <c r="R203" i="17" s="1"/>
  <c r="T49" i="18"/>
  <c r="T33" i="27"/>
  <c r="T41" i="27" s="1"/>
  <c r="R201" i="27" s="1"/>
  <c r="R202" i="27" s="1"/>
  <c r="R130" i="27"/>
  <c r="S234" i="27"/>
  <c r="T33" i="28"/>
  <c r="T41" i="28" s="1"/>
  <c r="R201" i="28" s="1"/>
  <c r="R202" i="28" s="1"/>
  <c r="T49" i="28"/>
  <c r="R129" i="28"/>
  <c r="R130" i="28" s="1"/>
  <c r="P242" i="31"/>
  <c r="Q260" i="31"/>
  <c r="Q261" i="32"/>
  <c r="S261" i="34"/>
  <c r="Q245" i="35"/>
  <c r="S252" i="35"/>
  <c r="S250" i="36"/>
  <c r="Q252" i="38"/>
  <c r="Q254" i="38" s="1"/>
  <c r="Q248" i="38"/>
  <c r="S260" i="38"/>
  <c r="R97" i="38"/>
  <c r="R130" i="39"/>
  <c r="Q263" i="40"/>
  <c r="T50" i="40"/>
  <c r="R130" i="40"/>
  <c r="S259" i="41"/>
  <c r="S266" i="41" s="1"/>
  <c r="T50" i="42"/>
  <c r="T34" i="42"/>
  <c r="S263" i="42"/>
  <c r="S259" i="44"/>
  <c r="T167" i="46"/>
  <c r="T34" i="47"/>
  <c r="S251" i="48"/>
  <c r="S248" i="48"/>
  <c r="R97" i="49"/>
  <c r="R130" i="49"/>
  <c r="R131" i="49" s="1"/>
  <c r="T50" i="50"/>
  <c r="Q248" i="50"/>
  <c r="T65" i="52"/>
  <c r="T68" i="52" s="1"/>
  <c r="T173" i="52" s="1"/>
  <c r="R130" i="52"/>
  <c r="R131" i="52" s="1"/>
  <c r="Q237" i="25"/>
  <c r="S252" i="6"/>
  <c r="T165" i="4"/>
  <c r="R130" i="7"/>
  <c r="T167" i="12"/>
  <c r="T94" i="19"/>
  <c r="R279" i="21"/>
  <c r="R97" i="24"/>
  <c r="T34" i="26"/>
  <c r="R129" i="26"/>
  <c r="Q233" i="27"/>
  <c r="T97" i="27"/>
  <c r="T185" i="27" s="1"/>
  <c r="R241" i="29"/>
  <c r="S238" i="29" s="1"/>
  <c r="T33" i="31"/>
  <c r="T41" i="31" s="1"/>
  <c r="R202" i="31" s="1"/>
  <c r="R203" i="31" s="1"/>
  <c r="R242" i="31"/>
  <c r="S237" i="31" s="1"/>
  <c r="T167" i="36"/>
  <c r="S249" i="36"/>
  <c r="S246" i="36"/>
  <c r="T33" i="36"/>
  <c r="T41" i="36" s="1"/>
  <c r="R202" i="36" s="1"/>
  <c r="R203" i="36" s="1"/>
  <c r="T68" i="39"/>
  <c r="P242" i="39"/>
  <c r="Q239" i="39" s="1"/>
  <c r="Q259" i="40"/>
  <c r="T33" i="44"/>
  <c r="T41" i="44" s="1"/>
  <c r="R202" i="44" s="1"/>
  <c r="R203" i="44" s="1"/>
  <c r="T50" i="46"/>
  <c r="T93" i="46"/>
  <c r="S250" i="48"/>
  <c r="S245" i="48"/>
  <c r="Q250" i="50"/>
  <c r="T34" i="51"/>
  <c r="Q233" i="54"/>
  <c r="Q237" i="54"/>
  <c r="S266" i="54"/>
  <c r="S241" i="14"/>
  <c r="S253" i="22"/>
  <c r="T162" i="1"/>
  <c r="T33" i="5"/>
  <c r="T41" i="5" s="1"/>
  <c r="R199" i="5" s="1"/>
  <c r="R200" i="5" s="1"/>
  <c r="R130" i="13"/>
  <c r="T66" i="19"/>
  <c r="T69" i="19" s="1"/>
  <c r="R97" i="22"/>
  <c r="R130" i="22" s="1"/>
  <c r="R130" i="15"/>
  <c r="R131" i="15" s="1"/>
  <c r="T93" i="24"/>
  <c r="T97" i="24" s="1"/>
  <c r="N68" i="27"/>
  <c r="T34" i="33"/>
  <c r="R130" i="33"/>
  <c r="R131" i="33" s="1"/>
  <c r="S247" i="36"/>
  <c r="S248" i="36"/>
  <c r="T167" i="37"/>
  <c r="R130" i="37"/>
  <c r="Q250" i="38"/>
  <c r="T167" i="38"/>
  <c r="T167" i="39"/>
  <c r="T33" i="39"/>
  <c r="T41" i="39" s="1"/>
  <c r="R202" i="39" s="1"/>
  <c r="R203" i="39" s="1"/>
  <c r="T93" i="41"/>
  <c r="R280" i="43"/>
  <c r="S263" i="44"/>
  <c r="R97" i="44"/>
  <c r="T50" i="45"/>
  <c r="S261" i="45"/>
  <c r="T93" i="45"/>
  <c r="S249" i="48"/>
  <c r="R130" i="48"/>
  <c r="T167" i="48"/>
  <c r="S246" i="48"/>
  <c r="S254" i="48" s="1"/>
  <c r="Q238" i="51"/>
  <c r="T33" i="51"/>
  <c r="T41" i="51" s="1"/>
  <c r="R202" i="51" s="1"/>
  <c r="R203" i="51" s="1"/>
  <c r="Q234" i="54"/>
  <c r="Q242" i="54" s="1"/>
  <c r="Q238" i="54"/>
  <c r="Q232" i="25"/>
  <c r="S240" i="34"/>
  <c r="S238" i="34"/>
  <c r="R131" i="13"/>
  <c r="R96" i="2"/>
  <c r="R129" i="2" s="1"/>
  <c r="R265" i="2"/>
  <c r="T98" i="14"/>
  <c r="T49" i="15"/>
  <c r="T66" i="15"/>
  <c r="T69" i="15" s="1"/>
  <c r="T82" i="15" s="1"/>
  <c r="T173" i="15" s="1"/>
  <c r="P268" i="18"/>
  <c r="R98" i="18"/>
  <c r="R241" i="25"/>
  <c r="S236" i="25" s="1"/>
  <c r="S234" i="30"/>
  <c r="S236" i="30"/>
  <c r="S238" i="30"/>
  <c r="S240" i="30"/>
  <c r="Q238" i="26"/>
  <c r="Q234" i="26"/>
  <c r="Q232" i="26"/>
  <c r="Q235" i="26"/>
  <c r="Q236" i="26"/>
  <c r="Q237" i="26"/>
  <c r="Q239" i="26"/>
  <c r="T187" i="26"/>
  <c r="T189" i="26"/>
  <c r="T117" i="26"/>
  <c r="T129" i="26" s="1"/>
  <c r="T130" i="26" s="1"/>
  <c r="R131" i="16"/>
  <c r="T172" i="15"/>
  <c r="T137" i="29"/>
  <c r="T50" i="29"/>
  <c r="S252" i="31"/>
  <c r="S247" i="31"/>
  <c r="S251" i="31"/>
  <c r="S248" i="31"/>
  <c r="S245" i="31"/>
  <c r="S249" i="31"/>
  <c r="Q233" i="37"/>
  <c r="Q237" i="37"/>
  <c r="S240" i="48"/>
  <c r="S238" i="48"/>
  <c r="S234" i="48"/>
  <c r="S236" i="48"/>
  <c r="S237" i="48"/>
  <c r="Q264" i="52"/>
  <c r="Q260" i="52"/>
  <c r="Q263" i="52"/>
  <c r="Q259" i="52"/>
  <c r="Q266" i="52" s="1"/>
  <c r="Q262" i="52"/>
  <c r="Q258" i="52"/>
  <c r="Q261" i="52"/>
  <c r="Q215" i="52"/>
  <c r="Q257" i="52"/>
  <c r="Q238" i="23"/>
  <c r="Q233" i="23"/>
  <c r="Q244" i="5"/>
  <c r="Q243" i="5"/>
  <c r="Q245" i="5"/>
  <c r="Q242" i="5"/>
  <c r="Q247" i="5"/>
  <c r="Q246" i="5"/>
  <c r="Q248" i="5"/>
  <c r="Q212" i="5"/>
  <c r="Q249" i="5"/>
  <c r="Q264" i="38"/>
  <c r="Q262" i="38"/>
  <c r="Q259" i="38"/>
  <c r="Q261" i="38"/>
  <c r="Q260" i="38"/>
  <c r="R216" i="38"/>
  <c r="R280" i="38"/>
  <c r="S233" i="48"/>
  <c r="Q234" i="31"/>
  <c r="S241" i="10"/>
  <c r="R203" i="26"/>
  <c r="R202" i="9"/>
  <c r="T184" i="9"/>
  <c r="T188" i="9"/>
  <c r="Q253" i="20"/>
  <c r="P265" i="5"/>
  <c r="S250" i="31"/>
  <c r="Q251" i="4"/>
  <c r="T172" i="13"/>
  <c r="T82" i="13"/>
  <c r="T173" i="13" s="1"/>
  <c r="Q212" i="2"/>
  <c r="Q243" i="2"/>
  <c r="Q242" i="2"/>
  <c r="Q249" i="2"/>
  <c r="Q248" i="2"/>
  <c r="Q244" i="2"/>
  <c r="Q247" i="2"/>
  <c r="Q235" i="3"/>
  <c r="Q233" i="3"/>
  <c r="Q232" i="3"/>
  <c r="Q237" i="3"/>
  <c r="Q231" i="3"/>
  <c r="Q230" i="3"/>
  <c r="Q236" i="3"/>
  <c r="T34" i="3"/>
  <c r="P69" i="3"/>
  <c r="T66" i="3"/>
  <c r="T69" i="3" s="1"/>
  <c r="Q237" i="4"/>
  <c r="Q233" i="4"/>
  <c r="Q234" i="4"/>
  <c r="Q236" i="4"/>
  <c r="Q232" i="4"/>
  <c r="T93" i="5"/>
  <c r="T34" i="8"/>
  <c r="T41" i="8"/>
  <c r="R200" i="8" s="1"/>
  <c r="R201" i="8" s="1"/>
  <c r="T50" i="8"/>
  <c r="T137" i="8"/>
  <c r="S248" i="9"/>
  <c r="S249" i="9"/>
  <c r="S245" i="9"/>
  <c r="S243" i="9"/>
  <c r="S247" i="9"/>
  <c r="R213" i="9"/>
  <c r="S237" i="12"/>
  <c r="S235" i="12"/>
  <c r="S239" i="12"/>
  <c r="S233" i="12"/>
  <c r="S232" i="12"/>
  <c r="S234" i="12"/>
  <c r="S238" i="12"/>
  <c r="R267" i="12"/>
  <c r="T50" i="12"/>
  <c r="T138" i="12"/>
  <c r="T187" i="12"/>
  <c r="T185" i="12"/>
  <c r="S237" i="13"/>
  <c r="S238" i="13"/>
  <c r="S236" i="13"/>
  <c r="S232" i="13"/>
  <c r="S234" i="13"/>
  <c r="T34" i="19"/>
  <c r="T49" i="19"/>
  <c r="R130" i="20"/>
  <c r="P241" i="20"/>
  <c r="Q232" i="20"/>
  <c r="Q236" i="20"/>
  <c r="R241" i="20"/>
  <c r="S232" i="20" s="1"/>
  <c r="R241" i="21"/>
  <c r="P241" i="21"/>
  <c r="Q214" i="21"/>
  <c r="Q259" i="21"/>
  <c r="Q265" i="21" s="1"/>
  <c r="Q263" i="21"/>
  <c r="Q256" i="21"/>
  <c r="Q261" i="21"/>
  <c r="Q262" i="21"/>
  <c r="Q257" i="21"/>
  <c r="Q258" i="21"/>
  <c r="P279" i="21"/>
  <c r="T41" i="21"/>
  <c r="R201" i="21" s="1"/>
  <c r="R202" i="21" s="1"/>
  <c r="T49" i="26"/>
  <c r="R203" i="27"/>
  <c r="S236" i="22"/>
  <c r="S237" i="22"/>
  <c r="S237" i="30"/>
  <c r="S235" i="30"/>
  <c r="S264" i="35"/>
  <c r="S259" i="35"/>
  <c r="S235" i="48"/>
  <c r="S239" i="48"/>
  <c r="R220" i="35"/>
  <c r="T165" i="35"/>
  <c r="S234" i="33"/>
  <c r="S237" i="33"/>
  <c r="T185" i="20"/>
  <c r="T117" i="20"/>
  <c r="T129" i="20" s="1"/>
  <c r="T130" i="20" s="1"/>
  <c r="T189" i="20"/>
  <c r="R203" i="20"/>
  <c r="S232" i="6"/>
  <c r="S231" i="6"/>
  <c r="S234" i="6"/>
  <c r="S236" i="6"/>
  <c r="S238" i="6"/>
  <c r="S233" i="6"/>
  <c r="S235" i="6"/>
  <c r="Q263" i="26"/>
  <c r="Q262" i="26"/>
  <c r="Q260" i="26"/>
  <c r="Q261" i="26"/>
  <c r="Q258" i="26"/>
  <c r="Q214" i="26"/>
  <c r="P279" i="26"/>
  <c r="T34" i="27"/>
  <c r="T49" i="27"/>
  <c r="S239" i="27"/>
  <c r="Q240" i="31"/>
  <c r="Q249" i="41"/>
  <c r="Q246" i="41"/>
  <c r="Q254" i="41" s="1"/>
  <c r="Q247" i="41"/>
  <c r="Q248" i="41"/>
  <c r="Q252" i="41"/>
  <c r="Q250" i="41"/>
  <c r="Q245" i="41"/>
  <c r="Q251" i="41"/>
  <c r="S235" i="33"/>
  <c r="S239" i="25"/>
  <c r="Q239" i="25"/>
  <c r="T184" i="8"/>
  <c r="S236" i="33"/>
  <c r="S239" i="33"/>
  <c r="Q238" i="31"/>
  <c r="Q236" i="31"/>
  <c r="Q233" i="26"/>
  <c r="Q257" i="26"/>
  <c r="T172" i="12"/>
  <c r="T82" i="12"/>
  <c r="T173" i="12" s="1"/>
  <c r="Q256" i="26"/>
  <c r="T166" i="27"/>
  <c r="Q254" i="31"/>
  <c r="T185" i="26"/>
  <c r="S246" i="31"/>
  <c r="T165" i="31"/>
  <c r="T167" i="31" s="1"/>
  <c r="Q234" i="3"/>
  <c r="S236" i="12"/>
  <c r="Q245" i="2"/>
  <c r="S247" i="8"/>
  <c r="S248" i="8"/>
  <c r="S243" i="8"/>
  <c r="S246" i="8"/>
  <c r="R213" i="8"/>
  <c r="S249" i="8"/>
  <c r="S250" i="8"/>
  <c r="T49" i="8"/>
  <c r="T33" i="11"/>
  <c r="T41" i="11" s="1"/>
  <c r="R201" i="11" s="1"/>
  <c r="R202" i="11" s="1"/>
  <c r="R130" i="11"/>
  <c r="R131" i="11" s="1"/>
  <c r="T33" i="19"/>
  <c r="T41" i="19" s="1"/>
  <c r="R202" i="19" s="1"/>
  <c r="R203" i="19" s="1"/>
  <c r="T187" i="24"/>
  <c r="T117" i="24"/>
  <c r="T129" i="24" s="1"/>
  <c r="T130" i="24" s="1"/>
  <c r="R203" i="24"/>
  <c r="Q236" i="25"/>
  <c r="S258" i="31"/>
  <c r="S260" i="31"/>
  <c r="S262" i="31"/>
  <c r="S264" i="31"/>
  <c r="S257" i="31"/>
  <c r="R280" i="31"/>
  <c r="S263" i="31"/>
  <c r="S259" i="31"/>
  <c r="T65" i="31"/>
  <c r="T68" i="31" s="1"/>
  <c r="R210" i="31"/>
  <c r="N68" i="31"/>
  <c r="T138" i="32"/>
  <c r="T50" i="32"/>
  <c r="R210" i="32"/>
  <c r="T65" i="32"/>
  <c r="T68" i="32" s="1"/>
  <c r="T173" i="32" s="1"/>
  <c r="N68" i="32"/>
  <c r="P242" i="33"/>
  <c r="Q215" i="33"/>
  <c r="Q261" i="33"/>
  <c r="Q260" i="33"/>
  <c r="P280" i="33"/>
  <c r="Q259" i="33"/>
  <c r="Q258" i="33"/>
  <c r="P280" i="34"/>
  <c r="Q248" i="34"/>
  <c r="Q249" i="34"/>
  <c r="Q251" i="34"/>
  <c r="Q245" i="34"/>
  <c r="Q253" i="25"/>
  <c r="Q252" i="9"/>
  <c r="Q265" i="15"/>
  <c r="T49" i="3"/>
  <c r="T33" i="3"/>
  <c r="T41" i="3" s="1"/>
  <c r="R199" i="3" s="1"/>
  <c r="R200" i="3" s="1"/>
  <c r="T94" i="1"/>
  <c r="T114" i="1" s="1"/>
  <c r="T126" i="1" s="1"/>
  <c r="T127" i="1" s="1"/>
  <c r="Q235" i="6"/>
  <c r="Q238" i="6"/>
  <c r="Q232" i="6"/>
  <c r="Q215" i="16"/>
  <c r="Q256" i="16"/>
  <c r="Q260" i="16"/>
  <c r="Q257" i="16"/>
  <c r="Q261" i="16"/>
  <c r="Q235" i="17"/>
  <c r="Q234" i="17"/>
  <c r="Q240" i="17"/>
  <c r="Q249" i="17"/>
  <c r="Q252" i="17"/>
  <c r="Q248" i="17"/>
  <c r="Q254" i="17" s="1"/>
  <c r="R131" i="18"/>
  <c r="R241" i="23"/>
  <c r="T33" i="23"/>
  <c r="T41" i="23" s="1"/>
  <c r="R201" i="23" s="1"/>
  <c r="R202" i="23" s="1"/>
  <c r="N68" i="23"/>
  <c r="R209" i="23"/>
  <c r="S263" i="26"/>
  <c r="S260" i="26"/>
  <c r="S256" i="26"/>
  <c r="R97" i="28"/>
  <c r="S251" i="44"/>
  <c r="S252" i="44"/>
  <c r="S246" i="44"/>
  <c r="S250" i="44"/>
  <c r="S245" i="44"/>
  <c r="S249" i="44"/>
  <c r="S248" i="44"/>
  <c r="S238" i="45"/>
  <c r="S236" i="45"/>
  <c r="S240" i="45"/>
  <c r="Q250" i="47"/>
  <c r="Q246" i="47"/>
  <c r="Q257" i="47"/>
  <c r="Q259" i="47"/>
  <c r="T33" i="48"/>
  <c r="T41" i="48" s="1"/>
  <c r="R202" i="48" s="1"/>
  <c r="R203" i="48" s="1"/>
  <c r="Q250" i="49"/>
  <c r="Q252" i="49"/>
  <c r="Q247" i="49"/>
  <c r="Q251" i="49"/>
  <c r="Q246" i="49"/>
  <c r="Q249" i="49"/>
  <c r="Q245" i="49"/>
  <c r="Q254" i="49" s="1"/>
  <c r="Q248" i="49"/>
  <c r="R220" i="45"/>
  <c r="T165" i="45"/>
  <c r="T167" i="45" s="1"/>
  <c r="R220" i="42"/>
  <c r="T165" i="42"/>
  <c r="T189" i="22"/>
  <c r="Q253" i="12"/>
  <c r="Q240" i="7"/>
  <c r="T97" i="21"/>
  <c r="S265" i="20"/>
  <c r="Q240" i="9"/>
  <c r="S253" i="23"/>
  <c r="T34" i="1"/>
  <c r="T34" i="2"/>
  <c r="Q239" i="10"/>
  <c r="Q236" i="10"/>
  <c r="Q237" i="10"/>
  <c r="P267" i="10"/>
  <c r="T49" i="10"/>
  <c r="Q237" i="11"/>
  <c r="Q234" i="11"/>
  <c r="R214" i="13"/>
  <c r="S251" i="13"/>
  <c r="S247" i="13"/>
  <c r="S239" i="15"/>
  <c r="S232" i="15"/>
  <c r="Q263" i="16"/>
  <c r="S249" i="16"/>
  <c r="R267" i="16"/>
  <c r="T66" i="16"/>
  <c r="T69" i="16" s="1"/>
  <c r="T82" i="16" s="1"/>
  <c r="T173" i="16" s="1"/>
  <c r="S258" i="17"/>
  <c r="R268" i="17"/>
  <c r="S263" i="17"/>
  <c r="R215" i="18"/>
  <c r="S248" i="18"/>
  <c r="S252" i="18"/>
  <c r="R268" i="18"/>
  <c r="S245" i="18"/>
  <c r="S249" i="18"/>
  <c r="S233" i="19"/>
  <c r="S237" i="19"/>
  <c r="S240" i="19"/>
  <c r="S236" i="19"/>
  <c r="R215" i="19"/>
  <c r="S249" i="19"/>
  <c r="S245" i="19"/>
  <c r="S252" i="19"/>
  <c r="S248" i="19"/>
  <c r="S262" i="23"/>
  <c r="S263" i="23"/>
  <c r="T34" i="23"/>
  <c r="R209" i="24"/>
  <c r="N68" i="24"/>
  <c r="S250" i="27"/>
  <c r="S244" i="27"/>
  <c r="S251" i="27"/>
  <c r="S249" i="30"/>
  <c r="S250" i="30"/>
  <c r="S247" i="30"/>
  <c r="S249" i="35"/>
  <c r="S250" i="35"/>
  <c r="S251" i="35"/>
  <c r="Q252" i="42"/>
  <c r="Q247" i="42"/>
  <c r="Q249" i="42"/>
  <c r="Q246" i="42"/>
  <c r="Q251" i="42"/>
  <c r="Q250" i="42"/>
  <c r="Q245" i="42"/>
  <c r="S264" i="46"/>
  <c r="S262" i="46"/>
  <c r="S258" i="46"/>
  <c r="N68" i="46"/>
  <c r="R210" i="46"/>
  <c r="T65" i="46"/>
  <c r="T68" i="46" s="1"/>
  <c r="S246" i="47"/>
  <c r="S251" i="47"/>
  <c r="R130" i="9"/>
  <c r="R129" i="5"/>
  <c r="R131" i="32"/>
  <c r="Q253" i="21"/>
  <c r="S251" i="3"/>
  <c r="T33" i="2"/>
  <c r="T41" i="2" s="1"/>
  <c r="R199" i="2" s="1"/>
  <c r="R200" i="2" s="1"/>
  <c r="S245" i="5"/>
  <c r="S247" i="5"/>
  <c r="S242" i="5"/>
  <c r="Q250" i="7"/>
  <c r="Q246" i="7"/>
  <c r="Q248" i="7"/>
  <c r="S232" i="8"/>
  <c r="S231" i="8"/>
  <c r="Q214" i="22"/>
  <c r="Q261" i="22"/>
  <c r="Q257" i="22"/>
  <c r="Q260" i="22"/>
  <c r="Q256" i="22"/>
  <c r="S235" i="32"/>
  <c r="S242" i="32" s="1"/>
  <c r="Q265" i="27"/>
  <c r="Q254" i="32"/>
  <c r="R130" i="26"/>
  <c r="Q249" i="23"/>
  <c r="S250" i="25"/>
  <c r="S246" i="25"/>
  <c r="R209" i="15"/>
  <c r="Q259" i="28"/>
  <c r="Q265" i="28" s="1"/>
  <c r="Q244" i="24"/>
  <c r="Q239" i="17"/>
  <c r="Q232" i="27"/>
  <c r="P266" i="7"/>
  <c r="T98" i="16"/>
  <c r="S262" i="26"/>
  <c r="T136" i="5"/>
  <c r="Q245" i="26"/>
  <c r="Q253" i="26" s="1"/>
  <c r="Q251" i="26"/>
  <c r="S236" i="11"/>
  <c r="S238" i="11"/>
  <c r="Q214" i="24"/>
  <c r="Q237" i="17"/>
  <c r="Q214" i="28"/>
  <c r="S251" i="16"/>
  <c r="T167" i="33"/>
  <c r="T68" i="30"/>
  <c r="S244" i="29"/>
  <c r="N68" i="29"/>
  <c r="S251" i="28"/>
  <c r="S245" i="28"/>
  <c r="T166" i="28"/>
  <c r="Q247" i="24"/>
  <c r="S239" i="18"/>
  <c r="S235" i="7"/>
  <c r="S250" i="14"/>
  <c r="Q245" i="23"/>
  <c r="Q214" i="25"/>
  <c r="Q261" i="25"/>
  <c r="Q265" i="25" s="1"/>
  <c r="Q251" i="23"/>
  <c r="Q244" i="22"/>
  <c r="Q253" i="22" s="1"/>
  <c r="S248" i="16"/>
  <c r="S236" i="8"/>
  <c r="S231" i="7"/>
  <c r="S240" i="7" s="1"/>
  <c r="S237" i="15"/>
  <c r="S238" i="16"/>
  <c r="S246" i="5"/>
  <c r="Q215" i="17"/>
  <c r="R267" i="15"/>
  <c r="S235" i="15"/>
  <c r="S257" i="23"/>
  <c r="Q238" i="17"/>
  <c r="S261" i="17"/>
  <c r="S262" i="17"/>
  <c r="Q238" i="10"/>
  <c r="Q236" i="6"/>
  <c r="S256" i="23"/>
  <c r="S248" i="13"/>
  <c r="S250" i="18"/>
  <c r="S236" i="16"/>
  <c r="T50" i="18"/>
  <c r="Q262" i="22"/>
  <c r="S239" i="19"/>
  <c r="S251" i="19"/>
  <c r="R208" i="7"/>
  <c r="S249" i="10"/>
  <c r="S245" i="10"/>
  <c r="Q244" i="13"/>
  <c r="Q253" i="13" s="1"/>
  <c r="Q214" i="13"/>
  <c r="Q251" i="13"/>
  <c r="Q248" i="14"/>
  <c r="Q247" i="14"/>
  <c r="Q246" i="14"/>
  <c r="Q253" i="14" s="1"/>
  <c r="Q233" i="15"/>
  <c r="Q238" i="15"/>
  <c r="Q262" i="16"/>
  <c r="R215" i="20"/>
  <c r="R279" i="20"/>
  <c r="S245" i="26"/>
  <c r="S247" i="26"/>
  <c r="S245" i="27"/>
  <c r="T93" i="30"/>
  <c r="T97" i="30" s="1"/>
  <c r="Q263" i="34"/>
  <c r="Q266" i="34" s="1"/>
  <c r="Q215" i="34"/>
  <c r="R97" i="34"/>
  <c r="R131" i="34" s="1"/>
  <c r="S245" i="35"/>
  <c r="T33" i="35"/>
  <c r="T41" i="35" s="1"/>
  <c r="R202" i="35" s="1"/>
  <c r="R203" i="35" s="1"/>
  <c r="S248" i="35"/>
  <c r="S261" i="36"/>
  <c r="S257" i="36"/>
  <c r="S263" i="36"/>
  <c r="S259" i="36"/>
  <c r="S260" i="36"/>
  <c r="Q264" i="37"/>
  <c r="P68" i="38"/>
  <c r="T65" i="38"/>
  <c r="T68" i="38" s="1"/>
  <c r="T81" i="38" s="1"/>
  <c r="T174" i="38" s="1"/>
  <c r="Q259" i="39"/>
  <c r="Q215" i="39"/>
  <c r="Q258" i="39"/>
  <c r="T33" i="41"/>
  <c r="T41" i="41" s="1"/>
  <c r="R202" i="41" s="1"/>
  <c r="R203" i="41" s="1"/>
  <c r="T34" i="41"/>
  <c r="S262" i="41"/>
  <c r="S260" i="41"/>
  <c r="S261" i="41"/>
  <c r="S264" i="41"/>
  <c r="S252" i="42"/>
  <c r="S249" i="42"/>
  <c r="S251" i="42"/>
  <c r="S245" i="42"/>
  <c r="Q251" i="43"/>
  <c r="Q252" i="43"/>
  <c r="Q246" i="43"/>
  <c r="Q250" i="43"/>
  <c r="Q245" i="43"/>
  <c r="P280" i="43"/>
  <c r="Q249" i="43"/>
  <c r="T49" i="45"/>
  <c r="S261" i="46"/>
  <c r="Q247" i="46"/>
  <c r="Q250" i="46"/>
  <c r="Q252" i="48"/>
  <c r="Q250" i="48"/>
  <c r="Q247" i="48"/>
  <c r="P280" i="48"/>
  <c r="Q249" i="48"/>
  <c r="Q245" i="48"/>
  <c r="R215" i="48"/>
  <c r="S257" i="48"/>
  <c r="S266" i="48" s="1"/>
  <c r="S258" i="48"/>
  <c r="R280" i="48"/>
  <c r="S259" i="48"/>
  <c r="S260" i="48"/>
  <c r="S263" i="48"/>
  <c r="S262" i="48"/>
  <c r="R280" i="50"/>
  <c r="T167" i="18"/>
  <c r="R94" i="1"/>
  <c r="R127" i="1" s="1"/>
  <c r="R130" i="14"/>
  <c r="R131" i="14" s="1"/>
  <c r="Q258" i="36"/>
  <c r="R280" i="37"/>
  <c r="R215" i="37"/>
  <c r="S246" i="37"/>
  <c r="S257" i="37"/>
  <c r="S266" i="37" s="1"/>
  <c r="N68" i="38"/>
  <c r="S247" i="38"/>
  <c r="T50" i="39"/>
  <c r="Q215" i="41"/>
  <c r="R130" i="46"/>
  <c r="S251" i="46"/>
  <c r="S248" i="46"/>
  <c r="S249" i="46"/>
  <c r="S250" i="46"/>
  <c r="T69" i="11"/>
  <c r="T172" i="11" s="1"/>
  <c r="T165" i="2"/>
  <c r="T34" i="5"/>
  <c r="T96" i="3"/>
  <c r="T185" i="3" s="1"/>
  <c r="T96" i="5"/>
  <c r="T187" i="5" s="1"/>
  <c r="T49" i="7"/>
  <c r="T33" i="7"/>
  <c r="T41" i="7" s="1"/>
  <c r="R200" i="7" s="1"/>
  <c r="R201" i="7" s="1"/>
  <c r="T94" i="7"/>
  <c r="T97" i="7" s="1"/>
  <c r="T186" i="7" s="1"/>
  <c r="R130" i="10"/>
  <c r="R131" i="10" s="1"/>
  <c r="T94" i="13"/>
  <c r="T98" i="13" s="1"/>
  <c r="R267" i="14"/>
  <c r="T33" i="16"/>
  <c r="T41" i="16" s="1"/>
  <c r="R201" i="16" s="1"/>
  <c r="R202" i="16" s="1"/>
  <c r="T94" i="18"/>
  <c r="T98" i="18" s="1"/>
  <c r="R204" i="18" s="1"/>
  <c r="T49" i="20"/>
  <c r="T33" i="20"/>
  <c r="T49" i="24"/>
  <c r="R129" i="25"/>
  <c r="R130" i="25" s="1"/>
  <c r="T33" i="29"/>
  <c r="T41" i="29" s="1"/>
  <c r="R201" i="29" s="1"/>
  <c r="R202" i="29" s="1"/>
  <c r="P242" i="30"/>
  <c r="Q236" i="30" s="1"/>
  <c r="T33" i="32"/>
  <c r="T41" i="32" s="1"/>
  <c r="R202" i="32" s="1"/>
  <c r="R203" i="32" s="1"/>
  <c r="T34" i="32"/>
  <c r="T93" i="32"/>
  <c r="T97" i="32" s="1"/>
  <c r="T33" i="34"/>
  <c r="T41" i="34" s="1"/>
  <c r="R202" i="34" s="1"/>
  <c r="R203" i="34" s="1"/>
  <c r="R97" i="35"/>
  <c r="R130" i="35"/>
  <c r="T167" i="35"/>
  <c r="T93" i="35"/>
  <c r="T97" i="35" s="1"/>
  <c r="R204" i="35" s="1"/>
  <c r="T93" i="37"/>
  <c r="T97" i="37" s="1"/>
  <c r="T186" i="37" s="1"/>
  <c r="T49" i="40"/>
  <c r="Q264" i="41"/>
  <c r="Q261" i="41"/>
  <c r="Q260" i="41"/>
  <c r="Q259" i="41"/>
  <c r="Q262" i="41"/>
  <c r="T97" i="41"/>
  <c r="T188" i="41" s="1"/>
  <c r="S261" i="42"/>
  <c r="S257" i="42"/>
  <c r="S264" i="42"/>
  <c r="S260" i="42"/>
  <c r="R215" i="42"/>
  <c r="T68" i="43"/>
  <c r="T81" i="43" s="1"/>
  <c r="T174" i="43" s="1"/>
  <c r="Q259" i="43"/>
  <c r="Q215" i="43"/>
  <c r="Q260" i="43"/>
  <c r="T138" i="49"/>
  <c r="T50" i="49"/>
  <c r="R210" i="49"/>
  <c r="N68" i="49"/>
  <c r="T65" i="49"/>
  <c r="S263" i="50"/>
  <c r="S257" i="50"/>
  <c r="S261" i="50"/>
  <c r="Q233" i="51"/>
  <c r="Q240" i="51"/>
  <c r="Q236" i="51"/>
  <c r="Q235" i="51"/>
  <c r="Q242" i="51" s="1"/>
  <c r="Q237" i="51"/>
  <c r="Q239" i="51"/>
  <c r="T138" i="52"/>
  <c r="T50" i="52"/>
  <c r="R130" i="50"/>
  <c r="T34" i="50"/>
  <c r="Q264" i="53"/>
  <c r="Q254" i="54"/>
  <c r="S254" i="39"/>
  <c r="T97" i="40"/>
  <c r="T118" i="40" s="1"/>
  <c r="T130" i="40" s="1"/>
  <c r="T33" i="42"/>
  <c r="T41" i="42" s="1"/>
  <c r="R202" i="42" s="1"/>
  <c r="R203" i="42" s="1"/>
  <c r="P242" i="43"/>
  <c r="Q233" i="43" s="1"/>
  <c r="T33" i="46"/>
  <c r="T41" i="46" s="1"/>
  <c r="R202" i="46" s="1"/>
  <c r="R203" i="46" s="1"/>
  <c r="T34" i="46"/>
  <c r="R97" i="46"/>
  <c r="R131" i="46" s="1"/>
  <c r="T49" i="48"/>
  <c r="Q258" i="49"/>
  <c r="P242" i="52"/>
  <c r="R218" i="2"/>
  <c r="S234" i="54"/>
  <c r="S242" i="54" s="1"/>
  <c r="R97" i="41"/>
  <c r="R242" i="41"/>
  <c r="S234" i="42"/>
  <c r="S240" i="42"/>
  <c r="R280" i="42"/>
  <c r="T97" i="42"/>
  <c r="R242" i="43"/>
  <c r="S239" i="43" s="1"/>
  <c r="T68" i="44"/>
  <c r="T81" i="44" s="1"/>
  <c r="T174" i="44" s="1"/>
  <c r="T34" i="44"/>
  <c r="T34" i="45"/>
  <c r="R130" i="47"/>
  <c r="S257" i="47"/>
  <c r="S266" i="47" s="1"/>
  <c r="S260" i="47"/>
  <c r="S263" i="47"/>
  <c r="T49" i="49"/>
  <c r="R97" i="50"/>
  <c r="T167" i="51"/>
  <c r="Q258" i="51"/>
  <c r="Q260" i="51"/>
  <c r="Q262" i="51"/>
  <c r="T33" i="53"/>
  <c r="T41" i="53" s="1"/>
  <c r="R202" i="53" s="1"/>
  <c r="R203" i="53" s="1"/>
  <c r="T34" i="53"/>
  <c r="T68" i="53"/>
  <c r="T81" i="53" s="1"/>
  <c r="T174" i="53" s="1"/>
  <c r="R130" i="53"/>
  <c r="R131" i="53" s="1"/>
  <c r="S235" i="54"/>
  <c r="S254" i="54"/>
  <c r="R201" i="5"/>
  <c r="T184" i="7"/>
  <c r="T117" i="7"/>
  <c r="T129" i="7" s="1"/>
  <c r="T130" i="7" s="1"/>
  <c r="T188" i="7"/>
  <c r="T185" i="13"/>
  <c r="T189" i="13"/>
  <c r="R203" i="13"/>
  <c r="T118" i="13"/>
  <c r="T130" i="13" s="1"/>
  <c r="T131" i="13" s="1"/>
  <c r="T187" i="13"/>
  <c r="T190" i="18"/>
  <c r="S233" i="22"/>
  <c r="S234" i="22"/>
  <c r="Q265" i="29"/>
  <c r="S232" i="29"/>
  <c r="T117" i="23"/>
  <c r="T129" i="23" s="1"/>
  <c r="T130" i="23" s="1"/>
  <c r="T185" i="23"/>
  <c r="S234" i="25"/>
  <c r="T189" i="21"/>
  <c r="R203" i="21"/>
  <c r="T187" i="21"/>
  <c r="S265" i="21"/>
  <c r="Q251" i="3"/>
  <c r="S239" i="31"/>
  <c r="S235" i="31"/>
  <c r="S238" i="31"/>
  <c r="S234" i="31"/>
  <c r="S233" i="31"/>
  <c r="S236" i="31"/>
  <c r="Q232" i="14"/>
  <c r="T188" i="36"/>
  <c r="P242" i="36"/>
  <c r="Q237" i="36" s="1"/>
  <c r="Q248" i="36"/>
  <c r="Q252" i="36"/>
  <c r="Q245" i="36"/>
  <c r="Q249" i="36"/>
  <c r="Q246" i="36"/>
  <c r="Q250" i="36"/>
  <c r="Q251" i="36"/>
  <c r="P280" i="36"/>
  <c r="T117" i="27"/>
  <c r="T129" i="27" s="1"/>
  <c r="T130" i="27" s="1"/>
  <c r="Q254" i="33"/>
  <c r="R203" i="29"/>
  <c r="T187" i="29"/>
  <c r="T189" i="29"/>
  <c r="T185" i="29"/>
  <c r="T81" i="29"/>
  <c r="T173" i="29" s="1"/>
  <c r="T172" i="29"/>
  <c r="S265" i="28"/>
  <c r="S253" i="15"/>
  <c r="S253" i="10"/>
  <c r="R201" i="3"/>
  <c r="T187" i="3"/>
  <c r="T180" i="1"/>
  <c r="T182" i="1"/>
  <c r="R198" i="1"/>
  <c r="T34" i="7"/>
  <c r="T34" i="12"/>
  <c r="T33" i="12"/>
  <c r="T41" i="12" s="1"/>
  <c r="R201" i="12" s="1"/>
  <c r="R202" i="12" s="1"/>
  <c r="T50" i="13"/>
  <c r="T138" i="13"/>
  <c r="Q234" i="14"/>
  <c r="P267" i="14"/>
  <c r="Q238" i="14"/>
  <c r="Q239" i="14"/>
  <c r="Q233" i="14"/>
  <c r="Q235" i="14"/>
  <c r="S265" i="15"/>
  <c r="T49" i="16"/>
  <c r="T34" i="16"/>
  <c r="R98" i="17"/>
  <c r="R131" i="17" s="1"/>
  <c r="P69" i="18"/>
  <c r="T66" i="18"/>
  <c r="T69" i="18" s="1"/>
  <c r="T82" i="18" s="1"/>
  <c r="T174" i="18" s="1"/>
  <c r="R216" i="19"/>
  <c r="R268" i="19"/>
  <c r="T34" i="20"/>
  <c r="T41" i="20"/>
  <c r="R201" i="20" s="1"/>
  <c r="R202" i="20" s="1"/>
  <c r="T50" i="20"/>
  <c r="T137" i="20"/>
  <c r="P241" i="22"/>
  <c r="T49" i="22"/>
  <c r="T34" i="22"/>
  <c r="S251" i="24"/>
  <c r="S250" i="24"/>
  <c r="S245" i="24"/>
  <c r="S244" i="24"/>
  <c r="S247" i="24"/>
  <c r="S248" i="24"/>
  <c r="R241" i="24"/>
  <c r="S237" i="24" s="1"/>
  <c r="S261" i="24"/>
  <c r="S260" i="24"/>
  <c r="S259" i="24"/>
  <c r="S262" i="24"/>
  <c r="S257" i="24"/>
  <c r="R279" i="24"/>
  <c r="S256" i="24"/>
  <c r="R214" i="24"/>
  <c r="T34" i="24"/>
  <c r="T33" i="24"/>
  <c r="T41" i="24" s="1"/>
  <c r="R201" i="24" s="1"/>
  <c r="R202" i="24" s="1"/>
  <c r="T34" i="25"/>
  <c r="T49" i="25"/>
  <c r="T33" i="25"/>
  <c r="T41" i="25" s="1"/>
  <c r="R201" i="25" s="1"/>
  <c r="R202" i="25" s="1"/>
  <c r="P241" i="28"/>
  <c r="Q232" i="28" s="1"/>
  <c r="Q244" i="28"/>
  <c r="Q246" i="28"/>
  <c r="Q250" i="28"/>
  <c r="P279" i="28"/>
  <c r="Q247" i="28"/>
  <c r="Q251" i="28"/>
  <c r="Q248" i="28"/>
  <c r="N68" i="28"/>
  <c r="R209" i="28"/>
  <c r="T49" i="29"/>
  <c r="T34" i="29"/>
  <c r="S263" i="29"/>
  <c r="S260" i="29"/>
  <c r="S256" i="29"/>
  <c r="S258" i="29"/>
  <c r="R279" i="29"/>
  <c r="S261" i="29"/>
  <c r="S257" i="29"/>
  <c r="S262" i="29"/>
  <c r="Q233" i="30"/>
  <c r="Q239" i="30"/>
  <c r="T49" i="32"/>
  <c r="P242" i="34"/>
  <c r="Q238" i="34" s="1"/>
  <c r="Q247" i="36"/>
  <c r="S238" i="22"/>
  <c r="S232" i="22"/>
  <c r="S236" i="21"/>
  <c r="S238" i="21"/>
  <c r="T190" i="33"/>
  <c r="T118" i="33"/>
  <c r="T130" i="33" s="1"/>
  <c r="T131" i="33" s="1"/>
  <c r="T186" i="33"/>
  <c r="T184" i="1"/>
  <c r="T187" i="25"/>
  <c r="T185" i="25"/>
  <c r="Q233" i="29"/>
  <c r="Q236" i="29"/>
  <c r="Q232" i="29"/>
  <c r="Q239" i="29"/>
  <c r="S240" i="31"/>
  <c r="T66" i="5"/>
  <c r="T69" i="5" s="1"/>
  <c r="S241" i="15"/>
  <c r="Q238" i="24"/>
  <c r="S240" i="6"/>
  <c r="Q236" i="21"/>
  <c r="Q234" i="21"/>
  <c r="Q233" i="21"/>
  <c r="Q239" i="21"/>
  <c r="Q235" i="21"/>
  <c r="Q232" i="21"/>
  <c r="T34" i="4"/>
  <c r="T50" i="4"/>
  <c r="T136" i="4"/>
  <c r="S236" i="5"/>
  <c r="S233" i="5"/>
  <c r="R265" i="5"/>
  <c r="S235" i="5"/>
  <c r="S235" i="22"/>
  <c r="T117" i="29"/>
  <c r="T129" i="29" s="1"/>
  <c r="T130" i="29" s="1"/>
  <c r="Q235" i="32"/>
  <c r="Q233" i="32"/>
  <c r="Q234" i="32"/>
  <c r="Q239" i="32"/>
  <c r="T117" i="22"/>
  <c r="T129" i="22" s="1"/>
  <c r="T130" i="22" s="1"/>
  <c r="T187" i="22"/>
  <c r="R203" i="22"/>
  <c r="R203" i="12"/>
  <c r="T118" i="12"/>
  <c r="T130" i="12" s="1"/>
  <c r="T131" i="12" s="1"/>
  <c r="T166" i="8"/>
  <c r="Q265" i="24"/>
  <c r="S265" i="16"/>
  <c r="S241" i="16"/>
  <c r="Q236" i="14"/>
  <c r="S254" i="17"/>
  <c r="T172" i="23"/>
  <c r="T81" i="23"/>
  <c r="T173" i="23" s="1"/>
  <c r="T68" i="20"/>
  <c r="S254" i="18"/>
  <c r="Q243" i="1"/>
  <c r="Q242" i="1"/>
  <c r="Q239" i="1"/>
  <c r="Q236" i="1"/>
  <c r="T49" i="1"/>
  <c r="S248" i="2"/>
  <c r="S249" i="2"/>
  <c r="S243" i="2"/>
  <c r="S245" i="2"/>
  <c r="S242" i="2"/>
  <c r="S247" i="2"/>
  <c r="P69" i="2"/>
  <c r="T66" i="2"/>
  <c r="T69" i="2" s="1"/>
  <c r="T49" i="2"/>
  <c r="S244" i="4"/>
  <c r="S242" i="4"/>
  <c r="S249" i="4"/>
  <c r="R265" i="4"/>
  <c r="S247" i="4"/>
  <c r="S245" i="4"/>
  <c r="R212" i="4"/>
  <c r="S243" i="4"/>
  <c r="Q264" i="42"/>
  <c r="Q262" i="42"/>
  <c r="Q260" i="42"/>
  <c r="Q258" i="42"/>
  <c r="Q259" i="42"/>
  <c r="Q261" i="42"/>
  <c r="Q263" i="42"/>
  <c r="T186" i="42"/>
  <c r="T188" i="42"/>
  <c r="S235" i="43"/>
  <c r="T173" i="51"/>
  <c r="T81" i="51"/>
  <c r="T174" i="51" s="1"/>
  <c r="S249" i="51"/>
  <c r="S245" i="51"/>
  <c r="S252" i="51"/>
  <c r="S248" i="51"/>
  <c r="R280" i="51"/>
  <c r="S251" i="51"/>
  <c r="S247" i="51"/>
  <c r="S250" i="51"/>
  <c r="S246" i="51"/>
  <c r="R219" i="23"/>
  <c r="T164" i="23"/>
  <c r="T166" i="23" s="1"/>
  <c r="Q265" i="20"/>
  <c r="R131" i="19"/>
  <c r="S254" i="32"/>
  <c r="T98" i="19"/>
  <c r="T93" i="2"/>
  <c r="T96" i="2" s="1"/>
  <c r="Q238" i="35"/>
  <c r="Q237" i="35"/>
  <c r="Q236" i="35"/>
  <c r="S239" i="34"/>
  <c r="R130" i="8"/>
  <c r="R131" i="12"/>
  <c r="Q235" i="33"/>
  <c r="R210" i="17"/>
  <c r="N69" i="17"/>
  <c r="R210" i="19"/>
  <c r="N69" i="19"/>
  <c r="R280" i="30"/>
  <c r="R216" i="30"/>
  <c r="R242" i="35"/>
  <c r="S234" i="35" s="1"/>
  <c r="Q250" i="35"/>
  <c r="Q247" i="35"/>
  <c r="Q249" i="35"/>
  <c r="Q246" i="35"/>
  <c r="Q251" i="35"/>
  <c r="Q249" i="37"/>
  <c r="Q247" i="37"/>
  <c r="Q248" i="37"/>
  <c r="Q252" i="37"/>
  <c r="P280" i="37"/>
  <c r="S242" i="18"/>
  <c r="S239" i="3"/>
  <c r="Q238" i="27"/>
  <c r="T96" i="4"/>
  <c r="T50" i="22"/>
  <c r="T137" i="22"/>
  <c r="T50" i="25"/>
  <c r="T137" i="25"/>
  <c r="S262" i="27"/>
  <c r="S265" i="27" s="1"/>
  <c r="R214" i="27"/>
  <c r="T93" i="28"/>
  <c r="T97" i="28" s="1"/>
  <c r="Q257" i="30"/>
  <c r="Q264" i="30"/>
  <c r="S252" i="34"/>
  <c r="S248" i="34"/>
  <c r="T49" i="35"/>
  <c r="R215" i="35"/>
  <c r="S257" i="35"/>
  <c r="S263" i="35"/>
  <c r="S261" i="35"/>
  <c r="S260" i="35"/>
  <c r="S233" i="39"/>
  <c r="R242" i="39"/>
  <c r="S235" i="39" s="1"/>
  <c r="S239" i="39"/>
  <c r="Q244" i="7"/>
  <c r="S238" i="9"/>
  <c r="S240" i="9" s="1"/>
  <c r="Q257" i="17"/>
  <c r="S248" i="30"/>
  <c r="S252" i="30"/>
  <c r="Q261" i="31"/>
  <c r="Q266" i="31" s="1"/>
  <c r="T93" i="31"/>
  <c r="T97" i="31" s="1"/>
  <c r="S264" i="32"/>
  <c r="Q233" i="35"/>
  <c r="Q235" i="35"/>
  <c r="Q239" i="35"/>
  <c r="T68" i="36"/>
  <c r="T173" i="36" s="1"/>
  <c r="S254" i="36"/>
  <c r="Q262" i="36"/>
  <c r="Q235" i="37"/>
  <c r="Q239" i="37"/>
  <c r="Q234" i="37"/>
  <c r="Q240" i="37"/>
  <c r="Q236" i="37"/>
  <c r="Q238" i="37"/>
  <c r="S233" i="37"/>
  <c r="R242" i="37"/>
  <c r="S236" i="37" s="1"/>
  <c r="S237" i="37"/>
  <c r="S239" i="37"/>
  <c r="Q235" i="38"/>
  <c r="Q240" i="38"/>
  <c r="Q234" i="38"/>
  <c r="Q236" i="38"/>
  <c r="Q238" i="38"/>
  <c r="Q237" i="38"/>
  <c r="Q239" i="38"/>
  <c r="R97" i="39"/>
  <c r="R131" i="39" s="1"/>
  <c r="S236" i="41"/>
  <c r="S239" i="41"/>
  <c r="S233" i="41"/>
  <c r="S235" i="41"/>
  <c r="T49" i="44"/>
  <c r="Q234" i="45"/>
  <c r="Q236" i="45"/>
  <c r="Q252" i="52"/>
  <c r="Q248" i="52"/>
  <c r="Q251" i="52"/>
  <c r="Q247" i="52"/>
  <c r="Q250" i="52"/>
  <c r="Q246" i="52"/>
  <c r="Q249" i="52"/>
  <c r="Q245" i="52"/>
  <c r="Q254" i="52" s="1"/>
  <c r="T137" i="6"/>
  <c r="T167" i="14"/>
  <c r="S260" i="25"/>
  <c r="S265" i="25" s="1"/>
  <c r="S245" i="30"/>
  <c r="S254" i="30" s="1"/>
  <c r="Q261" i="35"/>
  <c r="Q260" i="36"/>
  <c r="Q261" i="36"/>
  <c r="S266" i="36"/>
  <c r="T34" i="38"/>
  <c r="T49" i="39"/>
  <c r="Q264" i="39"/>
  <c r="Q263" i="39"/>
  <c r="Q257" i="39"/>
  <c r="Q260" i="39"/>
  <c r="Q262" i="39"/>
  <c r="Q261" i="39"/>
  <c r="P242" i="40"/>
  <c r="Q233" i="40" s="1"/>
  <c r="Q251" i="40"/>
  <c r="Q246" i="40"/>
  <c r="Q250" i="40"/>
  <c r="R97" i="40"/>
  <c r="R131" i="40" s="1"/>
  <c r="Q266" i="41"/>
  <c r="S238" i="42"/>
  <c r="Q233" i="45"/>
  <c r="Q238" i="45"/>
  <c r="R131" i="50"/>
  <c r="T93" i="34"/>
  <c r="T97" i="34" s="1"/>
  <c r="T34" i="35"/>
  <c r="Q234" i="35"/>
  <c r="Q240" i="35"/>
  <c r="Q215" i="36"/>
  <c r="Q259" i="36"/>
  <c r="T49" i="37"/>
  <c r="T34" i="37"/>
  <c r="Q261" i="37"/>
  <c r="Q260" i="37"/>
  <c r="Q259" i="37"/>
  <c r="Q263" i="37"/>
  <c r="Q258" i="37"/>
  <c r="Q257" i="37"/>
  <c r="Q262" i="37"/>
  <c r="Q266" i="39"/>
  <c r="T118" i="39"/>
  <c r="T130" i="39" s="1"/>
  <c r="T186" i="39"/>
  <c r="T190" i="39"/>
  <c r="R204" i="39"/>
  <c r="T188" i="39"/>
  <c r="Q252" i="39"/>
  <c r="Q247" i="39"/>
  <c r="Q246" i="39"/>
  <c r="Q245" i="39"/>
  <c r="Q251" i="39"/>
  <c r="Q248" i="39"/>
  <c r="Q249" i="39"/>
  <c r="P280" i="39"/>
  <c r="Q250" i="39"/>
  <c r="R130" i="41"/>
  <c r="T34" i="43"/>
  <c r="T49" i="46"/>
  <c r="T81" i="47"/>
  <c r="T174" i="47" s="1"/>
  <c r="T138" i="51"/>
  <c r="T50" i="51"/>
  <c r="T49" i="38"/>
  <c r="R130" i="38"/>
  <c r="T34" i="39"/>
  <c r="N68" i="39"/>
  <c r="Q234" i="39"/>
  <c r="T167" i="40"/>
  <c r="S250" i="41"/>
  <c r="S245" i="41"/>
  <c r="S257" i="41"/>
  <c r="R215" i="41"/>
  <c r="P242" i="42"/>
  <c r="Q239" i="42" s="1"/>
  <c r="S246" i="42"/>
  <c r="S248" i="42"/>
  <c r="S250" i="42"/>
  <c r="Q236" i="43"/>
  <c r="R130" i="44"/>
  <c r="R131" i="44" s="1"/>
  <c r="R215" i="44"/>
  <c r="R242" i="44"/>
  <c r="S237" i="44" s="1"/>
  <c r="S258" i="44"/>
  <c r="S266" i="44" s="1"/>
  <c r="S260" i="44"/>
  <c r="S262" i="44"/>
  <c r="S259" i="45"/>
  <c r="R242" i="46"/>
  <c r="S238" i="46" s="1"/>
  <c r="Q264" i="47"/>
  <c r="Q262" i="47"/>
  <c r="Q260" i="47"/>
  <c r="Q258" i="47"/>
  <c r="Q215" i="47"/>
  <c r="R216" i="47"/>
  <c r="R280" i="47"/>
  <c r="S242" i="48"/>
  <c r="R97" i="48"/>
  <c r="R131" i="48" s="1"/>
  <c r="S259" i="50"/>
  <c r="T49" i="50"/>
  <c r="T34" i="52"/>
  <c r="R220" i="47"/>
  <c r="T165" i="47"/>
  <c r="T167" i="47" s="1"/>
  <c r="T34" i="36"/>
  <c r="T49" i="36"/>
  <c r="R97" i="36"/>
  <c r="R131" i="36" s="1"/>
  <c r="T33" i="37"/>
  <c r="T41" i="37" s="1"/>
  <c r="R202" i="37" s="1"/>
  <c r="R203" i="37" s="1"/>
  <c r="T68" i="37"/>
  <c r="S234" i="37"/>
  <c r="S238" i="37"/>
  <c r="S240" i="37"/>
  <c r="S245" i="38"/>
  <c r="S252" i="38"/>
  <c r="R242" i="38"/>
  <c r="T93" i="38"/>
  <c r="T97" i="38" s="1"/>
  <c r="S246" i="41"/>
  <c r="S247" i="41"/>
  <c r="S258" i="41"/>
  <c r="S263" i="41"/>
  <c r="R130" i="42"/>
  <c r="R130" i="43"/>
  <c r="R131" i="43" s="1"/>
  <c r="Q247" i="43"/>
  <c r="S247" i="44"/>
  <c r="Q252" i="46"/>
  <c r="Q251" i="46"/>
  <c r="Q249" i="46"/>
  <c r="Q246" i="46"/>
  <c r="Q245" i="46"/>
  <c r="Q248" i="46"/>
  <c r="Q263" i="47"/>
  <c r="Q234" i="52"/>
  <c r="Q238" i="52"/>
  <c r="Q236" i="52"/>
  <c r="Q237" i="52"/>
  <c r="Q239" i="52"/>
  <c r="R215" i="53"/>
  <c r="S260" i="53"/>
  <c r="R220" i="50"/>
  <c r="T165" i="50"/>
  <c r="T167" i="50" s="1"/>
  <c r="R97" i="37"/>
  <c r="T33" i="38"/>
  <c r="T41" i="38" s="1"/>
  <c r="R202" i="38" s="1"/>
  <c r="R203" i="38" s="1"/>
  <c r="Q235" i="39"/>
  <c r="T33" i="40"/>
  <c r="T41" i="40" s="1"/>
  <c r="R202" i="40" s="1"/>
  <c r="R203" i="40" s="1"/>
  <c r="T34" i="40"/>
  <c r="T167" i="42"/>
  <c r="Q240" i="45"/>
  <c r="S264" i="45"/>
  <c r="S262" i="45"/>
  <c r="S260" i="45"/>
  <c r="S258" i="45"/>
  <c r="R215" i="45"/>
  <c r="R97" i="45"/>
  <c r="T68" i="49"/>
  <c r="R242" i="49"/>
  <c r="S234" i="49" s="1"/>
  <c r="S258" i="49"/>
  <c r="S259" i="49"/>
  <c r="S261" i="49"/>
  <c r="R242" i="50"/>
  <c r="S238" i="50" s="1"/>
  <c r="R215" i="50"/>
  <c r="S264" i="50"/>
  <c r="S262" i="50"/>
  <c r="S260" i="50"/>
  <c r="S258" i="50"/>
  <c r="R215" i="52"/>
  <c r="S263" i="52"/>
  <c r="S261" i="52"/>
  <c r="S259" i="52"/>
  <c r="S257" i="52"/>
  <c r="S264" i="52"/>
  <c r="S262" i="52"/>
  <c r="S260" i="52"/>
  <c r="S258" i="52"/>
  <c r="Q266" i="54"/>
  <c r="Q215" i="45"/>
  <c r="Q258" i="45"/>
  <c r="Q260" i="45"/>
  <c r="Q262" i="45"/>
  <c r="R242" i="47"/>
  <c r="S239" i="47" s="1"/>
  <c r="T34" i="48"/>
  <c r="Q246" i="48"/>
  <c r="Q248" i="48"/>
  <c r="Q251" i="48"/>
  <c r="Q258" i="50"/>
  <c r="Q260" i="50"/>
  <c r="Q262" i="50"/>
  <c r="Q264" i="50"/>
  <c r="R242" i="52"/>
  <c r="S236" i="52" s="1"/>
  <c r="T97" i="45"/>
  <c r="T33" i="47"/>
  <c r="T41" i="47" s="1"/>
  <c r="R202" i="47" s="1"/>
  <c r="R203" i="47" s="1"/>
  <c r="T93" i="48"/>
  <c r="T97" i="48" s="1"/>
  <c r="T33" i="49"/>
  <c r="T41" i="49" s="1"/>
  <c r="R202" i="49" s="1"/>
  <c r="R203" i="49" s="1"/>
  <c r="T34" i="49"/>
  <c r="Q215" i="49"/>
  <c r="T93" i="49"/>
  <c r="T97" i="49" s="1"/>
  <c r="T186" i="49" s="1"/>
  <c r="T93" i="50"/>
  <c r="T97" i="50" s="1"/>
  <c r="T190" i="50" s="1"/>
  <c r="T167" i="52"/>
  <c r="R242" i="53"/>
  <c r="S238" i="53" s="1"/>
  <c r="S254" i="46"/>
  <c r="Q238" i="46"/>
  <c r="T93" i="51"/>
  <c r="T97" i="51" s="1"/>
  <c r="R130" i="51"/>
  <c r="R131" i="51" s="1"/>
  <c r="T93" i="52"/>
  <c r="T97" i="52" s="1"/>
  <c r="T41" i="1"/>
  <c r="T93" i="53"/>
  <c r="T97" i="53" s="1"/>
  <c r="T118" i="53" s="1"/>
  <c r="T130" i="53" s="1"/>
  <c r="S238" i="54"/>
  <c r="Q239" i="54"/>
  <c r="S239" i="54"/>
  <c r="T173" i="54"/>
  <c r="T81" i="54"/>
  <c r="T174" i="54" s="1"/>
  <c r="T188" i="17"/>
  <c r="T118" i="17"/>
  <c r="T130" i="17" s="1"/>
  <c r="T131" i="17" s="1"/>
  <c r="T190" i="17"/>
  <c r="R204" i="17"/>
  <c r="T186" i="17"/>
  <c r="T118" i="11"/>
  <c r="T130" i="11" s="1"/>
  <c r="T131" i="11" s="1"/>
  <c r="T185" i="11"/>
  <c r="T187" i="11"/>
  <c r="T189" i="11"/>
  <c r="R203" i="11"/>
  <c r="T118" i="16"/>
  <c r="T130" i="16" s="1"/>
  <c r="T131" i="16" s="1"/>
  <c r="T185" i="16"/>
  <c r="T187" i="16"/>
  <c r="R203" i="16"/>
  <c r="T189" i="16"/>
  <c r="T173" i="31"/>
  <c r="T81" i="31"/>
  <c r="T174" i="31" s="1"/>
  <c r="T186" i="19"/>
  <c r="R204" i="19"/>
  <c r="T190" i="19"/>
  <c r="T188" i="19"/>
  <c r="T118" i="19"/>
  <c r="T130" i="19" s="1"/>
  <c r="T131" i="19" s="1"/>
  <c r="T81" i="33"/>
  <c r="T174" i="33" s="1"/>
  <c r="T173" i="33"/>
  <c r="T81" i="25"/>
  <c r="T173" i="25" s="1"/>
  <c r="T172" i="25"/>
  <c r="T82" i="17"/>
  <c r="T174" i="17" s="1"/>
  <c r="T189" i="10"/>
  <c r="T185" i="10"/>
  <c r="T118" i="10"/>
  <c r="T130" i="10" s="1"/>
  <c r="T131" i="10" s="1"/>
  <c r="R203" i="10"/>
  <c r="T187" i="10"/>
  <c r="T183" i="4"/>
  <c r="T185" i="4"/>
  <c r="T116" i="4"/>
  <c r="T128" i="4" s="1"/>
  <c r="T129" i="4" s="1"/>
  <c r="R201" i="4"/>
  <c r="T187" i="4"/>
  <c r="T173" i="18"/>
  <c r="T82" i="6"/>
  <c r="T172" i="6" s="1"/>
  <c r="T171" i="6"/>
  <c r="T118" i="15"/>
  <c r="T130" i="15" s="1"/>
  <c r="T131" i="15" s="1"/>
  <c r="T185" i="15"/>
  <c r="T189" i="15"/>
  <c r="R203" i="15"/>
  <c r="T187" i="15"/>
  <c r="T185" i="14"/>
  <c r="T187" i="14"/>
  <c r="T189" i="14"/>
  <c r="R203" i="14"/>
  <c r="T118" i="14"/>
  <c r="T130" i="14" s="1"/>
  <c r="T131" i="14" s="1"/>
  <c r="T172" i="26"/>
  <c r="T81" i="26"/>
  <c r="T173" i="26" s="1"/>
  <c r="T81" i="30"/>
  <c r="T174" i="30" s="1"/>
  <c r="T173" i="30"/>
  <c r="T186" i="6"/>
  <c r="T117" i="6"/>
  <c r="T129" i="6" s="1"/>
  <c r="T130" i="6" s="1"/>
  <c r="T188" i="6"/>
  <c r="T184" i="6"/>
  <c r="R202" i="6"/>
  <c r="T172" i="16"/>
  <c r="T82" i="11"/>
  <c r="T173" i="11" s="1"/>
  <c r="T81" i="24"/>
  <c r="T173" i="24" s="1"/>
  <c r="T172" i="24"/>
  <c r="S235" i="34"/>
  <c r="S242" i="34" s="1"/>
  <c r="T188" i="34"/>
  <c r="R204" i="34"/>
  <c r="Q236" i="27"/>
  <c r="T188" i="18"/>
  <c r="S233" i="23"/>
  <c r="S236" i="23"/>
  <c r="S239" i="23"/>
  <c r="S231" i="1"/>
  <c r="S230" i="1"/>
  <c r="S228" i="1"/>
  <c r="S236" i="1"/>
  <c r="S242" i="1"/>
  <c r="T136" i="3"/>
  <c r="T50" i="3"/>
  <c r="S230" i="4"/>
  <c r="S236" i="4"/>
  <c r="S234" i="4"/>
  <c r="S232" i="4"/>
  <c r="Q231" i="6"/>
  <c r="Q233" i="6"/>
  <c r="Q234" i="6"/>
  <c r="Q213" i="7"/>
  <c r="Q243" i="7"/>
  <c r="Q245" i="7"/>
  <c r="Q247" i="7"/>
  <c r="Q249" i="7"/>
  <c r="Q249" i="10"/>
  <c r="Q248" i="10"/>
  <c r="Q253" i="10" s="1"/>
  <c r="R209" i="10"/>
  <c r="T66" i="10"/>
  <c r="T69" i="10" s="1"/>
  <c r="Q246" i="11"/>
  <c r="Q244" i="11"/>
  <c r="Q253" i="11" s="1"/>
  <c r="T173" i="37"/>
  <c r="T81" i="37"/>
  <c r="T174" i="37" s="1"/>
  <c r="S234" i="38"/>
  <c r="S239" i="38"/>
  <c r="S238" i="38"/>
  <c r="S237" i="38"/>
  <c r="S235" i="38"/>
  <c r="S236" i="38"/>
  <c r="S240" i="38"/>
  <c r="T186" i="38"/>
  <c r="T190" i="38"/>
  <c r="R204" i="38"/>
  <c r="T118" i="38"/>
  <c r="T130" i="38" s="1"/>
  <c r="T131" i="38" s="1"/>
  <c r="T188" i="38"/>
  <c r="Q237" i="1"/>
  <c r="Q241" i="1"/>
  <c r="Q238" i="1"/>
  <c r="Q209" i="1"/>
  <c r="Q240" i="1"/>
  <c r="R204" i="1"/>
  <c r="N69" i="1"/>
  <c r="T66" i="1"/>
  <c r="T69" i="1" s="1"/>
  <c r="Q230" i="4"/>
  <c r="Q235" i="4"/>
  <c r="Q231" i="4"/>
  <c r="S230" i="5"/>
  <c r="S237" i="5"/>
  <c r="S231" i="5"/>
  <c r="S232" i="5"/>
  <c r="S234" i="8"/>
  <c r="R266" i="8"/>
  <c r="S237" i="8"/>
  <c r="S235" i="8"/>
  <c r="Q245" i="8"/>
  <c r="Q250" i="8"/>
  <c r="Q243" i="8"/>
  <c r="Q249" i="8"/>
  <c r="T34" i="10"/>
  <c r="S249" i="11"/>
  <c r="S247" i="11"/>
  <c r="S246" i="11"/>
  <c r="T190" i="35"/>
  <c r="T118" i="35"/>
  <c r="T130" i="35" s="1"/>
  <c r="T131" i="35" s="1"/>
  <c r="S234" i="36"/>
  <c r="S236" i="36"/>
  <c r="S235" i="36"/>
  <c r="S237" i="36"/>
  <c r="R204" i="37"/>
  <c r="T81" i="39"/>
  <c r="T174" i="39" s="1"/>
  <c r="T173" i="39"/>
  <c r="R204" i="41"/>
  <c r="T190" i="41"/>
  <c r="T190" i="40"/>
  <c r="T188" i="40"/>
  <c r="R204" i="40"/>
  <c r="S251" i="40"/>
  <c r="S252" i="40"/>
  <c r="S249" i="40"/>
  <c r="S246" i="40"/>
  <c r="S247" i="40"/>
  <c r="S264" i="40"/>
  <c r="S262" i="40"/>
  <c r="S260" i="40"/>
  <c r="S258" i="40"/>
  <c r="S263" i="40"/>
  <c r="R215" i="40"/>
  <c r="S261" i="40"/>
  <c r="T49" i="41"/>
  <c r="R131" i="41"/>
  <c r="T138" i="41"/>
  <c r="T50" i="41"/>
  <c r="T190" i="42"/>
  <c r="T118" i="42"/>
  <c r="T130" i="42" s="1"/>
  <c r="T131" i="42" s="1"/>
  <c r="Q257" i="42"/>
  <c r="Q266" i="42" s="1"/>
  <c r="Q215" i="42"/>
  <c r="R210" i="42"/>
  <c r="T65" i="42"/>
  <c r="T68" i="42" s="1"/>
  <c r="T138" i="43"/>
  <c r="T50" i="43"/>
  <c r="T49" i="43"/>
  <c r="S236" i="43"/>
  <c r="S234" i="43"/>
  <c r="Q239" i="43"/>
  <c r="S252" i="43"/>
  <c r="S251" i="43"/>
  <c r="S250" i="43"/>
  <c r="S249" i="43"/>
  <c r="S248" i="43"/>
  <c r="S247" i="43"/>
  <c r="S246" i="43"/>
  <c r="S245" i="43"/>
  <c r="S264" i="43"/>
  <c r="R215" i="43"/>
  <c r="S257" i="43"/>
  <c r="S259" i="43"/>
  <c r="S261" i="43"/>
  <c r="S263" i="43"/>
  <c r="T138" i="44"/>
  <c r="T50" i="44"/>
  <c r="S236" i="44"/>
  <c r="S238" i="44"/>
  <c r="P280" i="44"/>
  <c r="Q252" i="44"/>
  <c r="Q251" i="44"/>
  <c r="Q250" i="44"/>
  <c r="Q249" i="44"/>
  <c r="Q248" i="44"/>
  <c r="Q247" i="44"/>
  <c r="Q246" i="44"/>
  <c r="T93" i="44"/>
  <c r="T97" i="44" s="1"/>
  <c r="T33" i="45"/>
  <c r="T41" i="45" s="1"/>
  <c r="R202" i="45" s="1"/>
  <c r="R203" i="45" s="1"/>
  <c r="Q233" i="46"/>
  <c r="Q235" i="46"/>
  <c r="Q236" i="46"/>
  <c r="Q237" i="46"/>
  <c r="Q240" i="46"/>
  <c r="T190" i="51"/>
  <c r="T188" i="51"/>
  <c r="R204" i="51"/>
  <c r="T118" i="51"/>
  <c r="T130" i="51" s="1"/>
  <c r="T131" i="51" s="1"/>
  <c r="T186" i="51"/>
  <c r="Q259" i="17"/>
  <c r="Q266" i="17" s="1"/>
  <c r="S258" i="22"/>
  <c r="Q249" i="24"/>
  <c r="Q253" i="24" s="1"/>
  <c r="R279" i="25"/>
  <c r="R214" i="26"/>
  <c r="S259" i="26"/>
  <c r="Q245" i="27"/>
  <c r="Q253" i="27" s="1"/>
  <c r="S246" i="27"/>
  <c r="S248" i="27"/>
  <c r="Q215" i="30"/>
  <c r="S257" i="30"/>
  <c r="S266" i="30" s="1"/>
  <c r="Q215" i="32"/>
  <c r="S258" i="32"/>
  <c r="S260" i="32"/>
  <c r="S262" i="32"/>
  <c r="T65" i="34"/>
  <c r="T68" i="34" s="1"/>
  <c r="Q246" i="34"/>
  <c r="N68" i="35"/>
  <c r="T65" i="35"/>
  <c r="T68" i="35" s="1"/>
  <c r="R280" i="35"/>
  <c r="S262" i="35"/>
  <c r="S258" i="35"/>
  <c r="Q264" i="35"/>
  <c r="Q262" i="35"/>
  <c r="Q258" i="35"/>
  <c r="P280" i="35"/>
  <c r="Q259" i="35"/>
  <c r="Q260" i="35"/>
  <c r="Q263" i="35"/>
  <c r="Q235" i="36"/>
  <c r="Q236" i="36"/>
  <c r="T50" i="36"/>
  <c r="T186" i="36"/>
  <c r="R280" i="36"/>
  <c r="Q250" i="37"/>
  <c r="Q246" i="37"/>
  <c r="S247" i="37"/>
  <c r="S249" i="37"/>
  <c r="S251" i="37"/>
  <c r="S245" i="37"/>
  <c r="Q251" i="37"/>
  <c r="Q245" i="37"/>
  <c r="S233" i="38"/>
  <c r="T50" i="38"/>
  <c r="S262" i="38"/>
  <c r="S258" i="38"/>
  <c r="Q263" i="38"/>
  <c r="Q257" i="38"/>
  <c r="S259" i="38"/>
  <c r="S261" i="38"/>
  <c r="P280" i="38"/>
  <c r="Q215" i="38"/>
  <c r="Q258" i="38"/>
  <c r="T131" i="39"/>
  <c r="T81" i="40"/>
  <c r="T174" i="40" s="1"/>
  <c r="T131" i="40"/>
  <c r="T186" i="40"/>
  <c r="R242" i="40"/>
  <c r="S257" i="40"/>
  <c r="R280" i="40"/>
  <c r="S248" i="40"/>
  <c r="Q252" i="40"/>
  <c r="Q245" i="40"/>
  <c r="Q249" i="40"/>
  <c r="P280" i="40"/>
  <c r="Q248" i="40"/>
  <c r="Q264" i="40"/>
  <c r="Q257" i="40"/>
  <c r="Q215" i="40"/>
  <c r="Q258" i="40"/>
  <c r="Q262" i="40"/>
  <c r="T167" i="41"/>
  <c r="S237" i="41"/>
  <c r="S238" i="41"/>
  <c r="S234" i="41"/>
  <c r="S240" i="41"/>
  <c r="P242" i="41"/>
  <c r="Q234" i="41" s="1"/>
  <c r="Q216" i="41"/>
  <c r="P280" i="41"/>
  <c r="N68" i="41"/>
  <c r="T65" i="41"/>
  <c r="T68" i="41" s="1"/>
  <c r="R204" i="42"/>
  <c r="T49" i="42"/>
  <c r="N68" i="42"/>
  <c r="R97" i="42"/>
  <c r="R216" i="42"/>
  <c r="S239" i="42"/>
  <c r="S237" i="42"/>
  <c r="S235" i="42"/>
  <c r="S233" i="42"/>
  <c r="Q234" i="42"/>
  <c r="P280" i="42"/>
  <c r="T173" i="43"/>
  <c r="S262" i="43"/>
  <c r="S258" i="43"/>
  <c r="Q264" i="43"/>
  <c r="Q261" i="43"/>
  <c r="Q257" i="43"/>
  <c r="Q258" i="43"/>
  <c r="Q262" i="43"/>
  <c r="R210" i="44"/>
  <c r="S233" i="44"/>
  <c r="P242" i="44"/>
  <c r="Q233" i="44" s="1"/>
  <c r="Q245" i="44"/>
  <c r="R280" i="44"/>
  <c r="T65" i="45"/>
  <c r="T68" i="45" s="1"/>
  <c r="R210" i="45"/>
  <c r="S239" i="45"/>
  <c r="S237" i="45"/>
  <c r="S235" i="45"/>
  <c r="S233" i="45"/>
  <c r="Q235" i="45"/>
  <c r="Q237" i="45"/>
  <c r="Q239" i="45"/>
  <c r="S252" i="45"/>
  <c r="S246" i="45"/>
  <c r="S248" i="45"/>
  <c r="S250" i="45"/>
  <c r="T97" i="46"/>
  <c r="R204" i="48"/>
  <c r="T186" i="48"/>
  <c r="T188" i="48"/>
  <c r="T190" i="48"/>
  <c r="T118" i="48"/>
  <c r="T118" i="49"/>
  <c r="R204" i="49"/>
  <c r="T130" i="49"/>
  <c r="T131" i="49" s="1"/>
  <c r="Q239" i="46"/>
  <c r="Q263" i="46"/>
  <c r="Q264" i="46"/>
  <c r="Q257" i="46"/>
  <c r="Q259" i="46"/>
  <c r="Q261" i="46"/>
  <c r="P280" i="46"/>
  <c r="T138" i="47"/>
  <c r="T50" i="47"/>
  <c r="T49" i="47"/>
  <c r="S240" i="47"/>
  <c r="P280" i="47"/>
  <c r="Q251" i="47"/>
  <c r="Q249" i="47"/>
  <c r="Q247" i="47"/>
  <c r="P242" i="48"/>
  <c r="Q234" i="48" s="1"/>
  <c r="Q257" i="48"/>
  <c r="Q261" i="48"/>
  <c r="Q258" i="48"/>
  <c r="Q262" i="48"/>
  <c r="T130" i="48"/>
  <c r="T131" i="48" s="1"/>
  <c r="Q239" i="49"/>
  <c r="Q240" i="49"/>
  <c r="Q233" i="49"/>
  <c r="Q235" i="49"/>
  <c r="Q237" i="49"/>
  <c r="S237" i="49"/>
  <c r="Q264" i="49"/>
  <c r="Q262" i="49"/>
  <c r="Q260" i="49"/>
  <c r="Q259" i="49"/>
  <c r="Q257" i="49"/>
  <c r="R204" i="50"/>
  <c r="P242" i="50"/>
  <c r="Q235" i="50" s="1"/>
  <c r="S252" i="50"/>
  <c r="S245" i="50"/>
  <c r="S247" i="50"/>
  <c r="S248" i="50"/>
  <c r="S250" i="50"/>
  <c r="P280" i="51"/>
  <c r="Q252" i="51"/>
  <c r="Q251" i="51"/>
  <c r="Q250" i="51"/>
  <c r="Q249" i="51"/>
  <c r="Q248" i="51"/>
  <c r="Q247" i="51"/>
  <c r="Q246" i="51"/>
  <c r="R220" i="53"/>
  <c r="T165" i="53"/>
  <c r="T167" i="53" s="1"/>
  <c r="R218" i="3"/>
  <c r="R218" i="4" s="1"/>
  <c r="R218" i="5" s="1"/>
  <c r="R219" i="6" s="1"/>
  <c r="R219" i="7" s="1"/>
  <c r="R219" i="8" s="1"/>
  <c r="R219" i="9" s="1"/>
  <c r="R220" i="10" s="1"/>
  <c r="R220" i="11" s="1"/>
  <c r="R220" i="12" s="1"/>
  <c r="R220" i="13" s="1"/>
  <c r="R220" i="14" s="1"/>
  <c r="R220" i="15" s="1"/>
  <c r="R220" i="16" s="1"/>
  <c r="R221" i="17" s="1"/>
  <c r="R221" i="18" s="1"/>
  <c r="R221" i="19" s="1"/>
  <c r="R220" i="20" s="1"/>
  <c r="R220" i="21" s="1"/>
  <c r="R220" i="22" s="1"/>
  <c r="R220" i="23" s="1"/>
  <c r="R220" i="24" s="1"/>
  <c r="R220" i="25" s="1"/>
  <c r="R220" i="26" s="1"/>
  <c r="R220" i="27" s="1"/>
  <c r="R220" i="28" s="1"/>
  <c r="R220" i="29" s="1"/>
  <c r="R221" i="30" s="1"/>
  <c r="R221" i="31" s="1"/>
  <c r="R221" i="32" s="1"/>
  <c r="R221" i="33" s="1"/>
  <c r="R221" i="34" s="1"/>
  <c r="R221" i="35" s="1"/>
  <c r="R221" i="36" s="1"/>
  <c r="R221" i="37" s="1"/>
  <c r="R221" i="38" s="1"/>
  <c r="R221" i="39" s="1"/>
  <c r="R221" i="40" s="1"/>
  <c r="R221" i="41" s="1"/>
  <c r="R221" i="42" s="1"/>
  <c r="R221" i="43" s="1"/>
  <c r="R221" i="44" s="1"/>
  <c r="R221" i="45" s="1"/>
  <c r="R221" i="46" s="1"/>
  <c r="R221" i="47" s="1"/>
  <c r="R221" i="48" s="1"/>
  <c r="R221" i="49" s="1"/>
  <c r="R221" i="50" s="1"/>
  <c r="R221" i="51" s="1"/>
  <c r="R221" i="52" s="1"/>
  <c r="R221" i="53" s="1"/>
  <c r="R221" i="54" s="1"/>
  <c r="R221" i="55" s="1"/>
  <c r="R224" i="56" s="1"/>
  <c r="T186" i="53"/>
  <c r="T131" i="53"/>
  <c r="P280" i="45"/>
  <c r="Q248" i="45"/>
  <c r="Q246" i="45"/>
  <c r="Q249" i="45"/>
  <c r="Q252" i="45"/>
  <c r="R216" i="45"/>
  <c r="R280" i="45"/>
  <c r="Q262" i="46"/>
  <c r="Q258" i="46"/>
  <c r="Q215" i="46"/>
  <c r="S263" i="46"/>
  <c r="R215" i="46"/>
  <c r="S260" i="46"/>
  <c r="S259" i="46"/>
  <c r="R280" i="46"/>
  <c r="R97" i="47"/>
  <c r="P242" i="47"/>
  <c r="Q233" i="47"/>
  <c r="Q245" i="47"/>
  <c r="Q248" i="47"/>
  <c r="Q252" i="47"/>
  <c r="S252" i="47"/>
  <c r="S245" i="47"/>
  <c r="S247" i="47"/>
  <c r="S249" i="47"/>
  <c r="S250" i="47"/>
  <c r="Q260" i="48"/>
  <c r="Q259" i="48"/>
  <c r="Q215" i="48"/>
  <c r="Q236" i="49"/>
  <c r="R210" i="48"/>
  <c r="N68" i="48"/>
  <c r="T65" i="48"/>
  <c r="T68" i="48" s="1"/>
  <c r="Q234" i="49"/>
  <c r="T165" i="49"/>
  <c r="T167" i="49" s="1"/>
  <c r="P280" i="49"/>
  <c r="Q263" i="49"/>
  <c r="S262" i="49"/>
  <c r="S257" i="49"/>
  <c r="S263" i="49"/>
  <c r="S264" i="49"/>
  <c r="S260" i="49"/>
  <c r="R280" i="49"/>
  <c r="S249" i="50"/>
  <c r="S246" i="50"/>
  <c r="P280" i="50"/>
  <c r="Q251" i="50"/>
  <c r="Q249" i="50"/>
  <c r="Q247" i="50"/>
  <c r="Q245" i="50"/>
  <c r="R210" i="50"/>
  <c r="N68" i="50"/>
  <c r="T65" i="50"/>
  <c r="T68" i="50" s="1"/>
  <c r="T33" i="50"/>
  <c r="T41" i="50" s="1"/>
  <c r="R202" i="50" s="1"/>
  <c r="R203" i="50" s="1"/>
  <c r="R242" i="51"/>
  <c r="S237" i="51" s="1"/>
  <c r="T49" i="51"/>
  <c r="Q245" i="51"/>
  <c r="Q257" i="51"/>
  <c r="Q215" i="51"/>
  <c r="T81" i="52"/>
  <c r="T174" i="52" s="1"/>
  <c r="S237" i="52"/>
  <c r="S240" i="52"/>
  <c r="S252" i="52"/>
  <c r="S251" i="52"/>
  <c r="S250" i="52"/>
  <c r="S249" i="52"/>
  <c r="S248" i="52"/>
  <c r="S247" i="52"/>
  <c r="S246" i="52"/>
  <c r="S245" i="52"/>
  <c r="S254" i="52" s="1"/>
  <c r="R280" i="52"/>
  <c r="R204" i="53"/>
  <c r="T173" i="53"/>
  <c r="Q245" i="53"/>
  <c r="Q250" i="53"/>
  <c r="P280" i="53"/>
  <c r="S264" i="53"/>
  <c r="S263" i="53"/>
  <c r="S261" i="53"/>
  <c r="S259" i="53"/>
  <c r="S257" i="53"/>
  <c r="S262" i="53"/>
  <c r="S258" i="53"/>
  <c r="T49" i="52"/>
  <c r="P280" i="52"/>
  <c r="T49" i="53"/>
  <c r="R280" i="53"/>
  <c r="Q260" i="53"/>
  <c r="Q262" i="53"/>
  <c r="Q258" i="53"/>
  <c r="Q263" i="53"/>
  <c r="Q261" i="53"/>
  <c r="Q259" i="53"/>
  <c r="S248" i="53"/>
  <c r="S247" i="53"/>
  <c r="S249" i="53"/>
  <c r="S250" i="53"/>
  <c r="S240" i="53"/>
  <c r="S234" i="53"/>
  <c r="S239" i="53"/>
  <c r="S233" i="53"/>
  <c r="S252" i="53"/>
  <c r="Q252" i="53"/>
  <c r="Q248" i="53"/>
  <c r="P242" i="53"/>
  <c r="Q238" i="53" s="1"/>
  <c r="Q246" i="53"/>
  <c r="Q251" i="53"/>
  <c r="Q249" i="53"/>
  <c r="Q247" i="53"/>
  <c r="R204" i="43" l="1"/>
  <c r="T186" i="43"/>
  <c r="T190" i="43"/>
  <c r="T118" i="43"/>
  <c r="T130" i="43" s="1"/>
  <c r="T131" i="43" s="1"/>
  <c r="T188" i="43"/>
  <c r="T118" i="47"/>
  <c r="T130" i="47" s="1"/>
  <c r="T190" i="47"/>
  <c r="T188" i="47"/>
  <c r="R204" i="47"/>
  <c r="T186" i="47"/>
  <c r="T131" i="47"/>
  <c r="T172" i="27"/>
  <c r="T81" i="27"/>
  <c r="T173" i="27" s="1"/>
  <c r="S232" i="27"/>
  <c r="S237" i="27"/>
  <c r="S236" i="27"/>
  <c r="Q236" i="24"/>
  <c r="Q233" i="24"/>
  <c r="T81" i="21"/>
  <c r="T173" i="21" s="1"/>
  <c r="T172" i="21"/>
  <c r="Q266" i="51"/>
  <c r="T188" i="50"/>
  <c r="Q240" i="42"/>
  <c r="T118" i="36"/>
  <c r="T130" i="36" s="1"/>
  <c r="T131" i="36" s="1"/>
  <c r="S265" i="26"/>
  <c r="S265" i="22"/>
  <c r="T118" i="37"/>
  <c r="T130" i="37" s="1"/>
  <c r="T131" i="37" s="1"/>
  <c r="Q233" i="39"/>
  <c r="Q242" i="39" s="1"/>
  <c r="S237" i="29"/>
  <c r="T186" i="18"/>
  <c r="T183" i="5"/>
  <c r="S253" i="29"/>
  <c r="T82" i="9"/>
  <c r="T172" i="9" s="1"/>
  <c r="S242" i="17"/>
  <c r="S235" i="53"/>
  <c r="S242" i="53" s="1"/>
  <c r="S236" i="53"/>
  <c r="Q254" i="51"/>
  <c r="R131" i="47"/>
  <c r="T188" i="53"/>
  <c r="T118" i="50"/>
  <c r="T130" i="50" s="1"/>
  <c r="T131" i="50" s="1"/>
  <c r="S240" i="49"/>
  <c r="S233" i="49"/>
  <c r="S236" i="47"/>
  <c r="T188" i="49"/>
  <c r="T190" i="49"/>
  <c r="S237" i="43"/>
  <c r="Q238" i="42"/>
  <c r="R131" i="42"/>
  <c r="Q235" i="42"/>
  <c r="S266" i="40"/>
  <c r="S242" i="38"/>
  <c r="Q254" i="34"/>
  <c r="S234" i="44"/>
  <c r="Q235" i="43"/>
  <c r="S238" i="43"/>
  <c r="T186" i="41"/>
  <c r="T188" i="37"/>
  <c r="T190" i="37"/>
  <c r="S240" i="36"/>
  <c r="T186" i="35"/>
  <c r="T188" i="35"/>
  <c r="T173" i="38"/>
  <c r="T81" i="36"/>
  <c r="T174" i="36" s="1"/>
  <c r="T82" i="8"/>
  <c r="T172" i="8" s="1"/>
  <c r="S239" i="49"/>
  <c r="S254" i="44"/>
  <c r="Q238" i="39"/>
  <c r="Q237" i="39"/>
  <c r="S235" i="37"/>
  <c r="T81" i="32"/>
  <c r="T174" i="32" s="1"/>
  <c r="Q232" i="24"/>
  <c r="Q240" i="30"/>
  <c r="T189" i="27"/>
  <c r="R204" i="36"/>
  <c r="S238" i="25"/>
  <c r="S235" i="29"/>
  <c r="T118" i="18"/>
  <c r="T130" i="18" s="1"/>
  <c r="T131" i="18" s="1"/>
  <c r="R202" i="7"/>
  <c r="T116" i="5"/>
  <c r="T128" i="5" s="1"/>
  <c r="T129" i="5" s="1"/>
  <c r="Q241" i="11"/>
  <c r="Q232" i="23"/>
  <c r="S237" i="25"/>
  <c r="T187" i="27"/>
  <c r="Q239" i="23"/>
  <c r="Q234" i="23"/>
  <c r="Q235" i="23"/>
  <c r="Q178" i="2"/>
  <c r="T176" i="2"/>
  <c r="T170" i="4"/>
  <c r="T82" i="4"/>
  <c r="T171" i="4" s="1"/>
  <c r="S235" i="49"/>
  <c r="S238" i="47"/>
  <c r="Q238" i="43"/>
  <c r="Q241" i="27"/>
  <c r="Q235" i="24"/>
  <c r="S232" i="25"/>
  <c r="S241" i="25" s="1"/>
  <c r="T185" i="5"/>
  <c r="S253" i="14"/>
  <c r="S241" i="11"/>
  <c r="S242" i="30"/>
  <c r="Q233" i="53"/>
  <c r="S237" i="53"/>
  <c r="T190" i="53"/>
  <c r="T186" i="50"/>
  <c r="S238" i="49"/>
  <c r="S234" i="47"/>
  <c r="Q254" i="44"/>
  <c r="T173" i="44"/>
  <c r="S233" i="43"/>
  <c r="Q236" i="42"/>
  <c r="S233" i="36"/>
  <c r="S242" i="36" s="1"/>
  <c r="S240" i="44"/>
  <c r="Q240" i="43"/>
  <c r="Q234" i="43"/>
  <c r="S240" i="43"/>
  <c r="T118" i="41"/>
  <c r="T130" i="41" s="1"/>
  <c r="T131" i="41" s="1"/>
  <c r="S239" i="36"/>
  <c r="S266" i="50"/>
  <c r="R131" i="45"/>
  <c r="Q237" i="43"/>
  <c r="Q242" i="43" s="1"/>
  <c r="R131" i="37"/>
  <c r="Q254" i="43"/>
  <c r="Q236" i="39"/>
  <c r="R131" i="38"/>
  <c r="Q234" i="24"/>
  <c r="Q239" i="24"/>
  <c r="Q234" i="34"/>
  <c r="Q237" i="24"/>
  <c r="Q241" i="24" s="1"/>
  <c r="Q241" i="25"/>
  <c r="S233" i="27"/>
  <c r="S235" i="27"/>
  <c r="Q236" i="23"/>
  <c r="S238" i="27"/>
  <c r="Q242" i="19"/>
  <c r="Q254" i="48"/>
  <c r="Q266" i="45"/>
  <c r="S254" i="42"/>
  <c r="S266" i="17"/>
  <c r="Q253" i="23"/>
  <c r="S251" i="5"/>
  <c r="S236" i="20"/>
  <c r="T185" i="24"/>
  <c r="T189" i="24"/>
  <c r="Q235" i="31"/>
  <c r="Q242" i="31" s="1"/>
  <c r="Q239" i="31"/>
  <c r="Q233" i="31"/>
  <c r="Q237" i="31"/>
  <c r="S254" i="38"/>
  <c r="S254" i="19"/>
  <c r="S235" i="25"/>
  <c r="S233" i="25"/>
  <c r="S236" i="29"/>
  <c r="S239" i="29"/>
  <c r="S234" i="29"/>
  <c r="S233" i="29"/>
  <c r="S241" i="29" s="1"/>
  <c r="S253" i="27"/>
  <c r="S253" i="26"/>
  <c r="S253" i="28"/>
  <c r="S253" i="25"/>
  <c r="Q265" i="22"/>
  <c r="S242" i="33"/>
  <c r="S241" i="13"/>
  <c r="S236" i="50"/>
  <c r="S242" i="19"/>
  <c r="S253" i="13"/>
  <c r="Q266" i="33"/>
  <c r="Q251" i="2"/>
  <c r="Q251" i="5"/>
  <c r="T82" i="19"/>
  <c r="T174" i="19" s="1"/>
  <c r="T173" i="19"/>
  <c r="Q240" i="39"/>
  <c r="S266" i="46"/>
  <c r="Q233" i="48"/>
  <c r="Q235" i="52"/>
  <c r="Q233" i="52"/>
  <c r="T188" i="32"/>
  <c r="T186" i="32"/>
  <c r="R204" i="32"/>
  <c r="T190" i="32"/>
  <c r="T118" i="32"/>
  <c r="T130" i="32" s="1"/>
  <c r="T131" i="32" s="1"/>
  <c r="Q240" i="52"/>
  <c r="Q236" i="33"/>
  <c r="Q239" i="33"/>
  <c r="Q237" i="33"/>
  <c r="Q233" i="33"/>
  <c r="Q238" i="33"/>
  <c r="S234" i="21"/>
  <c r="S239" i="21"/>
  <c r="S232" i="21"/>
  <c r="S233" i="21"/>
  <c r="S237" i="21"/>
  <c r="S241" i="12"/>
  <c r="Q241" i="26"/>
  <c r="Q233" i="36"/>
  <c r="S266" i="42"/>
  <c r="Q241" i="10"/>
  <c r="T185" i="21"/>
  <c r="T117" i="21"/>
  <c r="T129" i="21" s="1"/>
  <c r="T130" i="21" s="1"/>
  <c r="Q265" i="16"/>
  <c r="Q234" i="33"/>
  <c r="S252" i="8"/>
  <c r="S252" i="9"/>
  <c r="Q237" i="48"/>
  <c r="S242" i="43"/>
  <c r="Q266" i="50"/>
  <c r="S240" i="50"/>
  <c r="S234" i="50"/>
  <c r="Q266" i="47"/>
  <c r="S240" i="46"/>
  <c r="Q239" i="40"/>
  <c r="S254" i="34"/>
  <c r="S240" i="35"/>
  <c r="Q239" i="36"/>
  <c r="R131" i="35"/>
  <c r="S265" i="23"/>
  <c r="Q242" i="17"/>
  <c r="T173" i="46"/>
  <c r="T81" i="46"/>
  <c r="T174" i="46" s="1"/>
  <c r="S237" i="23"/>
  <c r="S235" i="23"/>
  <c r="S234" i="23"/>
  <c r="S238" i="23"/>
  <c r="S232" i="23"/>
  <c r="S241" i="23" s="1"/>
  <c r="S266" i="31"/>
  <c r="Q237" i="21"/>
  <c r="Q238" i="21"/>
  <c r="Q235" i="20"/>
  <c r="Q239" i="20"/>
  <c r="Q238" i="20"/>
  <c r="Q234" i="20"/>
  <c r="Q237" i="20"/>
  <c r="Q233" i="20"/>
  <c r="Q239" i="3"/>
  <c r="Q240" i="50"/>
  <c r="S242" i="45"/>
  <c r="Q240" i="41"/>
  <c r="S266" i="45"/>
  <c r="Q266" i="36"/>
  <c r="Q235" i="40"/>
  <c r="Q242" i="37"/>
  <c r="S251" i="2"/>
  <c r="Q238" i="30"/>
  <c r="Q235" i="30"/>
  <c r="Q237" i="30"/>
  <c r="Q234" i="30"/>
  <c r="T183" i="3"/>
  <c r="T116" i="3"/>
  <c r="T128" i="3" s="1"/>
  <c r="T129" i="3" s="1"/>
  <c r="S254" i="35"/>
  <c r="T188" i="30"/>
  <c r="R204" i="30"/>
  <c r="T118" i="30"/>
  <c r="T130" i="30" s="1"/>
  <c r="T131" i="30" s="1"/>
  <c r="T190" i="30"/>
  <c r="T186" i="30"/>
  <c r="Q254" i="42"/>
  <c r="Q240" i="33"/>
  <c r="Q265" i="26"/>
  <c r="S235" i="21"/>
  <c r="S237" i="20"/>
  <c r="S235" i="20"/>
  <c r="S233" i="20"/>
  <c r="S239" i="20"/>
  <c r="S238" i="20"/>
  <c r="S234" i="20"/>
  <c r="T82" i="3"/>
  <c r="T171" i="3" s="1"/>
  <c r="T170" i="3"/>
  <c r="S254" i="31"/>
  <c r="Q266" i="53"/>
  <c r="Q254" i="45"/>
  <c r="Q233" i="50"/>
  <c r="S254" i="45"/>
  <c r="Q233" i="41"/>
  <c r="Q252" i="8"/>
  <c r="S233" i="47"/>
  <c r="S237" i="47"/>
  <c r="S266" i="52"/>
  <c r="S236" i="49"/>
  <c r="S237" i="46"/>
  <c r="S233" i="46"/>
  <c r="S235" i="46"/>
  <c r="S239" i="46"/>
  <c r="S242" i="37"/>
  <c r="T116" i="2"/>
  <c r="T128" i="2" s="1"/>
  <c r="T129" i="2" s="1"/>
  <c r="T183" i="2"/>
  <c r="R201" i="2"/>
  <c r="T187" i="2"/>
  <c r="T185" i="2"/>
  <c r="S254" i="51"/>
  <c r="Q236" i="28"/>
  <c r="Q234" i="22"/>
  <c r="Q232" i="22"/>
  <c r="Q237" i="22"/>
  <c r="Q238" i="22"/>
  <c r="Q236" i="22"/>
  <c r="Q235" i="22"/>
  <c r="Q254" i="50"/>
  <c r="S266" i="49"/>
  <c r="S234" i="46"/>
  <c r="S254" i="41"/>
  <c r="Q254" i="39"/>
  <c r="Q242" i="35"/>
  <c r="S240" i="39"/>
  <c r="S234" i="39"/>
  <c r="S236" i="39"/>
  <c r="S238" i="39"/>
  <c r="Q266" i="30"/>
  <c r="S233" i="35"/>
  <c r="S239" i="35"/>
  <c r="S237" i="35"/>
  <c r="S235" i="35"/>
  <c r="S236" i="35"/>
  <c r="T170" i="2"/>
  <c r="T82" i="2"/>
  <c r="T171" i="2" s="1"/>
  <c r="T81" i="20"/>
  <c r="T173" i="20" s="1"/>
  <c r="T172" i="20"/>
  <c r="Q241" i="29"/>
  <c r="S265" i="24"/>
  <c r="S234" i="24"/>
  <c r="S232" i="24"/>
  <c r="S239" i="24"/>
  <c r="S235" i="24"/>
  <c r="S236" i="24"/>
  <c r="S233" i="24"/>
  <c r="S238" i="24"/>
  <c r="S253" i="24"/>
  <c r="Q239" i="22"/>
  <c r="Q254" i="36"/>
  <c r="Q241" i="14"/>
  <c r="Q240" i="53"/>
  <c r="S266" i="53"/>
  <c r="Q237" i="50"/>
  <c r="S242" i="42"/>
  <c r="Q235" i="41"/>
  <c r="Q242" i="41" s="1"/>
  <c r="R193" i="1"/>
  <c r="R196" i="1"/>
  <c r="R197" i="1" s="1"/>
  <c r="R204" i="45"/>
  <c r="T188" i="45"/>
  <c r="T190" i="45"/>
  <c r="T186" i="45"/>
  <c r="T118" i="45"/>
  <c r="T130" i="45" s="1"/>
  <c r="T131" i="45" s="1"/>
  <c r="Q266" i="37"/>
  <c r="Q240" i="40"/>
  <c r="Q236" i="40"/>
  <c r="Q238" i="40"/>
  <c r="Q234" i="40"/>
  <c r="T187" i="28"/>
  <c r="T189" i="28"/>
  <c r="T185" i="28"/>
  <c r="R203" i="28"/>
  <c r="T117" i="28"/>
  <c r="T129" i="28" s="1"/>
  <c r="T130" i="28" s="1"/>
  <c r="Q254" i="35"/>
  <c r="S251" i="4"/>
  <c r="S241" i="22"/>
  <c r="S265" i="29"/>
  <c r="Q235" i="28"/>
  <c r="Q239" i="28"/>
  <c r="Q238" i="28"/>
  <c r="Q233" i="28"/>
  <c r="Q237" i="28"/>
  <c r="Q234" i="28"/>
  <c r="Q234" i="36"/>
  <c r="Q238" i="36"/>
  <c r="Q240" i="36"/>
  <c r="S242" i="41"/>
  <c r="Q254" i="40"/>
  <c r="S266" i="35"/>
  <c r="S254" i="40"/>
  <c r="S233" i="1"/>
  <c r="S234" i="52"/>
  <c r="S233" i="52"/>
  <c r="S239" i="52"/>
  <c r="S235" i="52"/>
  <c r="S238" i="52"/>
  <c r="S235" i="47"/>
  <c r="S237" i="50"/>
  <c r="S233" i="50"/>
  <c r="S239" i="50"/>
  <c r="S235" i="50"/>
  <c r="T81" i="49"/>
  <c r="T174" i="49" s="1"/>
  <c r="T173" i="49"/>
  <c r="Q254" i="46"/>
  <c r="S236" i="46"/>
  <c r="S239" i="44"/>
  <c r="S235" i="44"/>
  <c r="T190" i="34"/>
  <c r="T186" i="34"/>
  <c r="T118" i="34"/>
  <c r="T130" i="34" s="1"/>
  <c r="T131" i="34" s="1"/>
  <c r="Q237" i="40"/>
  <c r="Q237" i="42"/>
  <c r="Q242" i="38"/>
  <c r="T190" i="31"/>
  <c r="T188" i="31"/>
  <c r="T186" i="31"/>
  <c r="T118" i="31"/>
  <c r="T130" i="31" s="1"/>
  <c r="T131" i="31" s="1"/>
  <c r="R204" i="31"/>
  <c r="S237" i="39"/>
  <c r="S238" i="35"/>
  <c r="Q233" i="42"/>
  <c r="Q242" i="32"/>
  <c r="T82" i="5"/>
  <c r="T171" i="5" s="1"/>
  <c r="T170" i="5"/>
  <c r="Q235" i="34"/>
  <c r="Q239" i="34"/>
  <c r="Q233" i="34"/>
  <c r="Q236" i="34"/>
  <c r="Q240" i="34"/>
  <c r="Q237" i="34"/>
  <c r="Q253" i="28"/>
  <c r="Q233" i="22"/>
  <c r="S242" i="31"/>
  <c r="R204" i="52"/>
  <c r="T186" i="52"/>
  <c r="T118" i="52"/>
  <c r="T130" i="52" s="1"/>
  <c r="T131" i="52" s="1"/>
  <c r="T188" i="52"/>
  <c r="T190" i="52"/>
  <c r="Q235" i="53"/>
  <c r="S254" i="53"/>
  <c r="T81" i="50"/>
  <c r="T174" i="50" s="1"/>
  <c r="T173" i="50"/>
  <c r="S254" i="47"/>
  <c r="Q254" i="47"/>
  <c r="Q235" i="47"/>
  <c r="Q236" i="47"/>
  <c r="Q238" i="47"/>
  <c r="Q239" i="47"/>
  <c r="Q234" i="47"/>
  <c r="Q237" i="47"/>
  <c r="Q240" i="47"/>
  <c r="S239" i="51"/>
  <c r="S235" i="51"/>
  <c r="S233" i="51"/>
  <c r="S254" i="50"/>
  <c r="Q238" i="50"/>
  <c r="Q234" i="50"/>
  <c r="S242" i="49"/>
  <c r="Q242" i="49"/>
  <c r="Q236" i="48"/>
  <c r="Q235" i="48"/>
  <c r="Q239" i="48"/>
  <c r="S236" i="51"/>
  <c r="Q240" i="48"/>
  <c r="R204" i="46"/>
  <c r="T186" i="46"/>
  <c r="T188" i="46"/>
  <c r="T118" i="46"/>
  <c r="T130" i="46" s="1"/>
  <c r="T131" i="46" s="1"/>
  <c r="T190" i="46"/>
  <c r="Q242" i="45"/>
  <c r="Q266" i="43"/>
  <c r="Q242" i="42"/>
  <c r="T173" i="41"/>
  <c r="T81" i="41"/>
  <c r="T174" i="41" s="1"/>
  <c r="Q239" i="41"/>
  <c r="Q237" i="41"/>
  <c r="Q238" i="41"/>
  <c r="Q236" i="41"/>
  <c r="Q266" i="40"/>
  <c r="S239" i="40"/>
  <c r="S238" i="40"/>
  <c r="Q266" i="38"/>
  <c r="S266" i="38"/>
  <c r="Q254" i="37"/>
  <c r="S254" i="37"/>
  <c r="Q266" i="35"/>
  <c r="T81" i="35"/>
  <c r="T174" i="35" s="1"/>
  <c r="T173" i="35"/>
  <c r="S266" i="32"/>
  <c r="Q236" i="50"/>
  <c r="S254" i="43"/>
  <c r="T173" i="42"/>
  <c r="T81" i="42"/>
  <c r="T174" i="42" s="1"/>
  <c r="S240" i="40"/>
  <c r="S236" i="40"/>
  <c r="S234" i="40"/>
  <c r="S253" i="11"/>
  <c r="Q239" i="4"/>
  <c r="Q245" i="1"/>
  <c r="Q252" i="7"/>
  <c r="Q240" i="6"/>
  <c r="S239" i="4"/>
  <c r="S245" i="1"/>
  <c r="T81" i="48"/>
  <c r="T174" i="48" s="1"/>
  <c r="T173" i="48"/>
  <c r="S240" i="51"/>
  <c r="S238" i="51"/>
  <c r="S234" i="51"/>
  <c r="Q266" i="49"/>
  <c r="Q266" i="48"/>
  <c r="Q266" i="46"/>
  <c r="Q238" i="48"/>
  <c r="T81" i="45"/>
  <c r="T174" i="45" s="1"/>
  <c r="T173" i="45"/>
  <c r="Q239" i="44"/>
  <c r="Q237" i="44"/>
  <c r="Q235" i="44"/>
  <c r="Q240" i="44"/>
  <c r="Q236" i="44"/>
  <c r="Q238" i="44"/>
  <c r="Q234" i="44"/>
  <c r="T81" i="34"/>
  <c r="T174" i="34" s="1"/>
  <c r="T173" i="34"/>
  <c r="Q239" i="50"/>
  <c r="Q242" i="50" s="1"/>
  <c r="Q242" i="46"/>
  <c r="R204" i="44"/>
  <c r="T186" i="44"/>
  <c r="T188" i="44"/>
  <c r="T118" i="44"/>
  <c r="T130" i="44" s="1"/>
  <c r="T131" i="44" s="1"/>
  <c r="T190" i="44"/>
  <c r="S266" i="43"/>
  <c r="S237" i="40"/>
  <c r="S233" i="40"/>
  <c r="S235" i="40"/>
  <c r="S240" i="8"/>
  <c r="S239" i="5"/>
  <c r="T167" i="1"/>
  <c r="T82" i="1"/>
  <c r="T168" i="1" s="1"/>
  <c r="T82" i="10"/>
  <c r="T173" i="10" s="1"/>
  <c r="T172" i="10"/>
  <c r="Q239" i="53"/>
  <c r="Q237" i="53"/>
  <c r="Q234" i="53"/>
  <c r="Q236" i="53"/>
  <c r="Q254" i="53"/>
  <c r="Q176" i="3" l="1"/>
  <c r="Q179" i="2"/>
  <c r="T178" i="2"/>
  <c r="S242" i="47"/>
  <c r="S241" i="20"/>
  <c r="Q241" i="21"/>
  <c r="S241" i="27"/>
  <c r="R199" i="55"/>
  <c r="R200" i="55" s="1"/>
  <c r="R202" i="56"/>
  <c r="R203" i="56" s="1"/>
  <c r="Q242" i="30"/>
  <c r="Q241" i="20"/>
  <c r="Q241" i="23"/>
  <c r="Q242" i="47"/>
  <c r="S241" i="21"/>
  <c r="Q242" i="33"/>
  <c r="Q242" i="52"/>
  <c r="Q242" i="53"/>
  <c r="Q242" i="36"/>
  <c r="S242" i="52"/>
  <c r="Q242" i="48"/>
  <c r="S242" i="39"/>
  <c r="S242" i="44"/>
  <c r="S242" i="50"/>
  <c r="Q241" i="28"/>
  <c r="S242" i="40"/>
  <c r="Q242" i="44"/>
  <c r="R199" i="54"/>
  <c r="R200" i="54" s="1"/>
  <c r="R199" i="50"/>
  <c r="R200" i="50" s="1"/>
  <c r="R199" i="51"/>
  <c r="R200" i="51" s="1"/>
  <c r="R199" i="49"/>
  <c r="R200" i="49" s="1"/>
  <c r="R199" i="44"/>
  <c r="R200" i="44" s="1"/>
  <c r="R198" i="16"/>
  <c r="R199" i="16" s="1"/>
  <c r="R198" i="28"/>
  <c r="R199" i="28" s="1"/>
  <c r="R199" i="32"/>
  <c r="R200" i="32" s="1"/>
  <c r="R198" i="27"/>
  <c r="R199" i="27" s="1"/>
  <c r="R199" i="41"/>
  <c r="R200" i="41" s="1"/>
  <c r="R199" i="37"/>
  <c r="R200" i="37" s="1"/>
  <c r="R199" i="43"/>
  <c r="R200" i="43" s="1"/>
  <c r="R199" i="39"/>
  <c r="R200" i="39" s="1"/>
  <c r="R198" i="22"/>
  <c r="R199" i="22" s="1"/>
  <c r="R198" i="13"/>
  <c r="R199" i="13" s="1"/>
  <c r="R198" i="20"/>
  <c r="R199" i="20" s="1"/>
  <c r="R198" i="14"/>
  <c r="R199" i="14" s="1"/>
  <c r="R196" i="4"/>
  <c r="R197" i="4" s="1"/>
  <c r="R199" i="18"/>
  <c r="R200" i="18" s="1"/>
  <c r="R197" i="8"/>
  <c r="R198" i="8" s="1"/>
  <c r="R198" i="21"/>
  <c r="R199" i="21" s="1"/>
  <c r="R198" i="25"/>
  <c r="R199" i="25" s="1"/>
  <c r="R198" i="23"/>
  <c r="R199" i="23" s="1"/>
  <c r="R199" i="19"/>
  <c r="R200" i="19" s="1"/>
  <c r="R198" i="10"/>
  <c r="R199" i="10" s="1"/>
  <c r="R199" i="35"/>
  <c r="R200" i="35" s="1"/>
  <c r="R199" i="38"/>
  <c r="R200" i="38" s="1"/>
  <c r="R199" i="34"/>
  <c r="R200" i="34" s="1"/>
  <c r="R199" i="36"/>
  <c r="R200" i="36" s="1"/>
  <c r="R199" i="31"/>
  <c r="R200" i="31" s="1"/>
  <c r="R199" i="33"/>
  <c r="R200" i="33" s="1"/>
  <c r="R199" i="45"/>
  <c r="R200" i="45" s="1"/>
  <c r="R199" i="40"/>
  <c r="R200" i="40" s="1"/>
  <c r="R197" i="6"/>
  <c r="R198" i="6" s="1"/>
  <c r="R198" i="24"/>
  <c r="R199" i="24" s="1"/>
  <c r="R199" i="17"/>
  <c r="R200" i="17" s="1"/>
  <c r="R197" i="9"/>
  <c r="R198" i="9" s="1"/>
  <c r="R196" i="5"/>
  <c r="R197" i="5" s="1"/>
  <c r="R198" i="11"/>
  <c r="R199" i="11" s="1"/>
  <c r="R198" i="15"/>
  <c r="R199" i="15" s="1"/>
  <c r="R196" i="2"/>
  <c r="R197" i="2" s="1"/>
  <c r="R197" i="7"/>
  <c r="R198" i="7" s="1"/>
  <c r="R198" i="12"/>
  <c r="R199" i="12" s="1"/>
  <c r="R196" i="3"/>
  <c r="R197" i="3" s="1"/>
  <c r="R194" i="1"/>
  <c r="R198" i="26"/>
  <c r="R199" i="26" s="1"/>
  <c r="R198" i="29"/>
  <c r="R199" i="29" s="1"/>
  <c r="R199" i="30"/>
  <c r="R200" i="30" s="1"/>
  <c r="R199" i="42"/>
  <c r="R200" i="42" s="1"/>
  <c r="R199" i="47"/>
  <c r="R200" i="47" s="1"/>
  <c r="R199" i="53"/>
  <c r="R200" i="53" s="1"/>
  <c r="R199" i="46"/>
  <c r="R200" i="46" s="1"/>
  <c r="R199" i="52"/>
  <c r="R200" i="52" s="1"/>
  <c r="R199" i="48"/>
  <c r="R200" i="48" s="1"/>
  <c r="Q242" i="40"/>
  <c r="S241" i="24"/>
  <c r="S242" i="35"/>
  <c r="S242" i="46"/>
  <c r="Q242" i="34"/>
  <c r="Q241" i="22"/>
  <c r="S242" i="51"/>
  <c r="Q178" i="3" l="1"/>
  <c r="T176" i="3"/>
  <c r="Q176" i="4" l="1"/>
  <c r="Q179" i="3"/>
  <c r="T178" i="3"/>
  <c r="Q178" i="4" l="1"/>
  <c r="T176" i="4"/>
  <c r="Q176" i="5" l="1"/>
  <c r="T178" i="4"/>
  <c r="Q179" i="4"/>
  <c r="Q178" i="5" l="1"/>
  <c r="T176" i="5"/>
  <c r="Q177" i="6" l="1"/>
  <c r="Q179" i="5"/>
  <c r="T178" i="5"/>
  <c r="Q179" i="6" l="1"/>
  <c r="T177" i="6"/>
  <c r="Q177" i="7" l="1"/>
  <c r="Q180" i="6"/>
  <c r="T179" i="6"/>
  <c r="Q179" i="7" l="1"/>
  <c r="T177" i="7"/>
  <c r="Q177" i="8" l="1"/>
  <c r="T179" i="7"/>
  <c r="Q180" i="7"/>
  <c r="Q179" i="8" l="1"/>
  <c r="T177" i="8"/>
  <c r="Q177" i="9" l="1"/>
  <c r="Q180" i="8"/>
  <c r="T179" i="8"/>
  <c r="Q179" i="9" l="1"/>
  <c r="T177" i="9"/>
  <c r="Q178" i="10" l="1"/>
  <c r="T179" i="9"/>
  <c r="Q180" i="9"/>
  <c r="Q180" i="10" l="1"/>
  <c r="T178" i="10"/>
  <c r="Q178" i="11" l="1"/>
  <c r="Q181" i="10"/>
  <c r="T180" i="10"/>
  <c r="Q180" i="11" l="1"/>
  <c r="T178" i="11"/>
  <c r="Q178" i="12" l="1"/>
  <c r="Q181" i="11"/>
  <c r="T180" i="11"/>
  <c r="Q180" i="12" l="1"/>
  <c r="T178" i="12"/>
  <c r="Q178" i="13" l="1"/>
  <c r="T180" i="12"/>
  <c r="Q181" i="12"/>
  <c r="T178" i="13" l="1"/>
  <c r="Q180" i="13"/>
  <c r="Q181" i="13" l="1"/>
  <c r="T180" i="13"/>
  <c r="Q178" i="14"/>
  <c r="Q180" i="14" l="1"/>
  <c r="T178" i="14"/>
  <c r="Q178" i="15" l="1"/>
  <c r="T180" i="14"/>
  <c r="Q181" i="14"/>
  <c r="T178" i="15" l="1"/>
  <c r="Q180" i="15"/>
  <c r="Q178" i="16" l="1"/>
  <c r="T180" i="15"/>
  <c r="Q181" i="15"/>
  <c r="T178" i="16" l="1"/>
  <c r="Q180" i="16"/>
  <c r="Q179" i="17" l="1"/>
  <c r="T180" i="16"/>
  <c r="Q181" i="16"/>
  <c r="T179" i="17" l="1"/>
  <c r="Q181" i="17"/>
  <c r="Q179" i="18" l="1"/>
  <c r="T181" i="17"/>
  <c r="Q182" i="17"/>
  <c r="T179" i="18" l="1"/>
  <c r="Q181" i="18"/>
  <c r="Q179" i="19" l="1"/>
  <c r="T181" i="18"/>
  <c r="Q182" i="18"/>
  <c r="T179" i="19" l="1"/>
  <c r="Q181" i="19"/>
  <c r="Q178" i="20" l="1"/>
  <c r="T181" i="19"/>
  <c r="Q182" i="19"/>
  <c r="T178" i="20" l="1"/>
  <c r="Q180" i="20"/>
  <c r="Q178" i="21" l="1"/>
  <c r="Q181" i="20"/>
  <c r="T180" i="20"/>
  <c r="T178" i="21" l="1"/>
  <c r="Q180" i="21"/>
  <c r="Q181" i="21" l="1"/>
  <c r="T180" i="21"/>
  <c r="Q178" i="22"/>
  <c r="Q180" i="22" l="1"/>
  <c r="T178" i="22"/>
  <c r="Q178" i="23" l="1"/>
  <c r="T180" i="22"/>
  <c r="Q181" i="22"/>
  <c r="T178" i="23" l="1"/>
  <c r="Q180" i="23"/>
  <c r="Q178" i="24" l="1"/>
  <c r="Q181" i="23"/>
  <c r="T180" i="23"/>
  <c r="T178" i="24" l="1"/>
  <c r="Q180" i="24"/>
  <c r="Q178" i="25" l="1"/>
  <c r="Q181" i="24"/>
  <c r="T180" i="24"/>
  <c r="Q180" i="25" l="1"/>
  <c r="T178" i="25"/>
  <c r="Q178" i="26" l="1"/>
  <c r="Q181" i="25"/>
  <c r="T180" i="25"/>
  <c r="T178" i="26" l="1"/>
  <c r="Q180" i="26"/>
  <c r="Q178" i="27" l="1"/>
  <c r="Q181" i="26"/>
  <c r="T180" i="26"/>
  <c r="Q180" i="27" l="1"/>
  <c r="T178" i="27"/>
  <c r="Q178" i="28" l="1"/>
  <c r="T180" i="27"/>
  <c r="Q181" i="27"/>
  <c r="T178" i="28" l="1"/>
  <c r="Q180" i="28"/>
  <c r="Q178" i="29" l="1"/>
  <c r="Q181" i="28"/>
  <c r="T180" i="28"/>
  <c r="T178" i="29" l="1"/>
  <c r="Q180" i="29"/>
  <c r="Q179" i="30" l="1"/>
  <c r="T180" i="29"/>
  <c r="Q181" i="29"/>
  <c r="T179" i="30" l="1"/>
  <c r="Q181" i="30"/>
  <c r="Q179" i="31" l="1"/>
  <c r="T181" i="30"/>
  <c r="Q182" i="30"/>
  <c r="T179" i="31" l="1"/>
  <c r="Q181" i="31"/>
  <c r="Q179" i="32" l="1"/>
  <c r="T181" i="31"/>
  <c r="Q182" i="31"/>
  <c r="Q181" i="32" l="1"/>
  <c r="T179" i="32"/>
  <c r="Q179" i="33" l="1"/>
  <c r="T181" i="32"/>
  <c r="Q182" i="32"/>
  <c r="Q181" i="33" l="1"/>
  <c r="T179" i="33"/>
  <c r="Q179" i="34" l="1"/>
  <c r="Q182" i="33"/>
  <c r="T181" i="33"/>
  <c r="T179" i="34" l="1"/>
  <c r="Q181" i="34"/>
  <c r="Q179" i="35" l="1"/>
  <c r="T181" i="34"/>
  <c r="Q182" i="34"/>
  <c r="T179" i="35" l="1"/>
  <c r="Q181" i="35"/>
  <c r="Q179" i="36" l="1"/>
  <c r="T181" i="35"/>
  <c r="Q182" i="35"/>
  <c r="T179" i="36" l="1"/>
  <c r="Q181" i="36"/>
  <c r="Q179" i="37" l="1"/>
  <c r="Q182" i="36"/>
  <c r="T181" i="36"/>
  <c r="T179" i="37" l="1"/>
  <c r="Q181" i="37"/>
  <c r="Q179" i="38" l="1"/>
  <c r="Q182" i="37"/>
  <c r="T181" i="37"/>
  <c r="T179" i="38" l="1"/>
  <c r="Q181" i="38"/>
  <c r="Q179" i="39" l="1"/>
  <c r="Q182" i="38"/>
  <c r="T181" i="38"/>
  <c r="T179" i="39" l="1"/>
  <c r="Q181" i="39"/>
  <c r="Q179" i="40" l="1"/>
  <c r="T181" i="39"/>
  <c r="Q182" i="39"/>
  <c r="T179" i="40" l="1"/>
  <c r="Q181" i="40"/>
  <c r="Q179" i="41" l="1"/>
  <c r="Q182" i="40"/>
  <c r="T181" i="40"/>
  <c r="T179" i="41" l="1"/>
  <c r="Q181" i="41"/>
  <c r="Q179" i="42" l="1"/>
  <c r="T181" i="41"/>
  <c r="Q182" i="41"/>
  <c r="T179" i="42" l="1"/>
  <c r="Q181" i="42"/>
  <c r="Q179" i="43" l="1"/>
  <c r="T181" i="42"/>
  <c r="Q182" i="42"/>
  <c r="T179" i="43" l="1"/>
  <c r="Q181" i="43"/>
  <c r="Q179" i="44" l="1"/>
  <c r="T181" i="43"/>
  <c r="Q182" i="43"/>
  <c r="T179" i="44" l="1"/>
  <c r="Q181" i="44"/>
  <c r="Q179" i="45" l="1"/>
  <c r="Q182" i="44"/>
  <c r="T181" i="44"/>
  <c r="T179" i="45" l="1"/>
  <c r="Q181" i="45"/>
  <c r="Q179" i="46" l="1"/>
  <c r="Q182" i="45"/>
  <c r="T181" i="45"/>
  <c r="T179" i="46" l="1"/>
  <c r="Q181" i="46"/>
  <c r="Q179" i="47" l="1"/>
  <c r="Q182" i="46"/>
  <c r="T181" i="46"/>
  <c r="Q181" i="47" l="1"/>
  <c r="T179" i="47"/>
  <c r="Q182" i="47" l="1"/>
  <c r="T181" i="47"/>
  <c r="Q179" i="48"/>
  <c r="Q181" i="48" l="1"/>
  <c r="T179" i="48"/>
  <c r="Q182" i="48" l="1"/>
  <c r="Q179" i="49"/>
  <c r="T181" i="48"/>
  <c r="Q181" i="49" l="1"/>
  <c r="T179" i="49"/>
  <c r="Q182" i="49" l="1"/>
  <c r="T181" i="49"/>
  <c r="Q179" i="50"/>
  <c r="Q181" i="50" l="1"/>
  <c r="T179" i="50"/>
  <c r="Q179" i="51" l="1"/>
  <c r="Q182" i="50"/>
  <c r="T181" i="50"/>
  <c r="Q181" i="51" l="1"/>
  <c r="T179" i="51"/>
  <c r="Q182" i="51" l="1"/>
  <c r="Q179" i="52"/>
  <c r="T181" i="51"/>
  <c r="Q181" i="52" l="1"/>
  <c r="T179" i="52"/>
  <c r="T181" i="52" l="1"/>
  <c r="Q182" i="52"/>
  <c r="Q179" i="53"/>
  <c r="Q181" i="53" l="1"/>
  <c r="T179" i="53"/>
  <c r="Q182" i="53" l="1"/>
  <c r="T181" i="53"/>
  <c r="Q179" i="54"/>
  <c r="T179" i="54" l="1"/>
  <c r="Q181" i="54"/>
  <c r="Q179" i="55" l="1"/>
  <c r="T181" i="54"/>
  <c r="Q182" i="54"/>
  <c r="Q181" i="55" l="1"/>
  <c r="T179" i="55"/>
  <c r="Q182" i="56" l="1"/>
  <c r="Q182" i="55"/>
  <c r="T181" i="55"/>
  <c r="T182" i="56" l="1"/>
  <c r="Q184" i="56"/>
  <c r="Q185" i="56" l="1"/>
  <c r="T184" i="56"/>
</calcChain>
</file>

<file path=xl/sharedStrings.xml><?xml version="1.0" encoding="utf-8"?>
<sst xmlns="http://schemas.openxmlformats.org/spreadsheetml/2006/main" count="21749" uniqueCount="367">
  <si>
    <t>Summary Transaction  Features</t>
  </si>
  <si>
    <t>Name of Issuer</t>
  </si>
  <si>
    <t>Originator % at Closing</t>
  </si>
  <si>
    <t xml:space="preserve">Originator % at the Quarter End </t>
  </si>
  <si>
    <t>Date of Issue</t>
  </si>
  <si>
    <t>Date of Production</t>
  </si>
  <si>
    <t>Security Level Data</t>
  </si>
  <si>
    <t>Moody's Rating at Closing</t>
  </si>
  <si>
    <t>Standard &amp; Poor's Rating at Closing</t>
  </si>
  <si>
    <t>Current Moody's Rating</t>
  </si>
  <si>
    <t>Current Standard &amp; Poors Rating</t>
  </si>
  <si>
    <t>ISIN</t>
  </si>
  <si>
    <t xml:space="preserve">Note Interest Margins: </t>
  </si>
  <si>
    <t>Current Note Interest Rates:</t>
  </si>
  <si>
    <t>Previous Note Interest Rates:</t>
  </si>
  <si>
    <t>Optional Redemption (Call) Dates</t>
  </si>
  <si>
    <t>Step-up Dates</t>
  </si>
  <si>
    <t>Record Date</t>
  </si>
  <si>
    <t>Asset Movements</t>
  </si>
  <si>
    <t>Mortgages</t>
  </si>
  <si>
    <t>Current Principal Balance (£'000)</t>
  </si>
  <si>
    <t>Accrued Arrears and Interest Sold to Issuer (£'000)</t>
  </si>
  <si>
    <t>Total (£'000)</t>
  </si>
  <si>
    <t>Consumer Loans</t>
  </si>
  <si>
    <t>Credit Enhancement</t>
  </si>
  <si>
    <t>Spread Trap</t>
  </si>
  <si>
    <t>Unreplenished Losses on Mortgages</t>
  </si>
  <si>
    <t>Outstanding Note Principal</t>
  </si>
  <si>
    <t>Principal/Revenue Analysis</t>
  </si>
  <si>
    <t>Opening cash balance</t>
  </si>
  <si>
    <t xml:space="preserve">Total principal cash received this period from assets </t>
  </si>
  <si>
    <t>Total revenue cash received this period from assets</t>
  </si>
  <si>
    <t>Initial income for distribution this period</t>
  </si>
  <si>
    <t>Revenue adjustment for payment of Accrued Arrears and Interest Sold at closing</t>
  </si>
  <si>
    <t>Final income for distribution this period</t>
  </si>
  <si>
    <t>Revenue payments made or accrued from Revenue Income:</t>
  </si>
  <si>
    <t>Accrued Arrears and Interest not Sold to Issuer</t>
  </si>
  <si>
    <t>Trustee Fee</t>
  </si>
  <si>
    <t>Third Party payments for Corporation Tax and VAT</t>
  </si>
  <si>
    <t>Termination Fees to Swap Provider</t>
  </si>
  <si>
    <t>Cap/Swap Retention fund</t>
  </si>
  <si>
    <t>Principal payments made from Principal Income:</t>
  </si>
  <si>
    <t>Discretionary Further Advances</t>
  </si>
  <si>
    <t>Total payments to be made this quarter</t>
  </si>
  <si>
    <t>Total closing cash balance</t>
  </si>
  <si>
    <t>Available Credit Enhancement</t>
  </si>
  <si>
    <t>First Loss Fund Analysis</t>
  </si>
  <si>
    <t>First Loss Fund at Closing</t>
  </si>
  <si>
    <t>Last Quarter closing First Loss Fund balance</t>
  </si>
  <si>
    <t>PDL Replenishment</t>
  </si>
  <si>
    <t>Closing First Loss Fund Balance</t>
  </si>
  <si>
    <t>Requirement</t>
  </si>
  <si>
    <t>Build up - prior periods</t>
  </si>
  <si>
    <t>Build up - this period</t>
  </si>
  <si>
    <t>Requirement Outstanding</t>
  </si>
  <si>
    <t>Principal Deficiency Ledger (PDL)</t>
  </si>
  <si>
    <t>Opening PDL Balance</t>
  </si>
  <si>
    <t>Losses this quarter</t>
  </si>
  <si>
    <t>Total PDL balance</t>
  </si>
  <si>
    <t>Closing PDL Balance</t>
  </si>
  <si>
    <t>Over Collateralisation</t>
  </si>
  <si>
    <t>Current Principal Balance Outstanding and Accrued Arrears (£'000)</t>
  </si>
  <si>
    <t>Outstanding Note Principal (£'000)</t>
  </si>
  <si>
    <t>Mandatory and Discretionary Further Advances (FA's)</t>
  </si>
  <si>
    <t>Total FA's permitted</t>
  </si>
  <si>
    <t>FA's made to last quarter</t>
  </si>
  <si>
    <t>FA's made this quarter</t>
  </si>
  <si>
    <t>Total FA's made to date</t>
  </si>
  <si>
    <t>Remaining permitted FA's</t>
  </si>
  <si>
    <t xml:space="preserve">Cash Flow Interest Coverage </t>
  </si>
  <si>
    <t>Cover Ratio for Class A Notes (at last Interest Payment Date)</t>
  </si>
  <si>
    <t xml:space="preserve">Cover Ratio for Class A Notes (cumulative) </t>
  </si>
  <si>
    <t>Cover Ratio for Class B Notes (at last Interest Payment Date)</t>
  </si>
  <si>
    <t xml:space="preserve">Cover Ratio for Class B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</si>
  <si>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</si>
  <si>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</si>
  <si>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</si>
  <si>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</si>
  <si>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</si>
  <si>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</si>
  <si>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</si>
  <si>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</si>
  <si>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</si>
  <si>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</si>
  <si>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</si>
  <si>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</si>
  <si>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Aggregate Principal Balance of Repurchased Loans</t>
  </si>
  <si>
    <t>Aggregate Balance of Substituted Loans</t>
  </si>
  <si>
    <t>Principal Losses</t>
  </si>
  <si>
    <t>Agg Loan Principal Losses (during related Collection Period)</t>
  </si>
  <si>
    <t>Cumulative Principal Losses (since closing date)</t>
  </si>
  <si>
    <t>Properties Sold</t>
  </si>
  <si>
    <t>Average Number of months in Arrears @ Redemption date</t>
  </si>
  <si>
    <t>Average months between Possession &amp; Redemption</t>
  </si>
  <si>
    <t>Performing</t>
  </si>
  <si>
    <t>&gt;1&lt;=2 Months</t>
  </si>
  <si>
    <t>&gt;2&lt;=3 Months</t>
  </si>
  <si>
    <t>Contact Name/Address</t>
  </si>
  <si>
    <t>John Harvey, St. Catherines Court, Herbert Road, Solihull, West Midlands, B91 3QE</t>
  </si>
  <si>
    <t>Jimmy Giles, St. Catherines Court, Herbert Road, Solihull, West Midlands, B91 3QE</t>
  </si>
  <si>
    <t>As at Closing</t>
  </si>
  <si>
    <t>PDD =</t>
  </si>
  <si>
    <t>Last Quarter Balance</t>
  </si>
  <si>
    <t>Tel.</t>
  </si>
  <si>
    <t>This Quarter Redemptions and Repayments</t>
  </si>
  <si>
    <t>E-mail</t>
  </si>
  <si>
    <t>Additions this quarter</t>
  </si>
  <si>
    <t>DFA's</t>
  </si>
  <si>
    <t>No.</t>
  </si>
  <si>
    <t>%</t>
  </si>
  <si>
    <t>PML</t>
  </si>
  <si>
    <t>Senior/Subordinate</t>
  </si>
  <si>
    <t>Class A Notes</t>
  </si>
  <si>
    <t>Repurchases this quarter</t>
  </si>
  <si>
    <t>Principal (£'000)</t>
  </si>
  <si>
    <t>£'000 Value</t>
  </si>
  <si>
    <t>n/a</t>
  </si>
  <si>
    <t>£'000 Principal</t>
  </si>
  <si>
    <t>=</t>
  </si>
  <si>
    <t>years</t>
  </si>
  <si>
    <t>Quarterly</t>
  </si>
  <si>
    <t>Current Principal Outstanding</t>
  </si>
  <si>
    <t>Revenue (£'000)</t>
  </si>
  <si>
    <t>Total</t>
  </si>
  <si>
    <t>x</t>
  </si>
  <si>
    <t>Payments to Swap Counterparty</t>
  </si>
  <si>
    <t>Pre Funding Reserve</t>
  </si>
  <si>
    <t>N/A</t>
  </si>
  <si>
    <t>Note Step-Up Margins</t>
  </si>
  <si>
    <t>ACTUAL/360</t>
  </si>
  <si>
    <t>Previous Quarterly Interest Period (No. of Days)</t>
  </si>
  <si>
    <t>Current Quarterly Interest Period (No. of Days)</t>
  </si>
  <si>
    <t>A Note Interest / Currency Swap Interest</t>
  </si>
  <si>
    <t>B Note Interest / Currency Swap Interest</t>
  </si>
  <si>
    <t>First Loss Fund Replenishment</t>
  </si>
  <si>
    <t>Surplus income to the Issuer</t>
  </si>
  <si>
    <t>4 (a)</t>
  </si>
  <si>
    <t>4 (b)</t>
  </si>
  <si>
    <t>Replenishments from excess Revenue cash</t>
  </si>
  <si>
    <t>Current Pool Factor</t>
  </si>
  <si>
    <t>Previous Pool Factor</t>
  </si>
  <si>
    <t xml:space="preserve">Previous Outstanding Note Principal </t>
  </si>
  <si>
    <t>Original Issue Amount ('000)</t>
  </si>
  <si>
    <t xml:space="preserve">Current Outstanding Note Principal </t>
  </si>
  <si>
    <t>First Loss Fund Drawings</t>
  </si>
  <si>
    <t>Drawings this quarter to fund</t>
  </si>
  <si>
    <t>N.B. This data fact sheet and its notes can only be a summary of certain features of the bonds and their structure. No representation can be made that the information herein is accurate or complete and no liability is accepted therefor. Reference should be made to the issued</t>
  </si>
  <si>
    <t xml:space="preserve">information herein when making any decision whether to buy, hold or sell bonds (or other securities) or for any other purpose. </t>
  </si>
  <si>
    <t>documentation for a full description of the bonds and their structure. This data fact sheet and its notes are for information purposes only and are not intended as an offer or invitation with respect to the purchase or sale of any security. Reliance should not be placed on the</t>
  </si>
  <si>
    <t>MTL</t>
  </si>
  <si>
    <t>Aaa</t>
  </si>
  <si>
    <t>A2</t>
  </si>
  <si>
    <t>AAA</t>
  </si>
  <si>
    <t>A</t>
  </si>
  <si>
    <t>Class A and B Interest Payment Cycle</t>
  </si>
  <si>
    <t>Interest Payment Date</t>
  </si>
  <si>
    <t>Appointment of a Receiver of Rent</t>
  </si>
  <si>
    <t>Available Redemption Funds</t>
  </si>
  <si>
    <t>+44 (0) 121 712 2315</t>
  </si>
  <si>
    <t>+44 (0) 121 712 3894</t>
  </si>
  <si>
    <t>Senior Administration Fee to PFPLC and MTS/Substitute Administrators Commitment Fee</t>
  </si>
  <si>
    <t xml:space="preserve">Junior Administration Fee to PFPLC and MTS </t>
  </si>
  <si>
    <t>4 (c)</t>
  </si>
  <si>
    <t>4 (d)</t>
  </si>
  <si>
    <t>Original Weighted Average Note Coupon and Currency Swap Rate</t>
  </si>
  <si>
    <t>18 bp</t>
  </si>
  <si>
    <t>36 bp</t>
  </si>
  <si>
    <t>john.harvey@paragon-group.co.uk</t>
  </si>
  <si>
    <t>jimmy.giles@paragon-group.co.uk</t>
  </si>
  <si>
    <t>ACTUAL/365</t>
  </si>
  <si>
    <t>Facility at Closing</t>
  </si>
  <si>
    <t>&gt;3&lt;=4 Months</t>
  </si>
  <si>
    <t>&gt;4&lt;=5 Months</t>
  </si>
  <si>
    <t>&gt;5&lt;=6 Months</t>
  </si>
  <si>
    <t>&gt;6&lt;=12 Months</t>
  </si>
  <si>
    <t>&gt;12 Months</t>
  </si>
  <si>
    <t>Funding of MTL payment holidays</t>
  </si>
  <si>
    <t>Delinquency Summary (Excluding Receiver of Rent and Possession Cases)</t>
  </si>
  <si>
    <t>Delinquency Summary (For Receiver of Rent and Possession Cases)</t>
  </si>
  <si>
    <t>Delinquency Summary (For Possession Cases)</t>
  </si>
  <si>
    <t>Total Assets</t>
  </si>
  <si>
    <t>Paragon Mortgages (No.9) PLC</t>
  </si>
  <si>
    <t>This performance report is issued by Paragon Finance PLC for and on behalf of Paragon Mortgages (No.9) PLC</t>
  </si>
  <si>
    <t>PM9 PLC</t>
  </si>
  <si>
    <t>PM9 INVESTOR REPORT QUARTER ENDING OCTOBER 2005</t>
  </si>
  <si>
    <t>Class Aa Notes</t>
  </si>
  <si>
    <t>Class Ab Notes</t>
  </si>
  <si>
    <t>Class Ac Notes</t>
  </si>
  <si>
    <t>Class Ba Notes</t>
  </si>
  <si>
    <t>Class Bb Notes</t>
  </si>
  <si>
    <t>Class Ca Notes</t>
  </si>
  <si>
    <t>Class Cb Notes</t>
  </si>
  <si>
    <t>Aa3</t>
  </si>
  <si>
    <t>AA</t>
  </si>
  <si>
    <t>XS0224725423</t>
  </si>
  <si>
    <t>XS0224728286</t>
  </si>
  <si>
    <t>XS0224848852</t>
  </si>
  <si>
    <t>US69912RAA05</t>
  </si>
  <si>
    <t>XS0224729334</t>
  </si>
  <si>
    <t>XS0224730779</t>
  </si>
  <si>
    <t>XS0224731074</t>
  </si>
  <si>
    <t>XS0224731231</t>
  </si>
  <si>
    <t>29 bp</t>
  </si>
  <si>
    <t>52 bp</t>
  </si>
  <si>
    <t>58 bp</t>
  </si>
  <si>
    <t>104 bp</t>
  </si>
  <si>
    <t xml:space="preserve">FOR FURTHER ASSISTANCE ON THE INVESTOR REPORTS, PLEASE REFER TO THE "INVESTOR TERMS" POSTED ON THE PARAGON WEBSITE   </t>
  </si>
  <si>
    <t>http://www.paragon-group.co.uk</t>
  </si>
  <si>
    <t xml:space="preserve">FOR ADDITIONAL INFORMATION ON THE UNDERLYING ASSETS, PLEASE REFER TO THE "POOL TABLES" AND "SUMMARY" SECTIONS POSTED ON THE PARAGON WEBSITE  </t>
  </si>
  <si>
    <t>38 bp</t>
  </si>
  <si>
    <t>41 bp</t>
  </si>
  <si>
    <t>64bp</t>
  </si>
  <si>
    <t>113 bp</t>
  </si>
  <si>
    <t>Class Ab, Ac, Bb and Cb Interest Calculated on</t>
  </si>
  <si>
    <t>19 bp</t>
  </si>
  <si>
    <t>20 bp</t>
  </si>
  <si>
    <t>32 bp</t>
  </si>
  <si>
    <t>56 bp</t>
  </si>
  <si>
    <t>Aa Note Interest</t>
  </si>
  <si>
    <t>Ab Swap Currency Interest</t>
  </si>
  <si>
    <t>Ba Note Interest</t>
  </si>
  <si>
    <t>Bb Swap Currency Interst</t>
  </si>
  <si>
    <t>Ca Note Interest</t>
  </si>
  <si>
    <t>Cb Swap Currency Interest</t>
  </si>
  <si>
    <t>Class B and C Notes as a percentage Class A Notes at issue</t>
  </si>
  <si>
    <t>Outstanding Class B and C Notes as a percentage of Outstanding Class A Notes</t>
  </si>
  <si>
    <t>Determination Event for Paying Class B and C Notes</t>
  </si>
  <si>
    <t>Class Aa,  Ba and Ca Interest Calculated on</t>
  </si>
  <si>
    <t>Drawings used to fund Mandatory Further Advances during the period</t>
  </si>
  <si>
    <t>PML Mandatory Further Advances</t>
  </si>
  <si>
    <t>MTL Mandatory Further Advances</t>
  </si>
  <si>
    <t>Replenishments from drawings on the PM9/PLF2/MTS Subordinated Loan</t>
  </si>
  <si>
    <t>C Note Interest / Currency Swap Interest</t>
  </si>
  <si>
    <t>Drawing on the PFPLC/MTS/PM9 Subordinated Loan for Interest Shortfalls</t>
  </si>
  <si>
    <t>MFA's (PML)</t>
  </si>
  <si>
    <t>Aa Note repayment</t>
  </si>
  <si>
    <t>Ab Swap Currency repayment</t>
  </si>
  <si>
    <t>Ba Note repayment</t>
  </si>
  <si>
    <t>Bb Swap Currency repayment</t>
  </si>
  <si>
    <t>Ca Note repayment</t>
  </si>
  <si>
    <t>Cb Swap Currency repayment</t>
  </si>
  <si>
    <t>Ac Swap Currency repayment</t>
  </si>
  <si>
    <t>Ac Swap Currency Interest</t>
  </si>
  <si>
    <t>Cover Ratio for Class C Notes (at last Interest Payment Date)</t>
  </si>
  <si>
    <t xml:space="preserve">Cover Ratio for Class C Notes (cumulative) </t>
  </si>
  <si>
    <t>5 (a)</t>
  </si>
  <si>
    <t>5 (b)</t>
  </si>
  <si>
    <t>6 (a)</t>
  </si>
  <si>
    <t>6 (b)</t>
  </si>
  <si>
    <t>Stated Maturity - Class A Notes</t>
  </si>
  <si>
    <t>Stated Maturity - Class B Notes</t>
  </si>
  <si>
    <t>Stated Maturity - Class C Notes</t>
  </si>
  <si>
    <t>4 (e)</t>
  </si>
  <si>
    <t>PM9 INVESTOR REPORT QUARTER ENDING JANUARY 2006</t>
  </si>
  <si>
    <t>Quarterly Interest Income</t>
  </si>
  <si>
    <t>Redemption Income</t>
  </si>
  <si>
    <t>Investment Income</t>
  </si>
  <si>
    <t>Current Weighted Average Note Coupon and Currency Swap Rate</t>
  </si>
  <si>
    <t>Receiver of Rent Properties Sold</t>
  </si>
  <si>
    <t>Average Number of months in Arrears @ Sale date</t>
  </si>
  <si>
    <t>Facility at the previous quarter end</t>
  </si>
  <si>
    <t>PM9 INVESTOR REPORT QUARTER ENDING APRIL 2006</t>
  </si>
  <si>
    <t>PM9 INVESTOR REPORT QUARTER ENDING JULY 2006</t>
  </si>
  <si>
    <t xml:space="preserve"> </t>
  </si>
  <si>
    <t>Flexible Drawing Facilty</t>
  </si>
  <si>
    <t>PM9 INVESTOR REPORT QUARTER ENDING OCTOBER 2006</t>
  </si>
  <si>
    <t>Closing Flexible Drawing Facility Balance</t>
  </si>
  <si>
    <t>Payments of the Flexible Drawing Facility Provider's commitment Fee and interest</t>
  </si>
  <si>
    <t>Total Income as a % of the Total Assets</t>
  </si>
  <si>
    <t>PM9 INVESTOR REPORT QUARTER ENDING JANUARY 2007</t>
  </si>
  <si>
    <t>Swap receipts</t>
  </si>
  <si>
    <t>PM9 INVESTOR REPORT QUARTER ENDING APRIL 2007</t>
  </si>
  <si>
    <t>PM9 INVESTOR REPORT QUARTER ENDING JULY 2007</t>
  </si>
  <si>
    <t>Andrew Kitching, St. Catherines Court, Herbert Road, Solihull, West Midlands, B91 3QE</t>
  </si>
  <si>
    <t>+44 (0) 121 712 3896</t>
  </si>
  <si>
    <t>andrew.kitching@paragon-group.co.uk</t>
  </si>
  <si>
    <t>PM9 INVESTOR REPORT QUARTER ENDING OCTOBER 2007</t>
  </si>
  <si>
    <t>PM9 INVESTOR REPORT QUARTER ENDING JANUARY 2008</t>
  </si>
  <si>
    <t>Accrual from Revenue for potential Losses</t>
  </si>
  <si>
    <t>Delinquency Summary (For Receiver of Rent Cases)</t>
  </si>
  <si>
    <t>PM9 INVESTOR REPORT QUARTER ENDING APRIL 2008</t>
  </si>
  <si>
    <t>PM9 INVESTOR REPORT QUARTER ENDING JULY 2008</t>
  </si>
  <si>
    <t>PM9 INVESTOR REPORT QUARTER ENDING OCTOBER 2008</t>
  </si>
  <si>
    <t>PM9 INVESTOR REPORT QUARTER ENDING JANUARY 2009</t>
  </si>
  <si>
    <t xml:space="preserve">or the IPD falling  in August 2010, whichever is the later </t>
  </si>
  <si>
    <t>PM9 INVESTOR REPORT QUARTER ENDING APRIL 2009</t>
  </si>
  <si>
    <t>Properties Sold by Mortgagee - Outstanding Pricnipal Balance</t>
  </si>
  <si>
    <t>PM9 INVESTOR REPORT QUARTER ENDING JULY 2009</t>
  </si>
  <si>
    <t>Possession Properties Sold</t>
  </si>
  <si>
    <t>Original GBP Equivalent Note Principal</t>
  </si>
  <si>
    <t>Previous GBP Equivalent Note Principal</t>
  </si>
  <si>
    <t>Current GBP Equivalent Note Principal</t>
  </si>
  <si>
    <t>GBP Note Margin</t>
  </si>
  <si>
    <t>Current GBP Interest Rates</t>
  </si>
  <si>
    <t>Previous GBP Interest Rates</t>
  </si>
  <si>
    <t>GBP Step -Up Margins</t>
  </si>
  <si>
    <t>PM9 INVESTOR REPORT QUARTER ENDING OCTOBER 2009</t>
  </si>
  <si>
    <t>PM9 INVESTOR REPORT QUARTER ENDING JANUARY 2010</t>
  </si>
  <si>
    <t>Closing Flexible Drawing Facility Balance (with effect from 16th November 2009)</t>
  </si>
  <si>
    <t>PM9 INVESTOR REPORT QUARTER ENDING APRIL 2010</t>
  </si>
  <si>
    <t xml:space="preserve">Closing Flexible Drawing Facility Balance </t>
  </si>
  <si>
    <t>PM9 INVESTOR REPORT QUARTER ENDING JULY 2010</t>
  </si>
  <si>
    <t>Delinquency Summary</t>
  </si>
  <si>
    <t>PM9 INVESTOR REPORT QUARTER ENDING OCTOBER 2010</t>
  </si>
  <si>
    <t>PM9 INVESTOR REPORT QUARTER ENDING JANUARY 2011</t>
  </si>
  <si>
    <t>PM9 INVESTOR REPORT QUARTER ENDING APRIL 2011</t>
  </si>
  <si>
    <t>PM9 INVESTOR REPORT QUARTER ENDING JULY 2011</t>
  </si>
  <si>
    <t>AA-</t>
  </si>
  <si>
    <t>PM9 INVESTOR REPORT QUARTER ENDING OCTOBER 2011</t>
  </si>
  <si>
    <t>PDL replenishment (-) from Revenue income / Recovery (+) to Revenue income</t>
  </si>
  <si>
    <t>PM9 INVESTOR REPORT QUARTER ENDING JANUARY 2012</t>
  </si>
  <si>
    <t>PM9 INVESTOR REPORT QUARTER ENDING APRIL 2012</t>
  </si>
  <si>
    <t>A+</t>
  </si>
  <si>
    <t>PM9 INVESTOR REPORT QUARTER ENDING JULY 2012</t>
  </si>
  <si>
    <t>BBB+</t>
  </si>
  <si>
    <t>PM9 INVESTOR REPORT QUARTER ENDING OCTOBER 2012</t>
  </si>
  <si>
    <t>PM9 INVESTOR REPORT QUARTER ENDING JANUARY 2013</t>
  </si>
  <si>
    <t>Trustee Fee/ Costs and expenses claimed by the Substitute Administrator</t>
  </si>
  <si>
    <t>Unsecured claimants in an amount not exceeding the "Prescribed Part" in The Insolvency Act (Prescribed Part) Order 2003 (as amended from time to time)</t>
  </si>
  <si>
    <t>Senior Administration Fee to PFPLC and MTS/ Out of pocket expenses/ Substitute Administrator Commitment Fee/ Substitute Administrator Facilitator Fee/ Surveillance Fees to Rating Agencies</t>
  </si>
  <si>
    <t>PM9 INVESTOR REPORT QUARTER ENDING APRIL 2013</t>
  </si>
  <si>
    <t>PM9 INVESTOR REPORT QUARTER ENDING JULY 2013</t>
  </si>
  <si>
    <t>John Harvey, 51 Homer Road, Solihull, West Midlands, B91 3QJ</t>
  </si>
  <si>
    <t>Andrew Kitching, 51 Homer Road, Solihull, West Midlands, B91 3QJ</t>
  </si>
  <si>
    <t>Jimmy Giles, 51 Homer Road, Solihull, West Midlands, B91 3QJ</t>
  </si>
  <si>
    <t>PM9 INVESTOR REPORT QUARTER ENDING OCTOBER 2013</t>
  </si>
  <si>
    <t>PM9 INVESTOR REPORT QUARTER ENDING JANUARY 2014</t>
  </si>
  <si>
    <t>Closing Flexible Drawing Facility balance (with effect from 18th February 2014)</t>
  </si>
  <si>
    <t>PM9 INVESTOR REPORT QUARTER ENDING APRIL 2014</t>
  </si>
  <si>
    <t>Aa1</t>
  </si>
  <si>
    <t>A1</t>
  </si>
  <si>
    <t>PM9 INVESTOR REPORT QUARTER ENDING JULY 2014</t>
  </si>
  <si>
    <t>PM9 INVESTOR REPORT QUARTER ENDING OCTOBER 2014</t>
  </si>
  <si>
    <t>PM9 INVESTOR REPORT QUARTER ENDING JANUARY 2015</t>
  </si>
  <si>
    <t>Aa2</t>
  </si>
  <si>
    <t>Baa2</t>
  </si>
  <si>
    <t>Baa3</t>
  </si>
  <si>
    <t>PM9 INVESTOR REPORT QUARTER ENDING APRIL 2015</t>
  </si>
  <si>
    <t>PM9 INVESTOR REPORT QUARTER ENDING JULY 2015</t>
  </si>
  <si>
    <t>A-</t>
  </si>
  <si>
    <t>A3</t>
  </si>
  <si>
    <t>PM9 INVESTOR REPORT QUARTER ENDING OCTOBER 2015</t>
  </si>
  <si>
    <t>PM9 INVESTOR REPORT QUARTER ENDING JANUARY 2016</t>
  </si>
  <si>
    <t>PM9 INVESTOR REPORT QUARTER ENDING APRIL 2016</t>
  </si>
  <si>
    <t>PM9 INVESTOR REPORT QUARTER ENDING JULY 2016</t>
  </si>
  <si>
    <t>PM9 INVESTOR REPORT QUARTER ENDING OCTOBER 2016</t>
  </si>
  <si>
    <t>PM9 INVESTOR REPORT QUARTER ENDING JULY 2017</t>
  </si>
  <si>
    <t>http://www.paragonbankinggroup.co.uk</t>
  </si>
  <si>
    <t>andrew.kitching@paragonbank.co.uk</t>
  </si>
  <si>
    <t>jimmy.giles@paragonbank.co.uk</t>
  </si>
  <si>
    <t>PM9 INVESTOR REPORT QUARTER ENDING OCTOBER 2017</t>
  </si>
  <si>
    <t>PM9 INVESTOR REPORT QUARTER ENDING JANUARY 2018</t>
  </si>
  <si>
    <t>PM9 INVESTOR REPORT QUARTER ENDING APRIL 2018</t>
  </si>
  <si>
    <t>PM9 INVESTOR REPORT QUARTER ENDING JULY 2018</t>
  </si>
  <si>
    <t>PM9 INVESTOR REPORT QUARTER ENDING OCTOBER 2018</t>
  </si>
  <si>
    <t>PM9 INVESTOR REPORT QUARTER ENDING JANUARY 2019</t>
  </si>
  <si>
    <t>PM9 INVESTOR REPORT QUARTER ENDING APRIL 2019</t>
  </si>
  <si>
    <t>PM9 INVESTOR REPORT QUARTER ENDING JULY 2019</t>
  </si>
  <si>
    <t xml:space="preserve">Management Charge to PFPLC </t>
  </si>
  <si>
    <t>Repayment of the Subordinated Loan (Repayment of the Minimum Mortgage Rate Drawings)</t>
  </si>
  <si>
    <t xml:space="preserve">Deferred Consideration  </t>
  </si>
  <si>
    <t>Interest on the Subordinated Loan (First Loss Fund)</t>
  </si>
  <si>
    <t>PM9 INVESTOR REPORT QUARTER ENDING OCTOBER 2019</t>
  </si>
  <si>
    <t>PM9 INVESTOR REPORT QUARTER ENDING JANUARY 2020</t>
  </si>
  <si>
    <t>Release of the First Loss Fund Balance</t>
  </si>
  <si>
    <t>Release of the First Loss Fund following repayment of the Notes</t>
  </si>
  <si>
    <t>Repayment of the Subordinated Loan (Repayment of the Minimum Mortgage Rate Drawings) / First Loss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</si>
</sst>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809]#,##0"/>
    <numFmt numFmtId="165" formatCode="0.00000%"/>
    <numFmt numFmtId="166" formatCode="0.0%"/>
    <numFmt numFmtId="167" formatCode="d\-mmm\-yy"/>
    <numFmt numFmtId="168" formatCode="[$€-2]\ #,##0"/>
    <numFmt numFmtId="169" formatCode="[$$-409]#,##0"/>
    <numFmt numFmtId="170" formatCode="&quot;£&quot;#,##0"/>
    <numFmt numFmtId="171" formatCode="0.000000"/>
    <numFmt numFmtId="172" formatCode="0.0000000"/>
  </numFmts>
  <fonts count="70" x14ac:knownFonts="1">
    <font>
      <sz val="12"/>
      <name val="Arial"/>
    </font>
    <font>
      <sz val="12"/>
      <name val="Arial"/>
      <family val="2"/>
    </font>
    <font>
      <sz val="12"/>
      <name val="Times New Roman"/>
      <family val="1"/>
    </font>
    <font>
      <b/>
      <u/>
      <sz val="16"/>
      <color indexed="12"/>
      <name val="Times New Roman"/>
      <family val="1"/>
    </font>
    <font>
      <b/>
      <u/>
      <sz val="12"/>
      <name val="Times New Roman"/>
      <family val="1"/>
    </font>
    <font>
      <u/>
      <sz val="12"/>
      <name val="Times New Roman"/>
      <family val="1"/>
    </font>
    <font>
      <b/>
      <sz val="12"/>
      <color indexed="29"/>
      <name val="Times New Roman"/>
      <family val="1"/>
    </font>
    <font>
      <b/>
      <i/>
      <sz val="10"/>
      <name val="Times New Roman"/>
      <family val="1"/>
    </font>
    <font>
      <sz val="12"/>
      <name val="Arial"/>
      <family val="2"/>
    </font>
    <font>
      <b/>
      <sz val="12"/>
      <name val="Times New Roman"/>
      <family val="1"/>
    </font>
    <font>
      <b/>
      <sz val="12"/>
      <color indexed="12"/>
      <name val="Times New Roman"/>
      <family val="1"/>
    </font>
    <font>
      <sz val="12"/>
      <color indexed="12"/>
      <name val="Times New Roman"/>
      <family val="1"/>
    </font>
    <font>
      <b/>
      <u/>
      <sz val="12"/>
      <color indexed="12"/>
      <name val="Times New Roman"/>
      <family val="1"/>
    </font>
    <font>
      <sz val="12"/>
      <color indexed="8"/>
      <name val="Times New Roman"/>
      <family val="1"/>
    </font>
    <font>
      <b/>
      <sz val="12"/>
      <color indexed="12"/>
      <name val="Arial"/>
      <family val="2"/>
    </font>
    <font>
      <b/>
      <sz val="14"/>
      <name val="Times New Roman"/>
      <family val="1"/>
    </font>
    <font>
      <b/>
      <sz val="12"/>
      <color indexed="8"/>
      <name val="Times New Roman"/>
      <family val="1"/>
    </font>
    <font>
      <b/>
      <u/>
      <sz val="12"/>
      <color indexed="8"/>
      <name val="Times New Roman"/>
      <family val="1"/>
    </font>
    <font>
      <b/>
      <sz val="12"/>
      <name val="Arial"/>
      <family val="2"/>
    </font>
    <font>
      <b/>
      <sz val="12"/>
      <color indexed="53"/>
      <name val="Times New Roman"/>
      <family val="1"/>
    </font>
    <font>
      <sz val="12"/>
      <color indexed="53"/>
      <name val="Times New Roman"/>
      <family val="1"/>
    </font>
    <font>
      <b/>
      <u/>
      <sz val="12"/>
      <color indexed="53"/>
      <name val="Times New Roman"/>
      <family val="1"/>
    </font>
    <font>
      <b/>
      <sz val="12"/>
      <color indexed="12"/>
      <name val="Times New Roman"/>
      <family val="1"/>
    </font>
    <font>
      <u/>
      <sz val="8.4"/>
      <color indexed="12"/>
      <name val="Arial"/>
      <family val="2"/>
    </font>
    <font>
      <sz val="12"/>
      <name val="Times New Roman"/>
      <family val="1"/>
    </font>
    <font>
      <b/>
      <sz val="12"/>
      <color indexed="39"/>
      <name val="Times New Roman"/>
      <family val="1"/>
    </font>
    <font>
      <b/>
      <sz val="12"/>
      <color indexed="39"/>
      <name val="Times New Roman"/>
      <family val="1"/>
    </font>
    <font>
      <b/>
      <sz val="14"/>
      <color indexed="53"/>
      <name val="Times New Roman"/>
      <family val="1"/>
    </font>
    <font>
      <b/>
      <u/>
      <sz val="14"/>
      <color indexed="53"/>
      <name val="Times New Roman"/>
      <family val="1"/>
    </font>
    <font>
      <b/>
      <u/>
      <sz val="16"/>
      <color indexed="18"/>
      <name val="Times New Roman"/>
      <family val="1"/>
    </font>
    <font>
      <b/>
      <i/>
      <sz val="10"/>
      <color indexed="18"/>
      <name val="Times New Roman"/>
      <family val="1"/>
    </font>
    <font>
      <b/>
      <sz val="12"/>
      <color indexed="18"/>
      <name val="Times New Roman"/>
      <family val="1"/>
    </font>
    <font>
      <b/>
      <u/>
      <sz val="12"/>
      <color indexed="18"/>
      <name val="Times New Roman"/>
      <family val="1"/>
    </font>
    <font>
      <sz val="12"/>
      <color indexed="18"/>
      <name val="Times New Roman"/>
      <family val="1"/>
    </font>
    <font>
      <sz val="12"/>
      <color indexed="18"/>
      <name val="Arial"/>
      <family val="2"/>
    </font>
    <font>
      <b/>
      <sz val="12"/>
      <color indexed="18"/>
      <name val="Times New Roman"/>
      <family val="1"/>
    </font>
    <font>
      <b/>
      <sz val="12"/>
      <color indexed="18"/>
      <name val="Arial"/>
      <family val="2"/>
    </font>
    <font>
      <b/>
      <sz val="14"/>
      <color indexed="18"/>
      <name val="Times New Roman"/>
      <family val="1"/>
    </font>
    <font>
      <sz val="12"/>
      <color indexed="18"/>
      <name val="Times New Roman"/>
      <family val="1"/>
    </font>
    <font>
      <sz val="12"/>
      <color indexed="9"/>
      <name val="Times New Roman"/>
      <family val="1"/>
    </font>
    <font>
      <b/>
      <sz val="12"/>
      <color indexed="9"/>
      <name val="Times New Roman"/>
      <family val="1"/>
    </font>
    <font>
      <b/>
      <sz val="12"/>
      <color indexed="9"/>
      <name val="Times New Roman"/>
      <family val="1"/>
    </font>
    <font>
      <sz val="12"/>
      <color indexed="9"/>
      <name val="Times New Roman"/>
      <family val="1"/>
    </font>
    <font>
      <sz val="12"/>
      <color indexed="9"/>
      <name val="Arial"/>
      <family val="2"/>
    </font>
    <font>
      <sz val="12"/>
      <name val="Calibri"/>
      <family val="2"/>
      <scheme val="minor"/>
    </font>
    <font>
      <u/>
      <sz val="12"/>
      <name val="Calibri"/>
      <family val="2"/>
      <scheme val="minor"/>
    </font>
    <font>
      <b/>
      <sz val="12"/>
      <color rgb="FF89CB31"/>
      <name val="Calibri"/>
      <family val="2"/>
      <scheme val="minor"/>
    </font>
    <font>
      <b/>
      <i/>
      <sz val="10"/>
      <name val="Calibri"/>
      <family val="2"/>
      <scheme val="minor"/>
    </font>
    <font>
      <b/>
      <sz val="14"/>
      <color rgb="FF89CB31"/>
      <name val="Calibri"/>
      <family val="2"/>
      <scheme val="minor"/>
    </font>
    <font>
      <b/>
      <u/>
      <sz val="12"/>
      <color rgb="FF89CB31"/>
      <name val="Calibri"/>
      <family val="2"/>
      <scheme val="minor"/>
    </font>
    <font>
      <b/>
      <sz val="12"/>
      <name val="Calibri"/>
      <family val="2"/>
      <scheme val="minor"/>
    </font>
    <font>
      <b/>
      <sz val="12"/>
      <color indexed="18"/>
      <name val="Calibri"/>
      <family val="2"/>
      <scheme val="minor"/>
    </font>
    <font>
      <sz val="12"/>
      <color indexed="12"/>
      <name val="Calibri"/>
      <family val="2"/>
      <scheme val="minor"/>
    </font>
    <font>
      <b/>
      <sz val="12"/>
      <color indexed="12"/>
      <name val="Calibri"/>
      <family val="2"/>
      <scheme val="minor"/>
    </font>
    <font>
      <sz val="12"/>
      <color indexed="18"/>
      <name val="Calibri"/>
      <family val="2"/>
      <scheme val="minor"/>
    </font>
    <font>
      <sz val="12"/>
      <color indexed="9"/>
      <name val="Calibri"/>
      <family val="2"/>
      <scheme val="minor"/>
    </font>
    <font>
      <b/>
      <sz val="12"/>
      <color indexed="9"/>
      <name val="Calibri"/>
      <family val="2"/>
      <scheme val="minor"/>
    </font>
    <font>
      <b/>
      <sz val="12"/>
      <color indexed="53"/>
      <name val="Calibri"/>
      <family val="2"/>
      <scheme val="minor"/>
    </font>
    <font>
      <sz val="12"/>
      <color indexed="53"/>
      <name val="Calibri"/>
      <family val="2"/>
      <scheme val="minor"/>
    </font>
    <font>
      <sz val="12"/>
      <color indexed="8"/>
      <name val="Calibri"/>
      <family val="2"/>
      <scheme val="minor"/>
    </font>
    <font>
      <b/>
      <u/>
      <sz val="12"/>
      <name val="Calibri"/>
      <family val="2"/>
      <scheme val="minor"/>
    </font>
    <font>
      <b/>
      <u/>
      <sz val="12"/>
      <color indexed="8"/>
      <name val="Calibri"/>
      <family val="2"/>
      <scheme val="minor"/>
    </font>
    <font>
      <b/>
      <sz val="12"/>
      <color indexed="8"/>
      <name val="Calibri"/>
      <family val="2"/>
      <scheme val="minor"/>
    </font>
    <font>
      <b/>
      <sz val="12"/>
      <color rgb="FF2D2926"/>
      <name val="Calibri"/>
      <family val="2"/>
      <scheme val="minor"/>
    </font>
    <font>
      <sz val="12"/>
      <color rgb="FF89CB31"/>
      <name val="Calibri"/>
      <family val="2"/>
      <scheme val="minor"/>
    </font>
    <font>
      <sz val="12"/>
      <color rgb="FF2D2926"/>
      <name val="Calibri"/>
      <family val="2"/>
      <scheme val="minor"/>
    </font>
    <font>
      <b/>
      <sz val="14"/>
      <color rgb="FF2D2926"/>
      <name val="Calibri"/>
      <family val="2"/>
      <scheme val="minor"/>
    </font>
    <font>
      <b/>
      <u/>
      <sz val="12"/>
      <color rgb="FF2D2926"/>
      <name val="Calibri"/>
      <family val="2"/>
      <scheme val="minor"/>
    </font>
    <font>
      <b/>
      <i/>
      <sz val="10"/>
      <color rgb="FF2D2926"/>
      <name val="Calibri"/>
      <family val="2"/>
      <scheme val="minor"/>
    </font>
    <font>
      <b/>
      <u/>
      <sz val="16"/>
      <color rgb="FF2D2926"/>
      <name val="Calibri"/>
      <family val="2"/>
      <scheme val="minor"/>
    </font>
  </fonts>
  <fills count="7">
    <fill>
      <patternFill patternType="none"/>
    </fill>
    <fill>
      <patternFill patternType="gray125"/>
    </fill>
    <fill>
      <patternFill patternType="solid">
        <fgColor indexed="26"/>
        <bgColor indexed="64"/>
      </patternFill>
    </fill>
    <fill>
      <patternFill patternType="solid">
        <fgColor indexed="38"/>
        <bgColor indexed="64"/>
      </patternFill>
    </fill>
    <fill>
      <patternFill patternType="solid">
        <fgColor indexed="18"/>
        <bgColor indexed="64"/>
      </patternFill>
    </fill>
    <fill>
      <patternFill patternType="solid">
        <fgColor rgb="FF89CB31"/>
        <bgColor indexed="64"/>
      </patternFill>
    </fill>
    <fill>
      <patternFill patternType="solid">
        <fgColor rgb="FFF4F4F4"/>
        <bgColor indexed="64"/>
      </patternFill>
    </fill>
  </fills>
  <borders count="21">
    <border>
      <left/>
      <right/>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thin">
        <color indexed="8"/>
      </top>
      <bottom/>
      <diagonal/>
    </border>
    <border>
      <left/>
      <right/>
      <top style="thin">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style="thin">
        <color indexed="8"/>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bottom style="thin">
        <color indexed="8"/>
      </bottom>
      <diagonal/>
    </border>
    <border>
      <left style="medium">
        <color indexed="8"/>
      </left>
      <right/>
      <top style="thin">
        <color indexed="23"/>
      </top>
      <bottom style="thin">
        <color indexed="23"/>
      </bottom>
      <diagonal/>
    </border>
    <border>
      <left/>
      <right/>
      <top style="thin">
        <color indexed="23"/>
      </top>
      <bottom style="thin">
        <color indexed="23"/>
      </bottom>
      <diagonal/>
    </border>
    <border>
      <left/>
      <right style="medium">
        <color indexed="8"/>
      </right>
      <top style="thin">
        <color indexed="23"/>
      </top>
      <bottom style="thin">
        <color indexed="23"/>
      </bottom>
      <diagonal/>
    </border>
    <border>
      <left/>
      <right/>
      <top style="thin">
        <color indexed="55"/>
      </top>
      <bottom style="thin">
        <color indexed="55"/>
      </bottom>
      <diagonal/>
    </border>
    <border>
      <left style="medium">
        <color indexed="8"/>
      </left>
      <right/>
      <top/>
      <bottom style="thin">
        <color indexed="23"/>
      </bottom>
      <diagonal/>
    </border>
    <border>
      <left/>
      <right/>
      <top/>
      <bottom style="thin">
        <color indexed="23"/>
      </bottom>
      <diagonal/>
    </border>
    <border>
      <left/>
      <right style="medium">
        <color indexed="8"/>
      </right>
      <top/>
      <bottom style="thin">
        <color indexed="23"/>
      </bottom>
      <diagonal/>
    </border>
    <border>
      <left/>
      <right style="medium">
        <color indexed="8"/>
      </right>
      <top/>
      <bottom/>
      <diagonal/>
    </border>
  </borders>
  <cellStyleXfs count="2">
    <xf numFmtId="0" fontId="0" fillId="0" borderId="0"/>
    <xf numFmtId="0" fontId="23" fillId="0" borderId="0" applyNumberFormat="0" applyFill="0" applyBorder="0" applyAlignment="0" applyProtection="0">
      <alignment vertical="top"/>
      <protection locked="0"/>
    </xf>
  </cellStyleXfs>
  <cellXfs count="630">
    <xf numFmtId="0" fontId="0" fillId="0" borderId="0" xfId="0"/>
    <xf numFmtId="0" fontId="1" fillId="0" borderId="0" xfId="0" applyNumberFormat="1" applyFont="1" applyAlignment="1"/>
    <xf numFmtId="0" fontId="2" fillId="2" borderId="1" xfId="0" applyNumberFormat="1" applyFont="1" applyFill="1" applyBorder="1" applyAlignment="1"/>
    <xf numFmtId="0" fontId="3" fillId="2" borderId="2" xfId="0" applyNumberFormat="1" applyFont="1" applyFill="1" applyBorder="1" applyAlignment="1"/>
    <xf numFmtId="0" fontId="2" fillId="2" borderId="2" xfId="0" applyNumberFormat="1" applyFont="1" applyFill="1" applyBorder="1" applyAlignment="1"/>
    <xf numFmtId="0" fontId="0" fillId="0" borderId="3" xfId="0" applyNumberFormat="1" applyBorder="1"/>
    <xf numFmtId="0" fontId="2" fillId="2" borderId="3" xfId="0" applyNumberFormat="1" applyFont="1" applyFill="1" applyBorder="1" applyAlignment="1"/>
    <xf numFmtId="0" fontId="5" fillId="2" borderId="0" xfId="0" applyNumberFormat="1" applyFont="1" applyFill="1" applyAlignment="1"/>
    <xf numFmtId="0" fontId="2" fillId="2" borderId="0" xfId="0" applyNumberFormat="1" applyFont="1" applyFill="1" applyAlignment="1"/>
    <xf numFmtId="0" fontId="2" fillId="2" borderId="3"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0" applyNumberFormat="1" applyFont="1" applyFill="1" applyAlignment="1"/>
    <xf numFmtId="0" fontId="10" fillId="2" borderId="0" xfId="0" applyNumberFormat="1" applyFont="1" applyFill="1" applyAlignment="1"/>
    <xf numFmtId="0" fontId="11" fillId="2" borderId="0" xfId="0" applyNumberFormat="1" applyFont="1" applyFill="1" applyAlignment="1"/>
    <xf numFmtId="0" fontId="12" fillId="2" borderId="0" xfId="0" applyNumberFormat="1" applyFont="1" applyFill="1" applyAlignment="1">
      <alignment horizontal="center" wrapText="1"/>
    </xf>
    <xf numFmtId="0" fontId="10" fillId="2" borderId="0" xfId="0" applyNumberFormat="1" applyFont="1" applyFill="1" applyAlignment="1">
      <alignment horizontal="center"/>
    </xf>
    <xf numFmtId="9" fontId="10" fillId="2" borderId="0" xfId="0" applyNumberFormat="1" applyFont="1" applyFill="1" applyAlignment="1">
      <alignment horizontal="center"/>
    </xf>
    <xf numFmtId="15" fontId="10" fillId="2" borderId="0" xfId="0" applyNumberFormat="1" applyFont="1" applyFill="1" applyAlignment="1">
      <alignment horizontal="center"/>
    </xf>
    <xf numFmtId="0" fontId="2" fillId="2" borderId="0" xfId="0" applyNumberFormat="1" applyFont="1" applyFill="1" applyAlignment="1">
      <alignment horizontal="center"/>
    </xf>
    <xf numFmtId="0" fontId="4" fillId="2" borderId="0" xfId="0" applyNumberFormat="1" applyFont="1" applyFill="1" applyAlignment="1"/>
    <xf numFmtId="0" fontId="2" fillId="2" borderId="0" xfId="0" applyNumberFormat="1" applyFont="1" applyFill="1" applyAlignment="1">
      <alignment horizontal="right"/>
    </xf>
    <xf numFmtId="0" fontId="2" fillId="2" borderId="0" xfId="0" applyNumberFormat="1" applyFont="1" applyFill="1" applyAlignment="1">
      <alignment horizontal="center" wrapText="1"/>
    </xf>
    <xf numFmtId="0" fontId="2" fillId="2" borderId="4" xfId="0" applyNumberFormat="1" applyFont="1" applyFill="1" applyBorder="1" applyAlignment="1"/>
    <xf numFmtId="0" fontId="2" fillId="2" borderId="5" xfId="0" applyNumberFormat="1" applyFont="1" applyFill="1" applyBorder="1" applyAlignment="1"/>
    <xf numFmtId="0" fontId="2" fillId="2" borderId="5" xfId="0" applyNumberFormat="1" applyFont="1" applyFill="1" applyBorder="1" applyAlignment="1">
      <alignment horizontal="center" wrapText="1"/>
    </xf>
    <xf numFmtId="0" fontId="8" fillId="2" borderId="5" xfId="0" applyNumberFormat="1" applyFont="1" applyFill="1" applyBorder="1" applyAlignment="1"/>
    <xf numFmtId="0" fontId="10" fillId="2" borderId="4" xfId="0" applyNumberFormat="1" applyFont="1" applyFill="1" applyBorder="1" applyAlignment="1"/>
    <xf numFmtId="0" fontId="10" fillId="2" borderId="5" xfId="0" applyNumberFormat="1" applyFont="1" applyFill="1" applyBorder="1" applyAlignment="1"/>
    <xf numFmtId="0"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2" fillId="2" borderId="5" xfId="0" applyNumberFormat="1" applyFont="1" applyFill="1" applyBorder="1" applyAlignment="1"/>
    <xf numFmtId="164" fontId="8" fillId="2" borderId="5" xfId="0" applyNumberFormat="1" applyFont="1" applyFill="1" applyBorder="1" applyAlignment="1"/>
    <xf numFmtId="3" fontId="2" fillId="2" borderId="5" xfId="0" applyNumberFormat="1" applyFont="1" applyFill="1" applyBorder="1" applyAlignment="1"/>
    <xf numFmtId="164" fontId="10" fillId="2" borderId="5" xfId="0" applyNumberFormat="1" applyFont="1" applyFill="1" applyBorder="1" applyAlignment="1">
      <alignment horizontal="center"/>
    </xf>
    <xf numFmtId="164" fontId="10" fillId="2" borderId="5" xfId="0" applyNumberFormat="1" applyFont="1" applyFill="1" applyBorder="1" applyAlignment="1"/>
    <xf numFmtId="164" fontId="14" fillId="2" borderId="5" xfId="0" applyNumberFormat="1" applyFont="1" applyFill="1" applyBorder="1" applyAlignment="1"/>
    <xf numFmtId="165" fontId="2" fillId="2" borderId="5" xfId="0" applyNumberFormat="1" applyFont="1" applyFill="1" applyBorder="1" applyAlignment="1">
      <alignment horizontal="center"/>
    </xf>
    <xf numFmtId="10" fontId="2" fillId="2" borderId="5" xfId="0" applyNumberFormat="1" applyFont="1" applyFill="1" applyBorder="1" applyAlignment="1">
      <alignment horizontal="center"/>
    </xf>
    <xf numFmtId="0" fontId="2" fillId="2" borderId="5" xfId="0" applyNumberFormat="1" applyFont="1" applyFill="1" applyBorder="1" applyAlignment="1">
      <alignment horizontal="right"/>
    </xf>
    <xf numFmtId="165" fontId="2" fillId="2" borderId="5" xfId="0" applyNumberFormat="1" applyFont="1" applyFill="1" applyBorder="1" applyAlignment="1"/>
    <xf numFmtId="4" fontId="2" fillId="2" borderId="5" xfId="0" applyNumberFormat="1" applyFont="1" applyFill="1" applyBorder="1" applyAlignment="1">
      <alignment horizontal="center"/>
    </xf>
    <xf numFmtId="15" fontId="10" fillId="2" borderId="5" xfId="0" applyNumberFormat="1" applyFont="1" applyFill="1" applyBorder="1" applyAlignment="1">
      <alignment horizontal="center"/>
    </xf>
    <xf numFmtId="15" fontId="10" fillId="2" borderId="5" xfId="0" applyNumberFormat="1" applyFont="1" applyFill="1" applyBorder="1" applyAlignment="1" applyProtection="1">
      <alignment horizontal="center"/>
      <protection locked="0"/>
    </xf>
    <xf numFmtId="15" fontId="13" fillId="2" borderId="5" xfId="0" applyNumberFormat="1" applyFont="1" applyFill="1" applyBorder="1" applyAlignment="1" applyProtection="1">
      <alignment horizontal="center"/>
      <protection locked="0"/>
    </xf>
    <xf numFmtId="15" fontId="13" fillId="2" borderId="5" xfId="0" applyNumberFormat="1" applyFont="1" applyFill="1" applyBorder="1" applyAlignment="1">
      <alignment horizontal="center"/>
    </xf>
    <xf numFmtId="15" fontId="13" fillId="2" borderId="0" xfId="0" applyNumberFormat="1" applyFont="1" applyFill="1" applyAlignment="1" applyProtection="1">
      <alignment horizontal="center"/>
      <protection locked="0"/>
    </xf>
    <xf numFmtId="15" fontId="13" fillId="2" borderId="0" xfId="0" applyNumberFormat="1" applyFont="1" applyFill="1" applyAlignment="1">
      <alignment horizontal="center"/>
    </xf>
    <xf numFmtId="0" fontId="15" fillId="2" borderId="0" xfId="0" applyNumberFormat="1" applyFont="1" applyFill="1" applyAlignment="1"/>
    <xf numFmtId="4" fontId="2" fillId="2" borderId="2" xfId="0" applyNumberFormat="1" applyFont="1" applyFill="1" applyBorder="1" applyAlignment="1" applyProtection="1">
      <alignment horizontal="right"/>
      <protection locked="0"/>
    </xf>
    <xf numFmtId="0" fontId="12" fillId="2" borderId="0" xfId="0" applyNumberFormat="1" applyFont="1" applyFill="1" applyAlignment="1"/>
    <xf numFmtId="4" fontId="2" fillId="2" borderId="0" xfId="0" applyNumberFormat="1" applyFont="1" applyFill="1" applyAlignment="1" applyProtection="1">
      <alignment horizontal="right"/>
      <protection locked="0"/>
    </xf>
    <xf numFmtId="3" fontId="13" fillId="2" borderId="5" xfId="0" applyNumberFormat="1" applyFont="1" applyFill="1" applyBorder="1" applyAlignment="1" applyProtection="1">
      <alignment horizontal="right"/>
      <protection locked="0"/>
    </xf>
    <xf numFmtId="3" fontId="13" fillId="2" borderId="5" xfId="0" applyNumberFormat="1" applyFont="1" applyFill="1" applyBorder="1" applyAlignment="1"/>
    <xf numFmtId="3" fontId="2" fillId="2" borderId="0" xfId="0" applyNumberFormat="1" applyFont="1" applyFill="1" applyAlignment="1"/>
    <xf numFmtId="3" fontId="13" fillId="2" borderId="0" xfId="0" applyNumberFormat="1" applyFont="1" applyFill="1" applyAlignment="1"/>
    <xf numFmtId="14" fontId="2" fillId="2" borderId="5" xfId="0" applyNumberFormat="1" applyFont="1" applyFill="1" applyBorder="1" applyAlignment="1">
      <alignment horizontal="right"/>
    </xf>
    <xf numFmtId="15" fontId="2" fillId="2" borderId="5" xfId="0" applyNumberFormat="1" applyFont="1" applyFill="1" applyBorder="1" applyAlignment="1"/>
    <xf numFmtId="4" fontId="13" fillId="2" borderId="5" xfId="0" applyNumberFormat="1" applyFont="1" applyFill="1" applyBorder="1" applyAlignment="1" applyProtection="1">
      <alignment horizontal="right"/>
      <protection locked="0"/>
    </xf>
    <xf numFmtId="0" fontId="12" fillId="2" borderId="2" xfId="0" applyNumberFormat="1" applyFont="1" applyFill="1" applyBorder="1" applyAlignment="1"/>
    <xf numFmtId="4" fontId="2" fillId="2" borderId="5" xfId="0" applyNumberFormat="1" applyFont="1" applyFill="1" applyBorder="1" applyAlignment="1" applyProtection="1">
      <alignment horizontal="right"/>
      <protection locked="0"/>
    </xf>
    <xf numFmtId="4" fontId="13" fillId="2" borderId="5" xfId="0" applyNumberFormat="1" applyFont="1" applyFill="1" applyBorder="1" applyAlignment="1" applyProtection="1">
      <alignment horizontal="center"/>
      <protection locked="0"/>
    </xf>
    <xf numFmtId="4" fontId="13" fillId="2" borderId="0" xfId="0" applyNumberFormat="1" applyFont="1" applyFill="1" applyAlignment="1" applyProtection="1">
      <alignment horizontal="right"/>
      <protection locked="0"/>
    </xf>
    <xf numFmtId="15" fontId="16" fillId="2" borderId="5" xfId="0" applyNumberFormat="1" applyFont="1" applyFill="1" applyBorder="1" applyAlignment="1">
      <alignment horizontal="center"/>
    </xf>
    <xf numFmtId="0" fontId="2" fillId="2" borderId="0" xfId="0" applyNumberFormat="1" applyFont="1" applyFill="1" applyAlignment="1" applyProtection="1">
      <protection locked="0"/>
    </xf>
    <xf numFmtId="0" fontId="13" fillId="2" borderId="5" xfId="0" applyNumberFormat="1" applyFont="1" applyFill="1" applyBorder="1" applyAlignment="1" applyProtection="1">
      <alignment horizontal="right"/>
      <protection locked="0"/>
    </xf>
    <xf numFmtId="2" fontId="13" fillId="2" borderId="5" xfId="0" applyNumberFormat="1" applyFont="1" applyFill="1" applyBorder="1" applyAlignment="1" applyProtection="1">
      <alignment horizontal="right"/>
      <protection locked="0"/>
    </xf>
    <xf numFmtId="0" fontId="13" fillId="2" borderId="1" xfId="0" applyNumberFormat="1" applyFont="1" applyFill="1" applyBorder="1" applyAlignment="1"/>
    <xf numFmtId="15" fontId="16" fillId="2" borderId="2" xfId="0" applyNumberFormat="1" applyFont="1" applyFill="1" applyBorder="1" applyAlignment="1">
      <alignment horizontal="centerContinuous"/>
    </xf>
    <xf numFmtId="15" fontId="16" fillId="2" borderId="2" xfId="0" applyNumberFormat="1" applyFont="1" applyFill="1" applyBorder="1" applyAlignment="1">
      <alignment horizontal="center"/>
    </xf>
    <xf numFmtId="15" fontId="10" fillId="2" borderId="2" xfId="0" applyNumberFormat="1" applyFont="1" applyFill="1" applyBorder="1" applyAlignment="1">
      <alignment horizontal="center"/>
    </xf>
    <xf numFmtId="0" fontId="13" fillId="2" borderId="3" xfId="0" applyNumberFormat="1" applyFont="1" applyFill="1" applyBorder="1" applyAlignment="1"/>
    <xf numFmtId="0" fontId="17" fillId="2" borderId="0" xfId="0" applyNumberFormat="1" applyFont="1" applyFill="1" applyAlignment="1"/>
    <xf numFmtId="15" fontId="16" fillId="2" borderId="0" xfId="0" applyNumberFormat="1" applyFont="1" applyFill="1" applyAlignment="1">
      <alignment horizontal="centerContinuous"/>
    </xf>
    <xf numFmtId="15" fontId="16" fillId="2" borderId="0" xfId="0" applyNumberFormat="1" applyFont="1" applyFill="1" applyAlignment="1">
      <alignment horizontal="center"/>
    </xf>
    <xf numFmtId="0" fontId="13" fillId="2" borderId="4" xfId="0" applyNumberFormat="1" applyFont="1" applyFill="1" applyBorder="1" applyAlignment="1"/>
    <xf numFmtId="0" fontId="13" fillId="2" borderId="5" xfId="0" applyNumberFormat="1" applyFont="1" applyFill="1" applyBorder="1" applyAlignment="1"/>
    <xf numFmtId="15" fontId="16" fillId="2" borderId="5" xfId="0" applyNumberFormat="1" applyFont="1" applyFill="1" applyBorder="1" applyAlignment="1">
      <alignment horizontal="centerContinuous"/>
    </xf>
    <xf numFmtId="10" fontId="13" fillId="2" borderId="5" xfId="0" applyNumberFormat="1" applyFont="1" applyFill="1" applyBorder="1" applyAlignment="1">
      <alignment horizontal="center"/>
    </xf>
    <xf numFmtId="0" fontId="2" fillId="2" borderId="5" xfId="0" applyNumberFormat="1" applyFont="1" applyFill="1" applyBorder="1" applyAlignment="1" applyProtection="1">
      <protection locked="0"/>
    </xf>
    <xf numFmtId="0" fontId="13" fillId="2" borderId="3" xfId="0" applyNumberFormat="1" applyFont="1" applyFill="1" applyBorder="1" applyAlignment="1">
      <alignment horizontal="right"/>
    </xf>
    <xf numFmtId="0" fontId="16" fillId="2" borderId="0" xfId="0" applyNumberFormat="1" applyFont="1" applyFill="1" applyAlignment="1">
      <alignment horizontal="center"/>
    </xf>
    <xf numFmtId="3" fontId="16" fillId="2" borderId="0" xfId="0" applyNumberFormat="1" applyFont="1" applyFill="1" applyAlignment="1">
      <alignment horizontal="center"/>
    </xf>
    <xf numFmtId="3" fontId="10" fillId="2" borderId="0" xfId="0" applyNumberFormat="1" applyFont="1" applyFill="1" applyAlignment="1">
      <alignment horizontal="center"/>
    </xf>
    <xf numFmtId="0" fontId="13" fillId="2" borderId="4" xfId="0" applyNumberFormat="1" applyFont="1" applyFill="1" applyBorder="1" applyAlignment="1">
      <alignment horizontal="right"/>
    </xf>
    <xf numFmtId="3" fontId="13" fillId="2" borderId="5" xfId="0" applyNumberFormat="1" applyFont="1" applyFill="1" applyBorder="1" applyAlignment="1" applyProtection="1">
      <alignment horizontal="center"/>
      <protection locked="0"/>
    </xf>
    <xf numFmtId="3" fontId="16" fillId="2" borderId="5" xfId="0" applyNumberFormat="1" applyFont="1" applyFill="1" applyBorder="1" applyAlignment="1"/>
    <xf numFmtId="0" fontId="13" fillId="2" borderId="4" xfId="0" applyNumberFormat="1" applyFont="1" applyFill="1" applyBorder="1" applyAlignment="1">
      <alignment horizontal="center"/>
    </xf>
    <xf numFmtId="0" fontId="16" fillId="2" borderId="5" xfId="0" applyNumberFormat="1" applyFont="1" applyFill="1" applyBorder="1" applyAlignment="1"/>
    <xf numFmtId="0" fontId="13" fillId="2" borderId="5" xfId="0" applyNumberFormat="1" applyFont="1" applyFill="1" applyBorder="1" applyAlignment="1">
      <alignment horizontal="right"/>
    </xf>
    <xf numFmtId="4" fontId="13" fillId="2" borderId="5" xfId="0" applyNumberFormat="1" applyFont="1" applyFill="1" applyBorder="1" applyAlignment="1">
      <alignment horizontal="right"/>
    </xf>
    <xf numFmtId="10" fontId="13" fillId="2" borderId="5" xfId="0" applyNumberFormat="1" applyFont="1" applyFill="1" applyBorder="1" applyAlignment="1" applyProtection="1">
      <alignment horizontal="center"/>
      <protection locked="0"/>
    </xf>
    <xf numFmtId="0" fontId="16" fillId="2" borderId="0" xfId="0" applyNumberFormat="1" applyFont="1" applyFill="1" applyAlignment="1"/>
    <xf numFmtId="166" fontId="13" fillId="2" borderId="5" xfId="0" applyNumberFormat="1" applyFont="1" applyFill="1" applyBorder="1" applyAlignment="1"/>
    <xf numFmtId="10" fontId="13" fillId="2" borderId="5" xfId="0" applyNumberFormat="1" applyFont="1" applyFill="1" applyBorder="1" applyAlignment="1"/>
    <xf numFmtId="9" fontId="2" fillId="2" borderId="5" xfId="0" applyNumberFormat="1" applyFont="1" applyFill="1" applyBorder="1" applyAlignment="1"/>
    <xf numFmtId="9" fontId="2" fillId="2" borderId="0" xfId="0" applyNumberFormat="1" applyFont="1" applyFill="1" applyAlignment="1"/>
    <xf numFmtId="3" fontId="13" fillId="2" borderId="0" xfId="0" applyNumberFormat="1" applyFont="1" applyFill="1" applyAlignment="1" applyProtection="1">
      <alignment horizontal="right"/>
      <protection locked="0"/>
    </xf>
    <xf numFmtId="0" fontId="8" fillId="2" borderId="3" xfId="0" applyNumberFormat="1" applyFont="1" applyFill="1" applyBorder="1" applyAlignment="1"/>
    <xf numFmtId="0" fontId="18" fillId="2" borderId="0" xfId="0" applyNumberFormat="1" applyFont="1" applyFill="1" applyAlignment="1"/>
    <xf numFmtId="0" fontId="0" fillId="0" borderId="2" xfId="0" applyNumberFormat="1" applyBorder="1"/>
    <xf numFmtId="0" fontId="2" fillId="2" borderId="6" xfId="0" applyNumberFormat="1" applyFont="1" applyFill="1" applyBorder="1" applyAlignment="1"/>
    <xf numFmtId="0" fontId="15" fillId="2" borderId="7" xfId="0" applyNumberFormat="1" applyFont="1" applyFill="1" applyBorder="1" applyAlignment="1"/>
    <xf numFmtId="0" fontId="2" fillId="2" borderId="7" xfId="0" applyNumberFormat="1" applyFont="1" applyFill="1" applyBorder="1" applyAlignment="1"/>
    <xf numFmtId="0" fontId="2" fillId="2" borderId="7" xfId="0" applyNumberFormat="1" applyFont="1" applyFill="1" applyBorder="1" applyAlignment="1" applyProtection="1">
      <alignment horizontal="right"/>
      <protection locked="0"/>
    </xf>
    <xf numFmtId="0" fontId="2" fillId="2" borderId="8" xfId="0" applyNumberFormat="1" applyFont="1" applyFill="1" applyBorder="1" applyAlignment="1"/>
    <xf numFmtId="4" fontId="2" fillId="2" borderId="7" xfId="0" applyNumberFormat="1" applyFont="1" applyFill="1" applyBorder="1" applyAlignment="1" applyProtection="1">
      <alignment horizontal="right"/>
      <protection locked="0"/>
    </xf>
    <xf numFmtId="0" fontId="8" fillId="2" borderId="7" xfId="0" applyNumberFormat="1" applyFont="1" applyFill="1" applyBorder="1" applyAlignment="1"/>
    <xf numFmtId="0" fontId="8" fillId="2" borderId="8" xfId="0" applyNumberFormat="1" applyFont="1" applyFill="1" applyBorder="1" applyAlignment="1"/>
    <xf numFmtId="3" fontId="1" fillId="0" borderId="0" xfId="0" applyNumberFormat="1" applyFont="1" applyAlignment="1"/>
    <xf numFmtId="167" fontId="2" fillId="2" borderId="5" xfId="0" applyNumberFormat="1" applyFont="1" applyFill="1" applyBorder="1" applyAlignment="1">
      <alignment horizontal="center"/>
    </xf>
    <xf numFmtId="0" fontId="19" fillId="2" borderId="0" xfId="0" applyNumberFormat="1" applyFont="1" applyFill="1" applyAlignment="1"/>
    <xf numFmtId="0" fontId="19" fillId="2" borderId="0" xfId="0" applyNumberFormat="1" applyFont="1" applyFill="1" applyAlignment="1">
      <alignment horizontal="center" wrapText="1"/>
    </xf>
    <xf numFmtId="0" fontId="20" fillId="2" borderId="0" xfId="0" applyNumberFormat="1" applyFont="1" applyFill="1" applyAlignment="1">
      <alignment horizontal="center" wrapText="1"/>
    </xf>
    <xf numFmtId="0" fontId="19" fillId="2" borderId="0" xfId="0" applyNumberFormat="1" applyFont="1" applyFill="1" applyAlignment="1">
      <alignment horizontal="left" vertical="top" wrapText="1"/>
    </xf>
    <xf numFmtId="0" fontId="19" fillId="2" borderId="0" xfId="0" applyNumberFormat="1" applyFont="1" applyFill="1" applyAlignment="1">
      <alignment horizontal="center" vertical="top" wrapText="1"/>
    </xf>
    <xf numFmtId="4" fontId="19" fillId="2" borderId="0" xfId="0" applyNumberFormat="1" applyFont="1" applyFill="1" applyAlignment="1" applyProtection="1">
      <alignment horizontal="center" vertical="top" wrapText="1"/>
      <protection locked="0"/>
    </xf>
    <xf numFmtId="0" fontId="20" fillId="2" borderId="0" xfId="0" applyNumberFormat="1" applyFont="1" applyFill="1" applyAlignment="1"/>
    <xf numFmtId="0" fontId="21" fillId="2" borderId="5" xfId="0" applyNumberFormat="1" applyFont="1" applyFill="1" applyBorder="1" applyAlignment="1"/>
    <xf numFmtId="0" fontId="21" fillId="2" borderId="0" xfId="0" applyNumberFormat="1" applyFont="1" applyFill="1" applyAlignment="1"/>
    <xf numFmtId="0" fontId="19" fillId="2" borderId="0" xfId="0" applyNumberFormat="1" applyFont="1" applyFill="1" applyAlignment="1">
      <alignment horizontal="right"/>
    </xf>
    <xf numFmtId="4" fontId="19" fillId="2" borderId="0" xfId="0" applyNumberFormat="1" applyFont="1" applyFill="1" applyAlignment="1" applyProtection="1">
      <alignment horizontal="right"/>
      <protection locked="0"/>
    </xf>
    <xf numFmtId="0" fontId="19" fillId="2" borderId="5" xfId="0" applyNumberFormat="1" applyFont="1" applyFill="1" applyBorder="1" applyAlignment="1"/>
    <xf numFmtId="0" fontId="22" fillId="2" borderId="5" xfId="0" applyNumberFormat="1" applyFont="1" applyFill="1" applyBorder="1" applyAlignment="1">
      <alignment horizontal="center" wrapText="1"/>
    </xf>
    <xf numFmtId="168" fontId="2" fillId="2" borderId="5" xfId="0" applyNumberFormat="1" applyFont="1" applyFill="1" applyBorder="1" applyAlignment="1">
      <alignment horizontal="center"/>
    </xf>
    <xf numFmtId="168" fontId="10" fillId="2" borderId="5" xfId="0" applyNumberFormat="1" applyFont="1" applyFill="1" applyBorder="1" applyAlignment="1">
      <alignment horizontal="center"/>
    </xf>
    <xf numFmtId="164" fontId="19" fillId="2" borderId="5" xfId="0" applyNumberFormat="1" applyFont="1" applyFill="1" applyBorder="1" applyAlignment="1"/>
    <xf numFmtId="167" fontId="2" fillId="2" borderId="5" xfId="0" applyNumberFormat="1" applyFont="1" applyFill="1" applyBorder="1" applyAlignment="1">
      <alignment horizontal="right"/>
    </xf>
    <xf numFmtId="4" fontId="19" fillId="2" borderId="5" xfId="0" applyNumberFormat="1" applyFont="1" applyFill="1" applyBorder="1" applyAlignment="1">
      <alignment horizontal="center"/>
    </xf>
    <xf numFmtId="170" fontId="2" fillId="2" borderId="5" xfId="0" applyNumberFormat="1" applyFont="1" applyFill="1" applyBorder="1" applyAlignment="1">
      <alignment horizontal="center"/>
    </xf>
    <xf numFmtId="170" fontId="10" fillId="2" borderId="5" xfId="0" applyNumberFormat="1" applyFont="1" applyFill="1" applyBorder="1" applyAlignment="1">
      <alignment horizontal="center"/>
    </xf>
    <xf numFmtId="17" fontId="2" fillId="2" borderId="5" xfId="0" applyNumberFormat="1" applyFont="1" applyFill="1" applyBorder="1" applyAlignment="1">
      <alignment horizontal="center"/>
    </xf>
    <xf numFmtId="0" fontId="9" fillId="2" borderId="0" xfId="0" quotePrefix="1" applyNumberFormat="1" applyFont="1" applyFill="1" applyAlignment="1">
      <alignment horizontal="center"/>
    </xf>
    <xf numFmtId="0" fontId="24" fillId="2" borderId="5" xfId="0" applyNumberFormat="1" applyFont="1" applyFill="1" applyBorder="1" applyAlignment="1"/>
    <xf numFmtId="10" fontId="2" fillId="2" borderId="5" xfId="0" applyNumberFormat="1" applyFont="1" applyFill="1" applyBorder="1" applyAlignment="1"/>
    <xf numFmtId="4" fontId="13" fillId="2" borderId="5" xfId="0" applyNumberFormat="1" applyFont="1" applyFill="1" applyBorder="1" applyAlignment="1">
      <alignment horizontal="center"/>
    </xf>
    <xf numFmtId="0" fontId="2" fillId="0" borderId="0" xfId="0" applyNumberFormat="1" applyFont="1" applyFill="1" applyBorder="1" applyAlignment="1"/>
    <xf numFmtId="171" fontId="19" fillId="2" borderId="5" xfId="0" applyNumberFormat="1" applyFont="1" applyFill="1" applyBorder="1" applyAlignment="1">
      <alignment horizontal="center"/>
    </xf>
    <xf numFmtId="171" fontId="19" fillId="2" borderId="5" xfId="0" applyNumberFormat="1" applyFont="1" applyFill="1" applyBorder="1" applyAlignment="1"/>
    <xf numFmtId="10" fontId="10" fillId="2" borderId="0" xfId="0" applyNumberFormat="1" applyFont="1" applyFill="1" applyAlignment="1">
      <alignment horizontal="center"/>
    </xf>
    <xf numFmtId="0" fontId="21" fillId="2" borderId="9" xfId="0" applyNumberFormat="1" applyFont="1" applyFill="1" applyBorder="1" applyAlignment="1"/>
    <xf numFmtId="0" fontId="2" fillId="2" borderId="10" xfId="0" applyNumberFormat="1" applyFont="1" applyFill="1" applyBorder="1" applyAlignment="1"/>
    <xf numFmtId="0" fontId="2" fillId="2" borderId="11" xfId="0" applyNumberFormat="1" applyFont="1" applyFill="1" applyBorder="1" applyAlignment="1"/>
    <xf numFmtId="0" fontId="2" fillId="2" borderId="12" xfId="0" applyNumberFormat="1" applyFont="1" applyFill="1" applyBorder="1" applyAlignment="1"/>
    <xf numFmtId="0" fontId="25" fillId="2" borderId="5" xfId="0" applyNumberFormat="1" applyFont="1" applyFill="1" applyBorder="1" applyAlignment="1"/>
    <xf numFmtId="3" fontId="2" fillId="2" borderId="9" xfId="0" applyNumberFormat="1" applyFont="1" applyFill="1" applyBorder="1" applyAlignment="1"/>
    <xf numFmtId="10" fontId="2" fillId="2" borderId="9" xfId="0" applyNumberFormat="1" applyFont="1" applyFill="1" applyBorder="1" applyAlignment="1"/>
    <xf numFmtId="3" fontId="26" fillId="2" borderId="9" xfId="0" applyNumberFormat="1" applyFont="1" applyFill="1" applyBorder="1" applyAlignment="1" applyProtection="1">
      <alignment horizontal="right"/>
      <protection locked="0"/>
    </xf>
    <xf numFmtId="9" fontId="2" fillId="2" borderId="10" xfId="0" applyNumberFormat="1" applyFont="1" applyFill="1" applyBorder="1" applyAlignment="1"/>
    <xf numFmtId="169" fontId="2" fillId="2" borderId="5" xfId="0" applyNumberFormat="1" applyFont="1" applyFill="1" applyBorder="1" applyAlignment="1">
      <alignment horizontal="center"/>
    </xf>
    <xf numFmtId="0" fontId="27" fillId="2" borderId="0" xfId="0" applyNumberFormat="1" applyFont="1" applyFill="1" applyAlignment="1"/>
    <xf numFmtId="0" fontId="28" fillId="2" borderId="0" xfId="1" applyNumberFormat="1" applyFont="1" applyFill="1" applyAlignment="1" applyProtection="1"/>
    <xf numFmtId="0" fontId="27" fillId="2" borderId="5" xfId="0" applyNumberFormat="1" applyFont="1" applyFill="1" applyBorder="1" applyAlignment="1"/>
    <xf numFmtId="10" fontId="28" fillId="2" borderId="5" xfId="1" applyNumberFormat="1" applyFont="1" applyFill="1" applyBorder="1" applyAlignment="1">
      <alignment horizontal="left"/>
      <protection locked="0"/>
    </xf>
    <xf numFmtId="169" fontId="10"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15" fontId="10" fillId="2" borderId="0" xfId="0" applyNumberFormat="1" applyFont="1" applyFill="1" applyAlignment="1">
      <alignment horizontal="right"/>
    </xf>
    <xf numFmtId="0" fontId="10" fillId="2" borderId="0" xfId="0" applyNumberFormat="1" applyFont="1" applyFill="1" applyAlignment="1">
      <alignment horizontal="right"/>
    </xf>
    <xf numFmtId="0" fontId="1" fillId="2" borderId="0" xfId="0" applyNumberFormat="1" applyFont="1" applyFill="1" applyAlignment="1"/>
    <xf numFmtId="0" fontId="1" fillId="2" borderId="5" xfId="0" applyNumberFormat="1" applyFont="1" applyFill="1" applyBorder="1" applyAlignment="1"/>
    <xf numFmtId="164" fontId="1" fillId="2" borderId="5" xfId="0" applyNumberFormat="1" applyFont="1" applyFill="1" applyBorder="1" applyAlignment="1"/>
    <xf numFmtId="0" fontId="1" fillId="2" borderId="7" xfId="0" applyNumberFormat="1" applyFont="1" applyFill="1" applyBorder="1" applyAlignment="1"/>
    <xf numFmtId="0" fontId="1" fillId="2" borderId="8" xfId="0" applyNumberFormat="1" applyFont="1" applyFill="1" applyBorder="1" applyAlignment="1"/>
    <xf numFmtId="0" fontId="1" fillId="2" borderId="3" xfId="0" applyNumberFormat="1" applyFont="1" applyFill="1" applyBorder="1" applyAlignment="1"/>
    <xf numFmtId="3" fontId="22" fillId="2" borderId="9" xfId="0" applyNumberFormat="1" applyFont="1" applyFill="1" applyBorder="1" applyAlignment="1"/>
    <xf numFmtId="10" fontId="1" fillId="0" borderId="0" xfId="0" applyNumberFormat="1" applyFont="1" applyAlignment="1"/>
    <xf numFmtId="172" fontId="19" fillId="2" borderId="5" xfId="0" applyNumberFormat="1" applyFont="1" applyFill="1" applyBorder="1" applyAlignment="1">
      <alignment horizontal="center"/>
    </xf>
    <xf numFmtId="172" fontId="19" fillId="2" borderId="5" xfId="0" applyNumberFormat="1" applyFont="1" applyFill="1" applyBorder="1" applyAlignment="1"/>
    <xf numFmtId="10" fontId="11" fillId="2" borderId="0" xfId="0" applyNumberFormat="1" applyFont="1" applyFill="1" applyAlignment="1"/>
    <xf numFmtId="3" fontId="0" fillId="0" borderId="3" xfId="0" applyNumberFormat="1" applyBorder="1"/>
    <xf numFmtId="3" fontId="2" fillId="2" borderId="5" xfId="0" applyNumberFormat="1" applyFont="1" applyFill="1" applyBorder="1" applyAlignment="1" applyProtection="1">
      <alignment horizontal="right"/>
      <protection locked="0"/>
    </xf>
    <xf numFmtId="3" fontId="2" fillId="2" borderId="5" xfId="0" applyNumberFormat="1" applyFont="1" applyFill="1" applyBorder="1" applyAlignment="1" applyProtection="1">
      <alignment horizontal="center"/>
      <protection locked="0"/>
    </xf>
    <xf numFmtId="4" fontId="2" fillId="2" borderId="5" xfId="0" applyNumberFormat="1" applyFont="1" applyFill="1" applyBorder="1" applyAlignment="1" applyProtection="1">
      <alignment horizontal="center"/>
      <protection locked="0"/>
    </xf>
    <xf numFmtId="10" fontId="2" fillId="2" borderId="5" xfId="0" applyNumberFormat="1" applyFont="1" applyFill="1" applyBorder="1" applyAlignment="1" applyProtection="1">
      <alignment horizontal="center"/>
      <protection locked="0"/>
    </xf>
    <xf numFmtId="0" fontId="2" fillId="3" borderId="1" xfId="0" applyNumberFormat="1" applyFont="1" applyFill="1" applyBorder="1" applyAlignment="1"/>
    <xf numFmtId="0" fontId="2" fillId="3" borderId="2" xfId="0" applyNumberFormat="1" applyFont="1" applyFill="1" applyBorder="1" applyAlignment="1"/>
    <xf numFmtId="0" fontId="2" fillId="3" borderId="3" xfId="0" applyNumberFormat="1" applyFont="1" applyFill="1" applyBorder="1" applyAlignment="1"/>
    <xf numFmtId="0" fontId="5" fillId="3" borderId="0" xfId="0" applyNumberFormat="1" applyFont="1" applyFill="1" applyAlignment="1"/>
    <xf numFmtId="0" fontId="2" fillId="3" borderId="0" xfId="0" applyNumberFormat="1" applyFont="1" applyFill="1" applyAlignment="1"/>
    <xf numFmtId="0" fontId="2" fillId="3" borderId="3" xfId="0" applyNumberFormat="1" applyFont="1" applyFill="1" applyBorder="1" applyAlignment="1">
      <alignment horizontal="center"/>
    </xf>
    <xf numFmtId="0" fontId="19" fillId="3" borderId="0" xfId="0" applyNumberFormat="1" applyFont="1" applyFill="1" applyAlignment="1"/>
    <xf numFmtId="0" fontId="7" fillId="3" borderId="0" xfId="0" applyNumberFormat="1" applyFont="1" applyFill="1" applyAlignment="1"/>
    <xf numFmtId="0" fontId="27" fillId="3" borderId="0" xfId="0" applyNumberFormat="1" applyFont="1" applyFill="1" applyAlignment="1"/>
    <xf numFmtId="0" fontId="28" fillId="3" borderId="0" xfId="1" applyNumberFormat="1" applyFont="1" applyFill="1" applyAlignment="1" applyProtection="1"/>
    <xf numFmtId="0" fontId="9" fillId="3" borderId="0" xfId="0" applyNumberFormat="1" applyFont="1" applyFill="1" applyAlignment="1"/>
    <xf numFmtId="0" fontId="11" fillId="3" borderId="0" xfId="0" applyNumberFormat="1" applyFont="1" applyFill="1" applyAlignment="1"/>
    <xf numFmtId="0" fontId="12" fillId="3" borderId="0" xfId="0" applyNumberFormat="1" applyFont="1" applyFill="1" applyAlignment="1">
      <alignment horizontal="center" wrapText="1"/>
    </xf>
    <xf numFmtId="9" fontId="10" fillId="3" borderId="0" xfId="0" applyNumberFormat="1" applyFont="1" applyFill="1" applyAlignment="1">
      <alignment horizontal="center"/>
    </xf>
    <xf numFmtId="10" fontId="11" fillId="3" borderId="0" xfId="0" applyNumberFormat="1" applyFont="1" applyFill="1" applyAlignment="1"/>
    <xf numFmtId="0" fontId="2" fillId="3" borderId="0" xfId="0" applyNumberFormat="1" applyFont="1" applyFill="1" applyAlignment="1">
      <alignment horizontal="center"/>
    </xf>
    <xf numFmtId="0" fontId="4" fillId="3" borderId="0" xfId="0" applyNumberFormat="1" applyFont="1" applyFill="1" applyAlignment="1"/>
    <xf numFmtId="0" fontId="1" fillId="3" borderId="0" xfId="0" applyNumberFormat="1" applyFont="1" applyFill="1" applyAlignment="1"/>
    <xf numFmtId="0" fontId="2" fillId="3" borderId="0" xfId="0" applyNumberFormat="1" applyFont="1" applyFill="1" applyAlignment="1">
      <alignment horizontal="right"/>
    </xf>
    <xf numFmtId="0" fontId="2" fillId="3" borderId="5" xfId="0" applyNumberFormat="1" applyFont="1" applyFill="1" applyBorder="1" applyAlignment="1"/>
    <xf numFmtId="0" fontId="2" fillId="3" borderId="6" xfId="0" applyNumberFormat="1" applyFont="1" applyFill="1" applyBorder="1" applyAlignment="1"/>
    <xf numFmtId="4" fontId="2" fillId="3" borderId="2" xfId="0" applyNumberFormat="1" applyFont="1" applyFill="1" applyBorder="1" applyAlignment="1" applyProtection="1">
      <alignment horizontal="right"/>
      <protection locked="0"/>
    </xf>
    <xf numFmtId="4" fontId="2" fillId="3" borderId="0" xfId="0" applyNumberFormat="1" applyFont="1" applyFill="1" applyAlignment="1" applyProtection="1">
      <alignment horizontal="right"/>
      <protection locked="0"/>
    </xf>
    <xf numFmtId="0" fontId="19" fillId="3" borderId="0" xfId="0" applyNumberFormat="1" applyFont="1" applyFill="1" applyAlignment="1">
      <alignment horizontal="left" vertical="top" wrapText="1"/>
    </xf>
    <xf numFmtId="0" fontId="19" fillId="3" borderId="0" xfId="0" applyNumberFormat="1" applyFont="1" applyFill="1" applyAlignment="1">
      <alignment horizontal="center" vertical="top" wrapText="1"/>
    </xf>
    <xf numFmtId="4" fontId="19" fillId="3" borderId="0" xfId="0" applyNumberFormat="1" applyFont="1" applyFill="1" applyAlignment="1" applyProtection="1">
      <alignment horizontal="center" vertical="top" wrapText="1"/>
      <protection locked="0"/>
    </xf>
    <xf numFmtId="0" fontId="20" fillId="3" borderId="0" xfId="0" applyNumberFormat="1" applyFont="1" applyFill="1" applyAlignment="1"/>
    <xf numFmtId="3" fontId="2" fillId="3" borderId="0" xfId="0" applyNumberFormat="1" applyFont="1" applyFill="1" applyAlignment="1"/>
    <xf numFmtId="3" fontId="13" fillId="3" borderId="0" xfId="0" applyNumberFormat="1" applyFont="1" applyFill="1" applyAlignment="1"/>
    <xf numFmtId="0" fontId="21" fillId="3" borderId="0" xfId="0" applyNumberFormat="1" applyFont="1" applyFill="1" applyAlignment="1"/>
    <xf numFmtId="4" fontId="13" fillId="3" borderId="0" xfId="0" applyNumberFormat="1" applyFont="1" applyFill="1" applyAlignment="1" applyProtection="1">
      <alignment horizontal="right"/>
      <protection locked="0"/>
    </xf>
    <xf numFmtId="0" fontId="19" fillId="3" borderId="0" xfId="0" applyNumberFormat="1" applyFont="1" applyFill="1" applyAlignment="1">
      <alignment horizontal="right"/>
    </xf>
    <xf numFmtId="4" fontId="19" fillId="3" borderId="0" xfId="0" applyNumberFormat="1" applyFont="1" applyFill="1" applyAlignment="1" applyProtection="1">
      <alignment horizontal="right"/>
      <protection locked="0"/>
    </xf>
    <xf numFmtId="0" fontId="6" fillId="3" borderId="0" xfId="0" applyNumberFormat="1" applyFont="1" applyFill="1" applyAlignment="1"/>
    <xf numFmtId="0" fontId="2" fillId="3" borderId="0" xfId="0" applyNumberFormat="1" applyFont="1" applyFill="1" applyAlignment="1" applyProtection="1">
      <protection locked="0"/>
    </xf>
    <xf numFmtId="0" fontId="13" fillId="3" borderId="3" xfId="0" applyNumberFormat="1" applyFont="1" applyFill="1" applyBorder="1" applyAlignment="1"/>
    <xf numFmtId="0" fontId="17" fillId="3" borderId="0" xfId="0" applyNumberFormat="1" applyFont="1" applyFill="1" applyAlignment="1"/>
    <xf numFmtId="15" fontId="16" fillId="3" borderId="0" xfId="0" applyNumberFormat="1" applyFont="1" applyFill="1" applyAlignment="1">
      <alignment horizontal="centerContinuous"/>
    </xf>
    <xf numFmtId="15" fontId="16" fillId="3" borderId="0" xfId="0" applyNumberFormat="1" applyFont="1" applyFill="1" applyAlignment="1">
      <alignment horizontal="center"/>
    </xf>
    <xf numFmtId="0" fontId="13" fillId="3" borderId="4" xfId="0" applyNumberFormat="1" applyFont="1" applyFill="1" applyBorder="1" applyAlignment="1">
      <alignment horizontal="right"/>
    </xf>
    <xf numFmtId="3" fontId="16" fillId="3" borderId="5" xfId="0" applyNumberFormat="1" applyFont="1" applyFill="1" applyBorder="1" applyAlignment="1"/>
    <xf numFmtId="0" fontId="1" fillId="3" borderId="3" xfId="0" applyNumberFormat="1" applyFont="1" applyFill="1" applyBorder="1" applyAlignment="1"/>
    <xf numFmtId="0" fontId="18" fillId="3" borderId="0" xfId="0" applyNumberFormat="1" applyFont="1" applyFill="1" applyAlignment="1"/>
    <xf numFmtId="0" fontId="29" fillId="3" borderId="2" xfId="0" applyNumberFormat="1" applyFont="1" applyFill="1" applyBorder="1" applyAlignment="1"/>
    <xf numFmtId="0" fontId="30" fillId="3" borderId="0" xfId="0" applyNumberFormat="1" applyFont="1" applyFill="1" applyAlignment="1"/>
    <xf numFmtId="0" fontId="31" fillId="3" borderId="0" xfId="0" applyNumberFormat="1" applyFont="1" applyFill="1" applyAlignment="1"/>
    <xf numFmtId="0" fontId="32" fillId="3" borderId="0" xfId="0" applyNumberFormat="1" applyFont="1" applyFill="1" applyAlignment="1"/>
    <xf numFmtId="0" fontId="33" fillId="3" borderId="0" xfId="0" applyNumberFormat="1" applyFont="1" applyFill="1" applyAlignment="1">
      <alignment horizontal="center"/>
    </xf>
    <xf numFmtId="9" fontId="31" fillId="3" borderId="0" xfId="0" applyNumberFormat="1" applyFont="1" applyFill="1" applyAlignment="1">
      <alignment horizontal="center"/>
    </xf>
    <xf numFmtId="10" fontId="31" fillId="3" borderId="0" xfId="0" applyNumberFormat="1" applyFont="1" applyFill="1" applyAlignment="1">
      <alignment horizontal="center"/>
    </xf>
    <xf numFmtId="0" fontId="31" fillId="3" borderId="0" xfId="0" applyNumberFormat="1" applyFont="1" applyFill="1" applyAlignment="1">
      <alignment horizontal="center"/>
    </xf>
    <xf numFmtId="0" fontId="32" fillId="3" borderId="0" xfId="0" applyNumberFormat="1" applyFont="1" applyFill="1" applyAlignment="1">
      <alignment horizontal="center" wrapText="1"/>
    </xf>
    <xf numFmtId="15" fontId="31" fillId="3" borderId="0" xfId="0" applyNumberFormat="1" applyFont="1" applyFill="1" applyAlignment="1">
      <alignment horizontal="center"/>
    </xf>
    <xf numFmtId="0" fontId="33" fillId="3" borderId="5" xfId="0" applyNumberFormat="1" applyFont="1" applyFill="1" applyBorder="1" applyAlignment="1"/>
    <xf numFmtId="0" fontId="31" fillId="3" borderId="5" xfId="0" applyNumberFormat="1" applyFont="1" applyFill="1" applyBorder="1" applyAlignment="1"/>
    <xf numFmtId="0" fontId="33" fillId="3" borderId="5" xfId="0" applyNumberFormat="1" applyFont="1" applyFill="1" applyBorder="1" applyAlignment="1">
      <alignment horizontal="center"/>
    </xf>
    <xf numFmtId="3" fontId="33" fillId="3" borderId="5" xfId="0" applyNumberFormat="1" applyFont="1" applyFill="1" applyBorder="1" applyAlignment="1"/>
    <xf numFmtId="0" fontId="33" fillId="3" borderId="4" xfId="0" applyNumberFormat="1" applyFont="1" applyFill="1" applyBorder="1" applyAlignment="1"/>
    <xf numFmtId="0" fontId="33" fillId="3" borderId="3" xfId="0" applyNumberFormat="1" applyFont="1" applyFill="1" applyBorder="1" applyAlignment="1"/>
    <xf numFmtId="0" fontId="33" fillId="3" borderId="0" xfId="0" applyNumberFormat="1" applyFont="1" applyFill="1" applyAlignment="1"/>
    <xf numFmtId="15" fontId="33" fillId="3" borderId="0" xfId="0" applyNumberFormat="1" applyFont="1" applyFill="1" applyAlignment="1" applyProtection="1">
      <alignment horizontal="center"/>
      <protection locked="0"/>
    </xf>
    <xf numFmtId="15" fontId="33" fillId="3" borderId="0" xfId="0" applyNumberFormat="1" applyFont="1" applyFill="1" applyAlignment="1">
      <alignment horizontal="center"/>
    </xf>
    <xf numFmtId="0" fontId="33" fillId="3" borderId="6" xfId="0" applyNumberFormat="1" applyFont="1" applyFill="1" applyBorder="1" applyAlignment="1"/>
    <xf numFmtId="0" fontId="37" fillId="3" borderId="7" xfId="0" applyNumberFormat="1" applyFont="1" applyFill="1" applyBorder="1" applyAlignment="1"/>
    <xf numFmtId="0" fontId="33" fillId="3" borderId="7" xfId="0" applyNumberFormat="1" applyFont="1" applyFill="1" applyBorder="1" applyAlignment="1"/>
    <xf numFmtId="0" fontId="33" fillId="3" borderId="7" xfId="0" applyNumberFormat="1" applyFont="1" applyFill="1" applyBorder="1" applyAlignment="1" applyProtection="1">
      <alignment horizontal="right"/>
      <protection locked="0"/>
    </xf>
    <xf numFmtId="0" fontId="33" fillId="3" borderId="8" xfId="0" applyNumberFormat="1" applyFont="1" applyFill="1" applyBorder="1" applyAlignment="1"/>
    <xf numFmtId="3" fontId="33" fillId="3" borderId="5" xfId="0" applyNumberFormat="1" applyFont="1" applyFill="1" applyBorder="1" applyAlignment="1" applyProtection="1">
      <alignment horizontal="right"/>
      <protection locked="0"/>
    </xf>
    <xf numFmtId="4" fontId="33" fillId="3" borderId="0" xfId="0" applyNumberFormat="1" applyFont="1" applyFill="1" applyAlignment="1" applyProtection="1">
      <alignment horizontal="right"/>
      <protection locked="0"/>
    </xf>
    <xf numFmtId="4" fontId="33" fillId="3" borderId="7" xfId="0" applyNumberFormat="1" applyFont="1" applyFill="1" applyBorder="1" applyAlignment="1" applyProtection="1">
      <alignment horizontal="right"/>
      <protection locked="0"/>
    </xf>
    <xf numFmtId="0" fontId="34" fillId="3" borderId="7" xfId="0" applyNumberFormat="1" applyFont="1" applyFill="1" applyBorder="1" applyAlignment="1"/>
    <xf numFmtId="0" fontId="34" fillId="3" borderId="8" xfId="0" applyNumberFormat="1" applyFont="1" applyFill="1" applyBorder="1" applyAlignment="1"/>
    <xf numFmtId="0" fontId="33" fillId="3" borderId="5" xfId="0" applyNumberFormat="1" applyFont="1" applyFill="1" applyBorder="1" applyAlignment="1" applyProtection="1">
      <protection locked="0"/>
    </xf>
    <xf numFmtId="3" fontId="33" fillId="3" borderId="5" xfId="0" applyNumberFormat="1" applyFont="1" applyFill="1" applyBorder="1" applyAlignment="1" applyProtection="1">
      <alignment horizontal="center"/>
      <protection locked="0"/>
    </xf>
    <xf numFmtId="166" fontId="33" fillId="3" borderId="5" xfId="0" applyNumberFormat="1" applyFont="1" applyFill="1" applyBorder="1" applyAlignment="1"/>
    <xf numFmtId="10" fontId="33" fillId="3" borderId="5" xfId="0" applyNumberFormat="1" applyFont="1" applyFill="1" applyBorder="1" applyAlignment="1"/>
    <xf numFmtId="9" fontId="33" fillId="3" borderId="5" xfId="0" applyNumberFormat="1" applyFont="1" applyFill="1" applyBorder="1" applyAlignment="1"/>
    <xf numFmtId="9" fontId="33" fillId="3" borderId="0" xfId="0" applyNumberFormat="1" applyFont="1" applyFill="1" applyAlignment="1"/>
    <xf numFmtId="3" fontId="33" fillId="3" borderId="0" xfId="0" applyNumberFormat="1" applyFont="1" applyFill="1" applyAlignment="1" applyProtection="1">
      <alignment horizontal="right"/>
      <protection locked="0"/>
    </xf>
    <xf numFmtId="0" fontId="34" fillId="3" borderId="3" xfId="0" applyNumberFormat="1" applyFont="1" applyFill="1" applyBorder="1" applyAlignment="1"/>
    <xf numFmtId="0" fontId="34" fillId="3" borderId="0" xfId="0" applyNumberFormat="1" applyFont="1" applyFill="1" applyAlignment="1"/>
    <xf numFmtId="0" fontId="31" fillId="3" borderId="0" xfId="0" quotePrefix="1" applyNumberFormat="1" applyFont="1" applyFill="1" applyAlignment="1">
      <alignment horizontal="center"/>
    </xf>
    <xf numFmtId="0" fontId="36" fillId="3" borderId="0" xfId="0" applyNumberFormat="1" applyFont="1" applyFill="1" applyAlignment="1"/>
    <xf numFmtId="0" fontId="39" fillId="4" borderId="3" xfId="0" applyNumberFormat="1" applyFont="1" applyFill="1" applyBorder="1" applyAlignment="1"/>
    <xf numFmtId="0" fontId="40" fillId="4" borderId="0" xfId="0" applyNumberFormat="1" applyFont="1" applyFill="1" applyAlignment="1"/>
    <xf numFmtId="0" fontId="40" fillId="4" borderId="0" xfId="0" applyNumberFormat="1" applyFont="1" applyFill="1" applyAlignment="1">
      <alignment horizontal="center"/>
    </xf>
    <xf numFmtId="3" fontId="40" fillId="4" borderId="0" xfId="0" applyNumberFormat="1" applyFont="1" applyFill="1" applyAlignment="1">
      <alignment horizontal="center"/>
    </xf>
    <xf numFmtId="0" fontId="39" fillId="4" borderId="0" xfId="0" applyNumberFormat="1" applyFont="1" applyFill="1" applyAlignment="1"/>
    <xf numFmtId="0" fontId="39" fillId="4" borderId="12" xfId="0" applyNumberFormat="1" applyFont="1" applyFill="1" applyBorder="1" applyAlignment="1"/>
    <xf numFmtId="0" fontId="39" fillId="4" borderId="10" xfId="0" applyNumberFormat="1" applyFont="1" applyFill="1" applyBorder="1" applyAlignment="1"/>
    <xf numFmtId="0" fontId="39" fillId="4" borderId="11" xfId="0" applyNumberFormat="1" applyFont="1" applyFill="1" applyBorder="1" applyAlignment="1"/>
    <xf numFmtId="9" fontId="39" fillId="4" borderId="10" xfId="0" applyNumberFormat="1" applyFont="1" applyFill="1" applyBorder="1" applyAlignment="1"/>
    <xf numFmtId="0" fontId="37" fillId="3" borderId="0" xfId="0" applyNumberFormat="1" applyFont="1" applyFill="1" applyAlignment="1"/>
    <xf numFmtId="0" fontId="33" fillId="3" borderId="0" xfId="0" applyNumberFormat="1" applyFont="1" applyFill="1" applyBorder="1" applyAlignment="1"/>
    <xf numFmtId="15" fontId="33" fillId="3" borderId="0" xfId="0" applyNumberFormat="1" applyFont="1" applyFill="1" applyBorder="1" applyAlignment="1" applyProtection="1">
      <alignment horizontal="center"/>
      <protection locked="0"/>
    </xf>
    <xf numFmtId="15" fontId="33" fillId="3" borderId="0" xfId="0" applyNumberFormat="1" applyFont="1" applyFill="1" applyBorder="1" applyAlignment="1">
      <alignment horizontal="center"/>
    </xf>
    <xf numFmtId="0" fontId="2" fillId="3" borderId="13" xfId="0" applyNumberFormat="1" applyFont="1" applyFill="1" applyBorder="1" applyAlignment="1"/>
    <xf numFmtId="0" fontId="33" fillId="3" borderId="14" xfId="0" applyNumberFormat="1" applyFont="1" applyFill="1" applyBorder="1" applyAlignment="1"/>
    <xf numFmtId="0" fontId="33" fillId="3" borderId="14" xfId="0" applyNumberFormat="1" applyFont="1" applyFill="1" applyBorder="1" applyAlignment="1">
      <alignment horizontal="center" wrapText="1"/>
    </xf>
    <xf numFmtId="0" fontId="34" fillId="3" borderId="14" xfId="0" applyNumberFormat="1" applyFont="1" applyFill="1" applyBorder="1" applyAlignment="1"/>
    <xf numFmtId="0" fontId="33" fillId="3" borderId="15" xfId="0" applyNumberFormat="1" applyFont="1" applyFill="1" applyBorder="1" applyAlignment="1"/>
    <xf numFmtId="0" fontId="10" fillId="3" borderId="13" xfId="0" applyNumberFormat="1" applyFont="1" applyFill="1" applyBorder="1" applyAlignment="1"/>
    <xf numFmtId="0" fontId="31" fillId="3" borderId="14" xfId="0" applyNumberFormat="1" applyFont="1" applyFill="1" applyBorder="1" applyAlignment="1"/>
    <xf numFmtId="0" fontId="35" fillId="3" borderId="14" xfId="0" applyNumberFormat="1" applyFont="1" applyFill="1" applyBorder="1" applyAlignment="1">
      <alignment horizontal="center" wrapText="1"/>
    </xf>
    <xf numFmtId="0" fontId="33" fillId="3" borderId="14" xfId="0" applyNumberFormat="1" applyFont="1" applyFill="1" applyBorder="1" applyAlignment="1">
      <alignment horizontal="center"/>
    </xf>
    <xf numFmtId="164" fontId="33" fillId="3" borderId="14" xfId="0" applyNumberFormat="1" applyFont="1" applyFill="1" applyBorder="1" applyAlignment="1"/>
    <xf numFmtId="164" fontId="33" fillId="3" borderId="14" xfId="0" applyNumberFormat="1" applyFont="1" applyFill="1" applyBorder="1" applyAlignment="1">
      <alignment horizontal="center"/>
    </xf>
    <xf numFmtId="168" fontId="33" fillId="3" borderId="14" xfId="0" applyNumberFormat="1" applyFont="1" applyFill="1" applyBorder="1" applyAlignment="1">
      <alignment horizontal="center"/>
    </xf>
    <xf numFmtId="169" fontId="33" fillId="3" borderId="14" xfId="0" applyNumberFormat="1" applyFont="1" applyFill="1" applyBorder="1" applyAlignment="1">
      <alignment horizontal="center"/>
    </xf>
    <xf numFmtId="170" fontId="33" fillId="3" borderId="14" xfId="0" applyNumberFormat="1" applyFont="1" applyFill="1" applyBorder="1" applyAlignment="1">
      <alignment horizontal="center"/>
    </xf>
    <xf numFmtId="164" fontId="34" fillId="3" borderId="14" xfId="0" applyNumberFormat="1" applyFont="1" applyFill="1" applyBorder="1" applyAlignment="1"/>
    <xf numFmtId="3" fontId="33" fillId="3" borderId="15" xfId="0" applyNumberFormat="1" applyFont="1" applyFill="1" applyBorder="1" applyAlignment="1"/>
    <xf numFmtId="164" fontId="31" fillId="3" borderId="14" xfId="0" applyNumberFormat="1" applyFont="1" applyFill="1" applyBorder="1" applyAlignment="1"/>
    <xf numFmtId="164" fontId="31" fillId="3" borderId="14" xfId="0" applyNumberFormat="1" applyFont="1" applyFill="1" applyBorder="1" applyAlignment="1">
      <alignment horizontal="center"/>
    </xf>
    <xf numFmtId="168" fontId="31" fillId="3" borderId="14" xfId="0" applyNumberFormat="1" applyFont="1" applyFill="1" applyBorder="1" applyAlignment="1">
      <alignment horizontal="center"/>
    </xf>
    <xf numFmtId="169" fontId="31" fillId="3" borderId="14" xfId="0" applyNumberFormat="1" applyFont="1" applyFill="1" applyBorder="1" applyAlignment="1">
      <alignment horizontal="center"/>
    </xf>
    <xf numFmtId="170" fontId="31" fillId="3" borderId="14" xfId="0" applyNumberFormat="1" applyFont="1" applyFill="1" applyBorder="1" applyAlignment="1">
      <alignment horizontal="center"/>
    </xf>
    <xf numFmtId="164" fontId="36" fillId="3" borderId="14" xfId="0" applyNumberFormat="1" applyFont="1" applyFill="1" applyBorder="1" applyAlignment="1"/>
    <xf numFmtId="0" fontId="19" fillId="3" borderId="14" xfId="0" applyNumberFormat="1" applyFont="1" applyFill="1" applyBorder="1" applyAlignment="1"/>
    <xf numFmtId="164" fontId="19" fillId="3" borderId="14" xfId="0" applyNumberFormat="1" applyFont="1" applyFill="1" applyBorder="1" applyAlignment="1"/>
    <xf numFmtId="172" fontId="19" fillId="3" borderId="14" xfId="0" applyNumberFormat="1" applyFont="1" applyFill="1" applyBorder="1" applyAlignment="1">
      <alignment horizontal="center"/>
    </xf>
    <xf numFmtId="172" fontId="19" fillId="3" borderId="14" xfId="0" applyNumberFormat="1" applyFont="1" applyFill="1" applyBorder="1" applyAlignment="1"/>
    <xf numFmtId="171" fontId="19" fillId="3" borderId="14" xfId="0" applyNumberFormat="1" applyFont="1" applyFill="1" applyBorder="1" applyAlignment="1">
      <alignment horizontal="center"/>
    </xf>
    <xf numFmtId="164" fontId="2" fillId="3" borderId="14" xfId="0" applyNumberFormat="1" applyFont="1" applyFill="1" applyBorder="1" applyAlignment="1">
      <alignment horizontal="center"/>
    </xf>
    <xf numFmtId="164" fontId="1" fillId="3" borderId="14" xfId="0" applyNumberFormat="1" applyFont="1" applyFill="1" applyBorder="1" applyAlignment="1"/>
    <xf numFmtId="3" fontId="2" fillId="3" borderId="15" xfId="0" applyNumberFormat="1" applyFont="1" applyFill="1" applyBorder="1" applyAlignment="1"/>
    <xf numFmtId="4" fontId="19" fillId="3" borderId="14" xfId="0" applyNumberFormat="1" applyFont="1" applyFill="1" applyBorder="1" applyAlignment="1">
      <alignment horizontal="center"/>
    </xf>
    <xf numFmtId="0" fontId="33" fillId="3" borderId="13" xfId="0" applyNumberFormat="1" applyFont="1" applyFill="1" applyBorder="1" applyAlignment="1"/>
    <xf numFmtId="165" fontId="33" fillId="3" borderId="14" xfId="0" applyNumberFormat="1" applyFont="1" applyFill="1" applyBorder="1" applyAlignment="1">
      <alignment horizontal="center"/>
    </xf>
    <xf numFmtId="10" fontId="33" fillId="3" borderId="14" xfId="0" applyNumberFormat="1" applyFont="1" applyFill="1" applyBorder="1" applyAlignment="1">
      <alignment horizontal="center"/>
    </xf>
    <xf numFmtId="167" fontId="33" fillId="3" borderId="14" xfId="0" applyNumberFormat="1" applyFont="1" applyFill="1" applyBorder="1" applyAlignment="1">
      <alignment horizontal="center"/>
    </xf>
    <xf numFmtId="0" fontId="33" fillId="3" borderId="14" xfId="0" applyNumberFormat="1" applyFont="1" applyFill="1" applyBorder="1" applyAlignment="1">
      <alignment horizontal="right"/>
    </xf>
    <xf numFmtId="165" fontId="33" fillId="3" borderId="14" xfId="0" applyNumberFormat="1" applyFont="1" applyFill="1" applyBorder="1" applyAlignment="1"/>
    <xf numFmtId="4" fontId="33" fillId="3" borderId="14" xfId="0" applyNumberFormat="1" applyFont="1" applyFill="1" applyBorder="1" applyAlignment="1">
      <alignment horizontal="center"/>
    </xf>
    <xf numFmtId="15" fontId="31" fillId="3" borderId="14" xfId="0" applyNumberFormat="1" applyFont="1" applyFill="1" applyBorder="1" applyAlignment="1">
      <alignment horizontal="center"/>
    </xf>
    <xf numFmtId="15" fontId="31" fillId="3" borderId="14" xfId="0" applyNumberFormat="1" applyFont="1" applyFill="1" applyBorder="1" applyAlignment="1" applyProtection="1">
      <alignment horizontal="center"/>
      <protection locked="0"/>
    </xf>
    <xf numFmtId="15" fontId="33" fillId="3" borderId="14" xfId="0" applyNumberFormat="1" applyFont="1" applyFill="1" applyBorder="1" applyAlignment="1"/>
    <xf numFmtId="15" fontId="33" fillId="3" borderId="14" xfId="0" applyNumberFormat="1" applyFont="1" applyFill="1" applyBorder="1" applyAlignment="1" applyProtection="1">
      <alignment horizontal="center"/>
      <protection locked="0"/>
    </xf>
    <xf numFmtId="15" fontId="33" fillId="3" borderId="14" xfId="0" applyNumberFormat="1" applyFont="1" applyFill="1" applyBorder="1" applyAlignment="1">
      <alignment horizontal="center"/>
    </xf>
    <xf numFmtId="0" fontId="2" fillId="3" borderId="0" xfId="0" applyNumberFormat="1" applyFont="1" applyFill="1" applyBorder="1" applyAlignment="1"/>
    <xf numFmtId="3" fontId="2" fillId="3" borderId="0" xfId="0" applyNumberFormat="1" applyFont="1" applyFill="1" applyBorder="1" applyAlignment="1"/>
    <xf numFmtId="3" fontId="13" fillId="3" borderId="0" xfId="0" applyNumberFormat="1" applyFont="1" applyFill="1" applyBorder="1" applyAlignment="1"/>
    <xf numFmtId="3" fontId="33" fillId="3" borderId="14" xfId="0" applyNumberFormat="1" applyFont="1" applyFill="1" applyBorder="1" applyAlignment="1"/>
    <xf numFmtId="3" fontId="33" fillId="3" borderId="14" xfId="0" applyNumberFormat="1" applyFont="1" applyFill="1" applyBorder="1" applyAlignment="1" applyProtection="1">
      <alignment horizontal="right"/>
      <protection locked="0"/>
    </xf>
    <xf numFmtId="0" fontId="40" fillId="4" borderId="0" xfId="0" applyNumberFormat="1" applyFont="1" applyFill="1" applyAlignment="1">
      <alignment horizontal="right"/>
    </xf>
    <xf numFmtId="15" fontId="40" fillId="4" borderId="0" xfId="0" applyNumberFormat="1" applyFont="1" applyFill="1" applyAlignment="1">
      <alignment horizontal="right"/>
    </xf>
    <xf numFmtId="0" fontId="39" fillId="4" borderId="1" xfId="0" applyNumberFormat="1" applyFont="1" applyFill="1" applyBorder="1" applyAlignment="1"/>
    <xf numFmtId="0" fontId="39" fillId="4" borderId="2" xfId="0" applyNumberFormat="1" applyFont="1" applyFill="1" applyBorder="1" applyAlignment="1"/>
    <xf numFmtId="4" fontId="39" fillId="4" borderId="2" xfId="0" applyNumberFormat="1" applyFont="1" applyFill="1" applyBorder="1" applyAlignment="1" applyProtection="1">
      <alignment horizontal="right"/>
      <protection locked="0"/>
    </xf>
    <xf numFmtId="0" fontId="40" fillId="4" borderId="2" xfId="0" applyNumberFormat="1" applyFont="1" applyFill="1" applyBorder="1" applyAlignment="1"/>
    <xf numFmtId="15" fontId="40" fillId="4" borderId="2" xfId="0" applyNumberFormat="1" applyFont="1" applyFill="1" applyBorder="1" applyAlignment="1">
      <alignment horizontal="centerContinuous"/>
    </xf>
    <xf numFmtId="15" fontId="40" fillId="4" borderId="2" xfId="0" applyNumberFormat="1" applyFont="1" applyFill="1" applyBorder="1" applyAlignment="1">
      <alignment horizontal="center"/>
    </xf>
    <xf numFmtId="0" fontId="39" fillId="4" borderId="3" xfId="0" applyNumberFormat="1" applyFont="1" applyFill="1" applyBorder="1" applyAlignment="1">
      <alignment horizontal="right"/>
    </xf>
    <xf numFmtId="0" fontId="41" fillId="4" borderId="0" xfId="0" applyNumberFormat="1" applyFont="1" applyFill="1" applyAlignment="1">
      <alignment horizontal="center" wrapText="1"/>
    </xf>
    <xf numFmtId="0" fontId="42" fillId="4" borderId="0" xfId="0" applyNumberFormat="1" applyFont="1" applyFill="1" applyAlignment="1">
      <alignment horizontal="center" wrapText="1"/>
    </xf>
    <xf numFmtId="0" fontId="39" fillId="4" borderId="0" xfId="0" applyNumberFormat="1" applyFont="1" applyFill="1" applyAlignment="1">
      <alignment horizontal="center" wrapText="1"/>
    </xf>
    <xf numFmtId="0" fontId="43" fillId="4" borderId="0" xfId="0" applyNumberFormat="1" applyFont="1" applyFill="1" applyAlignment="1"/>
    <xf numFmtId="4" fontId="39" fillId="4" borderId="0" xfId="0" applyNumberFormat="1" applyFont="1" applyFill="1" applyAlignment="1" applyProtection="1">
      <alignment horizontal="right"/>
      <protection locked="0"/>
    </xf>
    <xf numFmtId="3" fontId="33" fillId="3" borderId="0" xfId="0" applyNumberFormat="1" applyFont="1" applyFill="1" applyBorder="1" applyAlignment="1"/>
    <xf numFmtId="14" fontId="33" fillId="3" borderId="14" xfId="0" applyNumberFormat="1" applyFont="1" applyFill="1" applyBorder="1" applyAlignment="1">
      <alignment horizontal="right"/>
    </xf>
    <xf numFmtId="167" fontId="33" fillId="3" borderId="14" xfId="0" applyNumberFormat="1" applyFont="1" applyFill="1" applyBorder="1" applyAlignment="1">
      <alignment horizontal="right"/>
    </xf>
    <xf numFmtId="0" fontId="21" fillId="3" borderId="14" xfId="0" applyNumberFormat="1" applyFont="1" applyFill="1" applyBorder="1" applyAlignment="1"/>
    <xf numFmtId="0" fontId="2" fillId="3" borderId="14" xfId="0" applyNumberFormat="1" applyFont="1" applyFill="1" applyBorder="1" applyAlignment="1"/>
    <xf numFmtId="3" fontId="2" fillId="3" borderId="14" xfId="0" applyNumberFormat="1" applyFont="1" applyFill="1" applyBorder="1" applyAlignment="1"/>
    <xf numFmtId="3" fontId="13" fillId="3" borderId="14" xfId="0" applyNumberFormat="1" applyFont="1" applyFill="1" applyBorder="1" applyAlignment="1" applyProtection="1">
      <alignment horizontal="right"/>
      <protection locked="0"/>
    </xf>
    <xf numFmtId="0" fontId="2" fillId="3" borderId="15" xfId="0" applyNumberFormat="1" applyFont="1" applyFill="1" applyBorder="1" applyAlignment="1"/>
    <xf numFmtId="4" fontId="13" fillId="3" borderId="14" xfId="0" applyNumberFormat="1" applyFont="1" applyFill="1" applyBorder="1" applyAlignment="1" applyProtection="1">
      <alignment horizontal="right"/>
      <protection locked="0"/>
    </xf>
    <xf numFmtId="4" fontId="2" fillId="3" borderId="0" xfId="0" applyNumberFormat="1" applyFont="1" applyFill="1" applyBorder="1" applyAlignment="1" applyProtection="1">
      <alignment horizontal="right"/>
      <protection locked="0"/>
    </xf>
    <xf numFmtId="4" fontId="33" fillId="3" borderId="14" xfId="0" applyNumberFormat="1" applyFont="1" applyFill="1" applyBorder="1" applyAlignment="1" applyProtection="1">
      <alignment horizontal="right"/>
      <protection locked="0"/>
    </xf>
    <xf numFmtId="4" fontId="33" fillId="3" borderId="0" xfId="0" applyNumberFormat="1" applyFont="1" applyFill="1" applyBorder="1" applyAlignment="1" applyProtection="1">
      <alignment horizontal="right"/>
      <protection locked="0"/>
    </xf>
    <xf numFmtId="0" fontId="33" fillId="3" borderId="14" xfId="0" applyNumberFormat="1" applyFont="1" applyFill="1" applyBorder="1" applyAlignment="1" applyProtection="1">
      <alignment horizontal="right"/>
      <protection locked="0"/>
    </xf>
    <xf numFmtId="2" fontId="33" fillId="3" borderId="14" xfId="0" applyNumberFormat="1" applyFont="1" applyFill="1" applyBorder="1" applyAlignment="1" applyProtection="1">
      <alignment horizontal="right"/>
      <protection locked="0"/>
    </xf>
    <xf numFmtId="0" fontId="33" fillId="3" borderId="0" xfId="0" applyNumberFormat="1" applyFont="1" applyFill="1" applyBorder="1" applyAlignment="1" applyProtection="1">
      <protection locked="0"/>
    </xf>
    <xf numFmtId="0" fontId="13" fillId="3" borderId="13" xfId="0" applyNumberFormat="1" applyFont="1" applyFill="1" applyBorder="1" applyAlignment="1"/>
    <xf numFmtId="15" fontId="31" fillId="3" borderId="14" xfId="0" applyNumberFormat="1" applyFont="1" applyFill="1" applyBorder="1" applyAlignment="1">
      <alignment horizontal="centerContinuous"/>
    </xf>
    <xf numFmtId="17" fontId="33" fillId="3" borderId="14" xfId="0" applyNumberFormat="1" applyFont="1" applyFill="1" applyBorder="1" applyAlignment="1">
      <alignment horizontal="center"/>
    </xf>
    <xf numFmtId="0" fontId="13" fillId="3" borderId="3" xfId="0" applyNumberFormat="1" applyFont="1" applyFill="1" applyBorder="1" applyAlignment="1">
      <alignment horizontal="right"/>
    </xf>
    <xf numFmtId="0" fontId="13" fillId="3" borderId="0" xfId="0" applyNumberFormat="1" applyFont="1" applyFill="1" applyBorder="1" applyAlignment="1"/>
    <xf numFmtId="0" fontId="13" fillId="3" borderId="0" xfId="0" applyNumberFormat="1" applyFont="1" applyFill="1" applyBorder="1" applyAlignment="1">
      <alignment horizontal="right"/>
    </xf>
    <xf numFmtId="4" fontId="13" fillId="3" borderId="0" xfId="0" applyNumberFormat="1" applyFont="1" applyFill="1" applyBorder="1" applyAlignment="1">
      <alignment horizontal="right"/>
    </xf>
    <xf numFmtId="10" fontId="13" fillId="3" borderId="0" xfId="0" applyNumberFormat="1" applyFont="1" applyFill="1" applyBorder="1" applyAlignment="1" applyProtection="1">
      <alignment horizontal="center"/>
      <protection locked="0"/>
    </xf>
    <xf numFmtId="0" fontId="2" fillId="3" borderId="0" xfId="0" applyNumberFormat="1" applyFont="1" applyFill="1" applyBorder="1" applyAlignment="1" applyProtection="1">
      <protection locked="0"/>
    </xf>
    <xf numFmtId="0" fontId="16" fillId="3" borderId="0" xfId="0" applyNumberFormat="1" applyFont="1" applyFill="1" applyBorder="1" applyAlignment="1"/>
    <xf numFmtId="0" fontId="13" fillId="3" borderId="13" xfId="0" applyNumberFormat="1" applyFont="1" applyFill="1" applyBorder="1" applyAlignment="1">
      <alignment horizontal="right"/>
    </xf>
    <xf numFmtId="3" fontId="33" fillId="3" borderId="14" xfId="0" applyNumberFormat="1" applyFont="1" applyFill="1" applyBorder="1" applyAlignment="1">
      <alignment horizontal="center"/>
    </xf>
    <xf numFmtId="3" fontId="33" fillId="3" borderId="14" xfId="0" applyNumberFormat="1" applyFont="1" applyFill="1" applyBorder="1" applyAlignment="1" applyProtection="1">
      <alignment horizontal="center"/>
      <protection locked="0"/>
    </xf>
    <xf numFmtId="0" fontId="33" fillId="3" borderId="14" xfId="0" applyNumberFormat="1" applyFont="1" applyFill="1" applyBorder="1" applyAlignment="1" applyProtection="1">
      <protection locked="0"/>
    </xf>
    <xf numFmtId="3" fontId="16" fillId="3" borderId="15" xfId="0" applyNumberFormat="1" applyFont="1" applyFill="1" applyBorder="1" applyAlignment="1"/>
    <xf numFmtId="3" fontId="13" fillId="3" borderId="14" xfId="0" applyNumberFormat="1" applyFont="1" applyFill="1" applyBorder="1" applyAlignment="1"/>
    <xf numFmtId="0" fontId="2" fillId="3" borderId="14" xfId="0" applyNumberFormat="1" applyFont="1" applyFill="1" applyBorder="1" applyAlignment="1" applyProtection="1">
      <protection locked="0"/>
    </xf>
    <xf numFmtId="4" fontId="33" fillId="3" borderId="14" xfId="0" applyNumberFormat="1" applyFont="1" applyFill="1" applyBorder="1" applyAlignment="1" applyProtection="1">
      <alignment horizontal="center"/>
      <protection locked="0"/>
    </xf>
    <xf numFmtId="0" fontId="13" fillId="3" borderId="13" xfId="0" applyNumberFormat="1" applyFont="1" applyFill="1" applyBorder="1" applyAlignment="1">
      <alignment horizontal="center"/>
    </xf>
    <xf numFmtId="0" fontId="13" fillId="3" borderId="14" xfId="0" applyNumberFormat="1" applyFont="1" applyFill="1" applyBorder="1" applyAlignment="1"/>
    <xf numFmtId="3" fontId="13" fillId="3" borderId="14" xfId="0" applyNumberFormat="1" applyFont="1" applyFill="1" applyBorder="1" applyAlignment="1" applyProtection="1">
      <alignment horizontal="center"/>
      <protection locked="0"/>
    </xf>
    <xf numFmtId="0" fontId="16" fillId="3" borderId="15" xfId="0" applyNumberFormat="1" applyFont="1" applyFill="1" applyBorder="1" applyAlignment="1"/>
    <xf numFmtId="0" fontId="38" fillId="3" borderId="14" xfId="0" applyNumberFormat="1" applyFont="1" applyFill="1" applyBorder="1" applyAlignment="1"/>
    <xf numFmtId="0" fontId="38" fillId="3" borderId="14" xfId="0" applyNumberFormat="1" applyFont="1" applyFill="1" applyBorder="1" applyAlignment="1">
      <alignment horizontal="center"/>
    </xf>
    <xf numFmtId="3" fontId="38" fillId="3" borderId="14" xfId="0" applyNumberFormat="1" applyFont="1" applyFill="1" applyBorder="1" applyAlignment="1" applyProtection="1">
      <alignment horizontal="center"/>
      <protection locked="0"/>
    </xf>
    <xf numFmtId="3" fontId="38" fillId="3" borderId="14" xfId="0" applyNumberFormat="1" applyFont="1" applyFill="1" applyBorder="1" applyAlignment="1"/>
    <xf numFmtId="0" fontId="2" fillId="3" borderId="14" xfId="0" applyNumberFormat="1" applyFont="1" applyFill="1" applyBorder="1" applyAlignment="1">
      <alignment horizontal="center"/>
    </xf>
    <xf numFmtId="0" fontId="33" fillId="3" borderId="13" xfId="0" applyNumberFormat="1" applyFont="1" applyFill="1" applyBorder="1" applyAlignment="1">
      <alignment horizontal="center"/>
    </xf>
    <xf numFmtId="0" fontId="33" fillId="3" borderId="13" xfId="0" applyNumberFormat="1" applyFont="1" applyFill="1" applyBorder="1" applyAlignment="1">
      <alignment horizontal="right"/>
    </xf>
    <xf numFmtId="4" fontId="33" fillId="3" borderId="14" xfId="0" applyNumberFormat="1" applyFont="1" applyFill="1" applyBorder="1" applyAlignment="1">
      <alignment horizontal="right"/>
    </xf>
    <xf numFmtId="0" fontId="13" fillId="3" borderId="14" xfId="0" applyNumberFormat="1" applyFont="1" applyFill="1" applyBorder="1" applyAlignment="1">
      <alignment horizontal="right"/>
    </xf>
    <xf numFmtId="4" fontId="13" fillId="3" borderId="14" xfId="0" applyNumberFormat="1" applyFont="1" applyFill="1" applyBorder="1" applyAlignment="1">
      <alignment horizontal="right"/>
    </xf>
    <xf numFmtId="10" fontId="2" fillId="3" borderId="14" xfId="0" applyNumberFormat="1" applyFont="1" applyFill="1" applyBorder="1" applyAlignment="1" applyProtection="1">
      <alignment horizontal="center"/>
      <protection locked="0"/>
    </xf>
    <xf numFmtId="10" fontId="13" fillId="3" borderId="14" xfId="0" applyNumberFormat="1" applyFont="1" applyFill="1" applyBorder="1" applyAlignment="1" applyProtection="1">
      <alignment horizontal="center"/>
      <protection locked="0"/>
    </xf>
    <xf numFmtId="0" fontId="27" fillId="3" borderId="14" xfId="0" applyNumberFormat="1" applyFont="1" applyFill="1" applyBorder="1" applyAlignment="1"/>
    <xf numFmtId="10" fontId="28" fillId="3" borderId="14" xfId="1" applyNumberFormat="1" applyFont="1" applyFill="1" applyBorder="1" applyAlignment="1">
      <alignment horizontal="left"/>
      <protection locked="0"/>
    </xf>
    <xf numFmtId="9" fontId="2" fillId="3" borderId="0" xfId="0" applyNumberFormat="1" applyFont="1" applyFill="1" applyBorder="1" applyAlignment="1"/>
    <xf numFmtId="10" fontId="2" fillId="3" borderId="0" xfId="0" applyNumberFormat="1" applyFont="1" applyFill="1" applyBorder="1" applyAlignment="1"/>
    <xf numFmtId="3" fontId="13" fillId="3" borderId="0" xfId="0" applyNumberFormat="1" applyFont="1" applyFill="1" applyBorder="1" applyAlignment="1" applyProtection="1">
      <alignment horizontal="right"/>
      <protection locked="0"/>
    </xf>
    <xf numFmtId="166" fontId="33" fillId="3" borderId="14" xfId="0" applyNumberFormat="1" applyFont="1" applyFill="1" applyBorder="1" applyAlignment="1"/>
    <xf numFmtId="10" fontId="33" fillId="3" borderId="14" xfId="0" applyNumberFormat="1" applyFont="1" applyFill="1" applyBorder="1" applyAlignment="1"/>
    <xf numFmtId="0" fontId="31" fillId="3" borderId="15" xfId="0" applyNumberFormat="1" applyFont="1" applyFill="1" applyBorder="1" applyAlignment="1"/>
    <xf numFmtId="9" fontId="33" fillId="3" borderId="14" xfId="0" applyNumberFormat="1" applyFont="1" applyFill="1" applyBorder="1" applyAlignment="1"/>
    <xf numFmtId="9" fontId="33" fillId="3" borderId="0" xfId="0" applyNumberFormat="1" applyFont="1" applyFill="1" applyBorder="1" applyAlignment="1"/>
    <xf numFmtId="10" fontId="33" fillId="3" borderId="0" xfId="0" applyNumberFormat="1" applyFont="1" applyFill="1" applyBorder="1" applyAlignment="1"/>
    <xf numFmtId="3" fontId="33" fillId="3" borderId="0" xfId="0" applyNumberFormat="1" applyFont="1" applyFill="1" applyBorder="1" applyAlignment="1" applyProtection="1">
      <alignment horizontal="right"/>
      <protection locked="0"/>
    </xf>
    <xf numFmtId="0" fontId="35" fillId="3" borderId="14" xfId="0" applyNumberFormat="1" applyFont="1" applyFill="1" applyBorder="1" applyAlignment="1"/>
    <xf numFmtId="3" fontId="35" fillId="3" borderId="14" xfId="0" applyNumberFormat="1" applyFont="1" applyFill="1" applyBorder="1" applyAlignment="1"/>
    <xf numFmtId="3" fontId="31" fillId="3" borderId="14" xfId="0" applyNumberFormat="1" applyFont="1" applyFill="1" applyBorder="1" applyAlignment="1" applyProtection="1">
      <alignment horizontal="right"/>
      <protection locked="0"/>
    </xf>
    <xf numFmtId="0" fontId="40" fillId="4" borderId="0" xfId="0" applyNumberFormat="1" applyFont="1" applyFill="1" applyAlignment="1">
      <alignment horizontal="center" wrapText="1"/>
    </xf>
    <xf numFmtId="0" fontId="31" fillId="3" borderId="14" xfId="0" applyNumberFormat="1" applyFont="1" applyFill="1" applyBorder="1" applyAlignment="1">
      <alignment horizontal="center" wrapText="1"/>
    </xf>
    <xf numFmtId="3" fontId="31" fillId="3" borderId="14" xfId="0" applyNumberFormat="1" applyFont="1" applyFill="1" applyBorder="1" applyAlignment="1"/>
    <xf numFmtId="0" fontId="33" fillId="3" borderId="16" xfId="0" applyNumberFormat="1" applyFont="1" applyFill="1" applyBorder="1" applyAlignment="1"/>
    <xf numFmtId="0" fontId="2" fillId="2" borderId="9" xfId="0" applyNumberFormat="1" applyFont="1" applyFill="1" applyBorder="1" applyAlignment="1"/>
    <xf numFmtId="0" fontId="2" fillId="5" borderId="1" xfId="0" applyNumberFormat="1" applyFont="1" applyFill="1" applyBorder="1" applyAlignment="1"/>
    <xf numFmtId="0" fontId="44" fillId="3" borderId="1" xfId="0" applyNumberFormat="1" applyFont="1" applyFill="1" applyBorder="1" applyAlignment="1"/>
    <xf numFmtId="0" fontId="44" fillId="3" borderId="2" xfId="0" applyNumberFormat="1" applyFont="1" applyFill="1" applyBorder="1" applyAlignment="1"/>
    <xf numFmtId="0" fontId="44" fillId="0" borderId="3" xfId="0" applyNumberFormat="1" applyFont="1" applyBorder="1"/>
    <xf numFmtId="0" fontId="44" fillId="0" borderId="0" xfId="0" applyNumberFormat="1" applyFont="1" applyAlignment="1"/>
    <xf numFmtId="0" fontId="44" fillId="3" borderId="3" xfId="0" applyNumberFormat="1" applyFont="1" applyFill="1" applyBorder="1" applyAlignment="1"/>
    <xf numFmtId="0" fontId="45" fillId="3" borderId="0" xfId="0" applyNumberFormat="1" applyFont="1" applyFill="1" applyAlignment="1"/>
    <xf numFmtId="0" fontId="44" fillId="3" borderId="0" xfId="0" applyNumberFormat="1" applyFont="1" applyFill="1" applyAlignment="1"/>
    <xf numFmtId="0" fontId="44" fillId="3" borderId="3" xfId="0" applyNumberFormat="1" applyFont="1" applyFill="1" applyBorder="1" applyAlignment="1">
      <alignment horizontal="center"/>
    </xf>
    <xf numFmtId="0" fontId="46" fillId="3" borderId="0" xfId="0" applyNumberFormat="1" applyFont="1" applyFill="1" applyAlignment="1"/>
    <xf numFmtId="0" fontId="47" fillId="3" borderId="0" xfId="0" applyNumberFormat="1" applyFont="1" applyFill="1" applyAlignment="1"/>
    <xf numFmtId="0" fontId="48" fillId="3" borderId="0" xfId="0" applyNumberFormat="1" applyFont="1" applyFill="1" applyAlignment="1"/>
    <xf numFmtId="0" fontId="49" fillId="6" borderId="0" xfId="1" applyNumberFormat="1" applyFont="1" applyFill="1" applyAlignment="1" applyProtection="1"/>
    <xf numFmtId="0" fontId="50" fillId="3" borderId="0" xfId="0" applyNumberFormat="1" applyFont="1" applyFill="1" applyAlignment="1"/>
    <xf numFmtId="0" fontId="52" fillId="3" borderId="0" xfId="0" applyNumberFormat="1" applyFont="1" applyFill="1" applyAlignment="1"/>
    <xf numFmtId="0" fontId="44" fillId="3" borderId="0" xfId="0" applyNumberFormat="1" applyFont="1" applyFill="1" applyAlignment="1">
      <alignment horizontal="right"/>
    </xf>
    <xf numFmtId="0" fontId="44" fillId="3" borderId="13" xfId="0" applyNumberFormat="1" applyFont="1" applyFill="1" applyBorder="1" applyAlignment="1"/>
    <xf numFmtId="0" fontId="54" fillId="3" borderId="14" xfId="0" applyNumberFormat="1" applyFont="1" applyFill="1" applyBorder="1" applyAlignment="1"/>
    <xf numFmtId="0" fontId="54" fillId="3" borderId="15" xfId="0" applyNumberFormat="1" applyFont="1" applyFill="1" applyBorder="1" applyAlignment="1"/>
    <xf numFmtId="0" fontId="53" fillId="3" borderId="13" xfId="0" applyNumberFormat="1" applyFont="1" applyFill="1" applyBorder="1" applyAlignment="1"/>
    <xf numFmtId="0" fontId="54" fillId="3" borderId="14" xfId="0" applyNumberFormat="1" applyFont="1" applyFill="1" applyBorder="1" applyAlignment="1">
      <alignment horizontal="center"/>
    </xf>
    <xf numFmtId="3" fontId="54" fillId="3" borderId="15" xfId="0" applyNumberFormat="1" applyFont="1" applyFill="1" applyBorder="1" applyAlignment="1"/>
    <xf numFmtId="164" fontId="44" fillId="3" borderId="14" xfId="0" applyNumberFormat="1" applyFont="1" applyFill="1" applyBorder="1" applyAlignment="1">
      <alignment horizontal="center"/>
    </xf>
    <xf numFmtId="164" fontId="44" fillId="3" borderId="14" xfId="0" applyNumberFormat="1" applyFont="1" applyFill="1" applyBorder="1" applyAlignment="1"/>
    <xf numFmtId="3" fontId="44" fillId="3" borderId="15" xfId="0" applyNumberFormat="1" applyFont="1" applyFill="1" applyBorder="1" applyAlignment="1"/>
    <xf numFmtId="4" fontId="57" fillId="3" borderId="14" xfId="0" applyNumberFormat="1" applyFont="1" applyFill="1" applyBorder="1" applyAlignment="1">
      <alignment horizontal="center"/>
    </xf>
    <xf numFmtId="0" fontId="54" fillId="3" borderId="13" xfId="0" applyNumberFormat="1" applyFont="1" applyFill="1" applyBorder="1" applyAlignment="1"/>
    <xf numFmtId="0" fontId="44" fillId="0" borderId="0" xfId="0" applyNumberFormat="1" applyFont="1" applyFill="1" applyBorder="1" applyAlignment="1"/>
    <xf numFmtId="0" fontId="54" fillId="3" borderId="3" xfId="0" applyNumberFormat="1" applyFont="1" applyFill="1" applyBorder="1" applyAlignment="1"/>
    <xf numFmtId="0" fontId="54" fillId="3" borderId="0" xfId="0" applyNumberFormat="1" applyFont="1" applyFill="1" applyBorder="1" applyAlignment="1"/>
    <xf numFmtId="15" fontId="54" fillId="3" borderId="0" xfId="0" applyNumberFormat="1" applyFont="1" applyFill="1" applyBorder="1" applyAlignment="1" applyProtection="1">
      <alignment horizontal="center"/>
      <protection locked="0"/>
    </xf>
    <xf numFmtId="15" fontId="54" fillId="3" borderId="0" xfId="0" applyNumberFormat="1" applyFont="1" applyFill="1" applyBorder="1" applyAlignment="1">
      <alignment horizontal="center"/>
    </xf>
    <xf numFmtId="0" fontId="54" fillId="3" borderId="0" xfId="0" applyNumberFormat="1" applyFont="1" applyFill="1" applyAlignment="1"/>
    <xf numFmtId="15" fontId="54" fillId="3" borderId="0" xfId="0" applyNumberFormat="1" applyFont="1" applyFill="1" applyAlignment="1" applyProtection="1">
      <alignment horizontal="center"/>
      <protection locked="0"/>
    </xf>
    <xf numFmtId="15" fontId="54" fillId="3" borderId="0" xfId="0" applyNumberFormat="1" applyFont="1" applyFill="1" applyAlignment="1">
      <alignment horizontal="center"/>
    </xf>
    <xf numFmtId="0" fontId="54" fillId="3" borderId="6" xfId="0" applyNumberFormat="1" applyFont="1" applyFill="1" applyBorder="1" applyAlignment="1"/>
    <xf numFmtId="0" fontId="54" fillId="3" borderId="7" xfId="0" applyNumberFormat="1" applyFont="1" applyFill="1" applyBorder="1" applyAlignment="1"/>
    <xf numFmtId="0" fontId="54" fillId="3" borderId="7" xfId="0" applyNumberFormat="1" applyFont="1" applyFill="1" applyBorder="1" applyAlignment="1" applyProtection="1">
      <alignment horizontal="right"/>
      <protection locked="0"/>
    </xf>
    <xf numFmtId="0" fontId="54" fillId="3" borderId="8" xfId="0" applyNumberFormat="1" applyFont="1" applyFill="1" applyBorder="1" applyAlignment="1"/>
    <xf numFmtId="4" fontId="44" fillId="3" borderId="0" xfId="0" applyNumberFormat="1" applyFont="1" applyFill="1" applyAlignment="1" applyProtection="1">
      <alignment horizontal="right"/>
      <protection locked="0"/>
    </xf>
    <xf numFmtId="0" fontId="58" fillId="3" borderId="0" xfId="0" applyNumberFormat="1" applyFont="1" applyFill="1" applyAlignment="1"/>
    <xf numFmtId="3" fontId="54" fillId="3" borderId="14" xfId="0" applyNumberFormat="1" applyFont="1" applyFill="1" applyBorder="1" applyAlignment="1"/>
    <xf numFmtId="0" fontId="44" fillId="3" borderId="0" xfId="0" applyNumberFormat="1" applyFont="1" applyFill="1" applyBorder="1" applyAlignment="1"/>
    <xf numFmtId="3" fontId="44" fillId="3" borderId="0" xfId="0" applyNumberFormat="1" applyFont="1" applyFill="1" applyBorder="1" applyAlignment="1"/>
    <xf numFmtId="3" fontId="59" fillId="3" borderId="0" xfId="0" applyNumberFormat="1" applyFont="1" applyFill="1" applyBorder="1" applyAlignment="1"/>
    <xf numFmtId="10" fontId="44" fillId="0" borderId="0" xfId="0" applyNumberFormat="1" applyFont="1" applyAlignment="1"/>
    <xf numFmtId="0" fontId="44" fillId="3" borderId="14" xfId="0" applyNumberFormat="1" applyFont="1" applyFill="1" applyBorder="1" applyAlignment="1"/>
    <xf numFmtId="3" fontId="44" fillId="3" borderId="14" xfId="0" applyNumberFormat="1" applyFont="1" applyFill="1" applyBorder="1" applyAlignment="1"/>
    <xf numFmtId="3" fontId="59" fillId="3" borderId="14" xfId="0" applyNumberFormat="1" applyFont="1" applyFill="1" applyBorder="1" applyAlignment="1" applyProtection="1">
      <alignment horizontal="right"/>
      <protection locked="0"/>
    </xf>
    <xf numFmtId="0" fontId="44" fillId="3" borderId="15" xfId="0" applyNumberFormat="1" applyFont="1" applyFill="1" applyBorder="1" applyAlignment="1"/>
    <xf numFmtId="3" fontId="44" fillId="0" borderId="0" xfId="0" applyNumberFormat="1" applyFont="1" applyAlignment="1"/>
    <xf numFmtId="3" fontId="44" fillId="0" borderId="3" xfId="0" applyNumberFormat="1" applyFont="1" applyBorder="1"/>
    <xf numFmtId="4" fontId="59" fillId="3" borderId="14" xfId="0" applyNumberFormat="1" applyFont="1" applyFill="1" applyBorder="1" applyAlignment="1" applyProtection="1">
      <alignment horizontal="right"/>
      <protection locked="0"/>
    </xf>
    <xf numFmtId="3" fontId="54" fillId="3" borderId="0" xfId="0" applyNumberFormat="1" applyFont="1" applyFill="1" applyBorder="1" applyAlignment="1"/>
    <xf numFmtId="4" fontId="54" fillId="3" borderId="0" xfId="0" applyNumberFormat="1" applyFont="1" applyFill="1" applyAlignment="1" applyProtection="1">
      <alignment horizontal="right"/>
      <protection locked="0"/>
    </xf>
    <xf numFmtId="4" fontId="54" fillId="3" borderId="7" xfId="0" applyNumberFormat="1" applyFont="1" applyFill="1" applyBorder="1" applyAlignment="1" applyProtection="1">
      <alignment horizontal="right"/>
      <protection locked="0"/>
    </xf>
    <xf numFmtId="0" fontId="60" fillId="3" borderId="0" xfId="0" applyNumberFormat="1" applyFont="1" applyFill="1" applyAlignment="1"/>
    <xf numFmtId="4" fontId="44" fillId="3" borderId="0" xfId="0" applyNumberFormat="1" applyFont="1" applyFill="1" applyBorder="1" applyAlignment="1" applyProtection="1">
      <alignment horizontal="right"/>
      <protection locked="0"/>
    </xf>
    <xf numFmtId="4" fontId="59" fillId="3" borderId="0" xfId="0" applyNumberFormat="1" applyFont="1" applyFill="1" applyAlignment="1" applyProtection="1">
      <alignment horizontal="right"/>
      <protection locked="0"/>
    </xf>
    <xf numFmtId="4" fontId="54" fillId="3" borderId="0" xfId="0" applyNumberFormat="1" applyFont="1" applyFill="1" applyBorder="1" applyAlignment="1" applyProtection="1">
      <alignment horizontal="right"/>
      <protection locked="0"/>
    </xf>
    <xf numFmtId="4" fontId="44" fillId="3" borderId="2" xfId="0" applyNumberFormat="1" applyFont="1" applyFill="1" applyBorder="1" applyAlignment="1" applyProtection="1">
      <alignment horizontal="right"/>
      <protection locked="0"/>
    </xf>
    <xf numFmtId="0" fontId="44" fillId="3" borderId="0" xfId="0" applyNumberFormat="1" applyFont="1" applyFill="1" applyAlignment="1" applyProtection="1">
      <protection locked="0"/>
    </xf>
    <xf numFmtId="0" fontId="44" fillId="3" borderId="6" xfId="0" applyNumberFormat="1" applyFont="1" applyFill="1" applyBorder="1" applyAlignment="1"/>
    <xf numFmtId="0" fontId="59" fillId="3" borderId="3" xfId="0" applyNumberFormat="1" applyFont="1" applyFill="1" applyBorder="1" applyAlignment="1"/>
    <xf numFmtId="0" fontId="61" fillId="3" borderId="0" xfId="0" applyNumberFormat="1" applyFont="1" applyFill="1" applyAlignment="1"/>
    <xf numFmtId="15" fontId="62" fillId="3" borderId="0" xfId="0" applyNumberFormat="1" applyFont="1" applyFill="1" applyAlignment="1">
      <alignment horizontal="centerContinuous"/>
    </xf>
    <xf numFmtId="15" fontId="62" fillId="3" borderId="0" xfId="0" applyNumberFormat="1" applyFont="1" applyFill="1" applyAlignment="1">
      <alignment horizontal="center"/>
    </xf>
    <xf numFmtId="0" fontId="59" fillId="3" borderId="13" xfId="0" applyNumberFormat="1" applyFont="1" applyFill="1" applyBorder="1" applyAlignment="1"/>
    <xf numFmtId="0" fontId="54" fillId="3" borderId="0" xfId="0" applyNumberFormat="1" applyFont="1" applyFill="1" applyBorder="1" applyAlignment="1" applyProtection="1">
      <protection locked="0"/>
    </xf>
    <xf numFmtId="0" fontId="59" fillId="3" borderId="13" xfId="0" applyNumberFormat="1" applyFont="1" applyFill="1" applyBorder="1" applyAlignment="1">
      <alignment horizontal="right"/>
    </xf>
    <xf numFmtId="0" fontId="54" fillId="3" borderId="14" xfId="0" applyNumberFormat="1" applyFont="1" applyFill="1" applyBorder="1" applyAlignment="1" applyProtection="1">
      <protection locked="0"/>
    </xf>
    <xf numFmtId="3" fontId="62" fillId="3" borderId="15" xfId="0" applyNumberFormat="1" applyFont="1" applyFill="1" applyBorder="1" applyAlignment="1"/>
    <xf numFmtId="3" fontId="59" fillId="3" borderId="14" xfId="0" applyNumberFormat="1" applyFont="1" applyFill="1" applyBorder="1" applyAlignment="1"/>
    <xf numFmtId="0" fontId="44" fillId="3" borderId="14" xfId="0" applyNumberFormat="1" applyFont="1" applyFill="1" applyBorder="1" applyAlignment="1" applyProtection="1">
      <protection locked="0"/>
    </xf>
    <xf numFmtId="0" fontId="59" fillId="3" borderId="13" xfId="0" applyNumberFormat="1" applyFont="1" applyFill="1" applyBorder="1" applyAlignment="1">
      <alignment horizontal="center"/>
    </xf>
    <xf numFmtId="0" fontId="59" fillId="3" borderId="14" xfId="0" applyNumberFormat="1" applyFont="1" applyFill="1" applyBorder="1" applyAlignment="1"/>
    <xf numFmtId="3" fontId="59" fillId="3" borderId="14" xfId="0" applyNumberFormat="1" applyFont="1" applyFill="1" applyBorder="1" applyAlignment="1" applyProtection="1">
      <alignment horizontal="center"/>
      <protection locked="0"/>
    </xf>
    <xf numFmtId="0" fontId="62" fillId="3" borderId="15" xfId="0" applyNumberFormat="1" applyFont="1" applyFill="1" applyBorder="1" applyAlignment="1"/>
    <xf numFmtId="0" fontId="44" fillId="3" borderId="14" xfId="0" applyNumberFormat="1" applyFont="1" applyFill="1" applyBorder="1" applyAlignment="1">
      <alignment horizontal="center"/>
    </xf>
    <xf numFmtId="0" fontId="54" fillId="3" borderId="13" xfId="0" applyNumberFormat="1" applyFont="1" applyFill="1" applyBorder="1" applyAlignment="1">
      <alignment horizontal="center"/>
    </xf>
    <xf numFmtId="0" fontId="54" fillId="3" borderId="13" xfId="0" applyNumberFormat="1" applyFont="1" applyFill="1" applyBorder="1" applyAlignment="1">
      <alignment horizontal="right"/>
    </xf>
    <xf numFmtId="0" fontId="59" fillId="3" borderId="14" xfId="0" applyNumberFormat="1" applyFont="1" applyFill="1" applyBorder="1" applyAlignment="1">
      <alignment horizontal="right"/>
    </xf>
    <xf numFmtId="4" fontId="59" fillId="3" borderId="14" xfId="0" applyNumberFormat="1" applyFont="1" applyFill="1" applyBorder="1" applyAlignment="1">
      <alignment horizontal="right"/>
    </xf>
    <xf numFmtId="10" fontId="44" fillId="3" borderId="14" xfId="0" applyNumberFormat="1" applyFont="1" applyFill="1" applyBorder="1" applyAlignment="1" applyProtection="1">
      <alignment horizontal="center"/>
      <protection locked="0"/>
    </xf>
    <xf numFmtId="10" fontId="59" fillId="3" borderId="14" xfId="0" applyNumberFormat="1" applyFont="1" applyFill="1" applyBorder="1" applyAlignment="1" applyProtection="1">
      <alignment horizontal="center"/>
      <protection locked="0"/>
    </xf>
    <xf numFmtId="0" fontId="59" fillId="3" borderId="3" xfId="0" applyNumberFormat="1" applyFont="1" applyFill="1" applyBorder="1" applyAlignment="1">
      <alignment horizontal="right"/>
    </xf>
    <xf numFmtId="0" fontId="59" fillId="3" borderId="0" xfId="0" applyNumberFormat="1" applyFont="1" applyFill="1" applyBorder="1" applyAlignment="1"/>
    <xf numFmtId="0" fontId="59" fillId="3" borderId="0" xfId="0" applyNumberFormat="1" applyFont="1" applyFill="1" applyBorder="1" applyAlignment="1">
      <alignment horizontal="right"/>
    </xf>
    <xf numFmtId="4" fontId="59" fillId="3" borderId="0" xfId="0" applyNumberFormat="1" applyFont="1" applyFill="1" applyBorder="1" applyAlignment="1">
      <alignment horizontal="right"/>
    </xf>
    <xf numFmtId="10" fontId="59" fillId="3" borderId="0" xfId="0" applyNumberFormat="1" applyFont="1" applyFill="1" applyBorder="1" applyAlignment="1" applyProtection="1">
      <alignment horizontal="center"/>
      <protection locked="0"/>
    </xf>
    <xf numFmtId="0" fontId="44" fillId="3" borderId="0" xfId="0" applyNumberFormat="1" applyFont="1" applyFill="1" applyBorder="1" applyAlignment="1" applyProtection="1">
      <protection locked="0"/>
    </xf>
    <xf numFmtId="0" fontId="62" fillId="3" borderId="0" xfId="0" applyNumberFormat="1" applyFont="1" applyFill="1" applyBorder="1" applyAlignment="1"/>
    <xf numFmtId="0" fontId="51" fillId="3" borderId="15" xfId="0" applyNumberFormat="1" applyFont="1" applyFill="1" applyBorder="1" applyAlignment="1"/>
    <xf numFmtId="9" fontId="44" fillId="3" borderId="0" xfId="0" applyNumberFormat="1" applyFont="1" applyFill="1" applyBorder="1" applyAlignment="1"/>
    <xf numFmtId="10" fontId="44" fillId="3" borderId="0" xfId="0" applyNumberFormat="1" applyFont="1" applyFill="1" applyBorder="1" applyAlignment="1"/>
    <xf numFmtId="3" fontId="59" fillId="3" borderId="0" xfId="0" applyNumberFormat="1" applyFont="1" applyFill="1" applyBorder="1" applyAlignment="1" applyProtection="1">
      <alignment horizontal="right"/>
      <protection locked="0"/>
    </xf>
    <xf numFmtId="9" fontId="54" fillId="3" borderId="0" xfId="0" applyNumberFormat="1" applyFont="1" applyFill="1" applyBorder="1" applyAlignment="1"/>
    <xf numFmtId="10" fontId="54" fillId="3" borderId="0" xfId="0" applyNumberFormat="1" applyFont="1" applyFill="1" applyBorder="1" applyAlignment="1"/>
    <xf numFmtId="3" fontId="54" fillId="3" borderId="0" xfId="0" applyNumberFormat="1" applyFont="1" applyFill="1" applyBorder="1" applyAlignment="1" applyProtection="1">
      <alignment horizontal="right"/>
      <protection locked="0"/>
    </xf>
    <xf numFmtId="0" fontId="63" fillId="6" borderId="0" xfId="0" applyNumberFormat="1" applyFont="1" applyFill="1" applyAlignment="1"/>
    <xf numFmtId="0" fontId="44" fillId="0" borderId="2" xfId="0" applyNumberFormat="1" applyFont="1" applyBorder="1"/>
    <xf numFmtId="0" fontId="55" fillId="5" borderId="3" xfId="0" applyNumberFormat="1" applyFont="1" applyFill="1" applyBorder="1" applyAlignment="1"/>
    <xf numFmtId="0" fontId="55" fillId="5" borderId="0" xfId="0" applyNumberFormat="1" applyFont="1" applyFill="1" applyAlignment="1"/>
    <xf numFmtId="0" fontId="56" fillId="5" borderId="0" xfId="0" applyNumberFormat="1" applyFont="1" applyFill="1" applyAlignment="1"/>
    <xf numFmtId="4" fontId="55" fillId="5" borderId="0" xfId="0" applyNumberFormat="1" applyFont="1" applyFill="1" applyAlignment="1" applyProtection="1">
      <alignment horizontal="right"/>
      <protection locked="0"/>
    </xf>
    <xf numFmtId="0" fontId="55" fillId="5" borderId="1" xfId="0" applyNumberFormat="1" applyFont="1" applyFill="1" applyBorder="1" applyAlignment="1"/>
    <xf numFmtId="0" fontId="56" fillId="5" borderId="2" xfId="0" applyNumberFormat="1" applyFont="1" applyFill="1" applyBorder="1" applyAlignment="1"/>
    <xf numFmtId="0" fontId="55" fillId="5" borderId="2" xfId="0" applyNumberFormat="1" applyFont="1" applyFill="1" applyBorder="1" applyAlignment="1"/>
    <xf numFmtId="4" fontId="55" fillId="5" borderId="2" xfId="0" applyNumberFormat="1" applyFont="1" applyFill="1" applyBorder="1" applyAlignment="1" applyProtection="1">
      <alignment horizontal="right"/>
      <protection locked="0"/>
    </xf>
    <xf numFmtId="15" fontId="56" fillId="5" borderId="2" xfId="0" applyNumberFormat="1" applyFont="1" applyFill="1" applyBorder="1" applyAlignment="1">
      <alignment horizontal="centerContinuous"/>
    </xf>
    <xf numFmtId="15" fontId="56" fillId="5" borderId="2" xfId="0" applyNumberFormat="1" applyFont="1" applyFill="1" applyBorder="1" applyAlignment="1">
      <alignment horizontal="center"/>
    </xf>
    <xf numFmtId="0" fontId="55" fillId="5" borderId="3" xfId="0" applyNumberFormat="1" applyFont="1" applyFill="1" applyBorder="1" applyAlignment="1">
      <alignment horizontal="right"/>
    </xf>
    <xf numFmtId="0" fontId="46" fillId="3" borderId="14" xfId="0" applyNumberFormat="1" applyFont="1" applyFill="1" applyBorder="1" applyAlignment="1"/>
    <xf numFmtId="164" fontId="46" fillId="3" borderId="14" xfId="0" applyNumberFormat="1" applyFont="1" applyFill="1" applyBorder="1" applyAlignment="1"/>
    <xf numFmtId="172" fontId="46" fillId="3" borderId="14" xfId="0" applyNumberFormat="1" applyFont="1" applyFill="1" applyBorder="1" applyAlignment="1">
      <alignment horizontal="center"/>
    </xf>
    <xf numFmtId="172" fontId="46" fillId="3" borderId="14" xfId="0" applyNumberFormat="1" applyFont="1" applyFill="1" applyBorder="1" applyAlignment="1"/>
    <xf numFmtId="171" fontId="46" fillId="3" borderId="14" xfId="0" applyNumberFormat="1" applyFont="1" applyFill="1" applyBorder="1" applyAlignment="1">
      <alignment horizontal="center"/>
    </xf>
    <xf numFmtId="0" fontId="46" fillId="3" borderId="0" xfId="0" applyNumberFormat="1" applyFont="1" applyFill="1" applyAlignment="1">
      <alignment horizontal="left" vertical="top" wrapText="1"/>
    </xf>
    <xf numFmtId="0" fontId="46" fillId="3" borderId="0" xfId="0" applyNumberFormat="1" applyFont="1" applyFill="1" applyAlignment="1">
      <alignment horizontal="center" vertical="top" wrapText="1"/>
    </xf>
    <xf numFmtId="4" fontId="46" fillId="3" borderId="0" xfId="0" applyNumberFormat="1" applyFont="1" applyFill="1" applyAlignment="1" applyProtection="1">
      <alignment horizontal="center" vertical="top" wrapText="1"/>
      <protection locked="0"/>
    </xf>
    <xf numFmtId="0" fontId="49" fillId="3" borderId="14" xfId="0" applyNumberFormat="1" applyFont="1" applyFill="1" applyBorder="1" applyAlignment="1"/>
    <xf numFmtId="0" fontId="49" fillId="3" borderId="0" xfId="0" applyNumberFormat="1" applyFont="1" applyFill="1" applyAlignment="1"/>
    <xf numFmtId="0" fontId="64" fillId="3" borderId="3" xfId="0" applyNumberFormat="1" applyFont="1" applyFill="1" applyBorder="1" applyAlignment="1"/>
    <xf numFmtId="0" fontId="64" fillId="3" borderId="0" xfId="0" applyNumberFormat="1" applyFont="1" applyFill="1" applyAlignment="1"/>
    <xf numFmtId="0" fontId="46" fillId="3" borderId="0" xfId="0" applyNumberFormat="1" applyFont="1" applyFill="1" applyAlignment="1">
      <alignment horizontal="right"/>
    </xf>
    <xf numFmtId="4" fontId="46" fillId="3" borderId="0" xfId="0" applyNumberFormat="1" applyFont="1" applyFill="1" applyAlignment="1" applyProtection="1">
      <alignment horizontal="right"/>
      <protection locked="0"/>
    </xf>
    <xf numFmtId="0" fontId="64" fillId="0" borderId="3" xfId="0" applyNumberFormat="1" applyFont="1" applyBorder="1"/>
    <xf numFmtId="0" fontId="64" fillId="0" borderId="0" xfId="0" applyNumberFormat="1" applyFont="1" applyAlignment="1"/>
    <xf numFmtId="0" fontId="48" fillId="3" borderId="14" xfId="0" applyNumberFormat="1" applyFont="1" applyFill="1" applyBorder="1" applyAlignment="1"/>
    <xf numFmtId="3" fontId="65" fillId="3" borderId="14" xfId="0" applyNumberFormat="1" applyFont="1" applyFill="1" applyBorder="1" applyAlignment="1"/>
    <xf numFmtId="0" fontId="65" fillId="3" borderId="14" xfId="0" applyNumberFormat="1" applyFont="1" applyFill="1" applyBorder="1" applyAlignment="1"/>
    <xf numFmtId="9" fontId="65" fillId="3" borderId="14" xfId="0" applyNumberFormat="1" applyFont="1" applyFill="1" applyBorder="1" applyAlignment="1"/>
    <xf numFmtId="10" fontId="65" fillId="3" borderId="14" xfId="0" applyNumberFormat="1" applyFont="1" applyFill="1" applyBorder="1" applyAlignment="1"/>
    <xf numFmtId="3" fontId="65" fillId="3" borderId="14" xfId="0" applyNumberFormat="1" applyFont="1" applyFill="1" applyBorder="1" applyAlignment="1" applyProtection="1">
      <alignment horizontal="right"/>
      <protection locked="0"/>
    </xf>
    <xf numFmtId="0" fontId="63" fillId="3" borderId="14" xfId="0" applyNumberFormat="1" applyFont="1" applyFill="1" applyBorder="1" applyAlignment="1"/>
    <xf numFmtId="3" fontId="63" fillId="3" borderId="14" xfId="0" applyNumberFormat="1" applyFont="1" applyFill="1" applyBorder="1" applyAlignment="1"/>
    <xf numFmtId="3" fontId="63" fillId="3" borderId="14" xfId="0" applyNumberFormat="1" applyFont="1" applyFill="1" applyBorder="1" applyAlignment="1" applyProtection="1">
      <alignment horizontal="right"/>
      <protection locked="0"/>
    </xf>
    <xf numFmtId="0" fontId="65" fillId="3" borderId="0" xfId="0" applyNumberFormat="1" applyFont="1" applyFill="1" applyBorder="1" applyAlignment="1"/>
    <xf numFmtId="9" fontId="65" fillId="3" borderId="0" xfId="0" applyNumberFormat="1" applyFont="1" applyFill="1" applyBorder="1" applyAlignment="1"/>
    <xf numFmtId="3" fontId="65" fillId="3" borderId="0" xfId="0" applyNumberFormat="1" applyFont="1" applyFill="1" applyBorder="1" applyAlignment="1" applyProtection="1">
      <alignment horizontal="right"/>
      <protection locked="0"/>
    </xf>
    <xf numFmtId="0" fontId="65" fillId="3" borderId="0" xfId="0" applyNumberFormat="1" applyFont="1" applyFill="1" applyAlignment="1"/>
    <xf numFmtId="9" fontId="65" fillId="3" borderId="0" xfId="0" applyNumberFormat="1" applyFont="1" applyFill="1" applyAlignment="1"/>
    <xf numFmtId="3" fontId="65" fillId="3" borderId="0" xfId="0" applyNumberFormat="1" applyFont="1" applyFill="1" applyAlignment="1" applyProtection="1">
      <alignment horizontal="right"/>
      <protection locked="0"/>
    </xf>
    <xf numFmtId="0" fontId="63" fillId="3" borderId="0" xfId="0" applyNumberFormat="1" applyFont="1" applyFill="1" applyAlignment="1"/>
    <xf numFmtId="0" fontId="63" fillId="3" borderId="0" xfId="0" applyNumberFormat="1" applyFont="1" applyFill="1" applyAlignment="1">
      <alignment horizontal="center"/>
    </xf>
    <xf numFmtId="0" fontId="63" fillId="3" borderId="0" xfId="0" quotePrefix="1" applyNumberFormat="1" applyFont="1" applyFill="1" applyAlignment="1">
      <alignment horizontal="center"/>
    </xf>
    <xf numFmtId="0" fontId="66" fillId="3" borderId="0" xfId="0" applyNumberFormat="1" applyFont="1" applyFill="1" applyAlignment="1"/>
    <xf numFmtId="166" fontId="65" fillId="3" borderId="14" xfId="0" applyNumberFormat="1" applyFont="1" applyFill="1" applyBorder="1" applyAlignment="1"/>
    <xf numFmtId="0" fontId="65" fillId="3" borderId="14" xfId="0" applyNumberFormat="1" applyFont="1" applyFill="1" applyBorder="1" applyAlignment="1">
      <alignment horizontal="right"/>
    </xf>
    <xf numFmtId="4" fontId="65" fillId="3" borderId="14" xfId="0" applyNumberFormat="1" applyFont="1" applyFill="1" applyBorder="1" applyAlignment="1">
      <alignment horizontal="right"/>
    </xf>
    <xf numFmtId="0" fontId="65" fillId="3" borderId="14" xfId="0" applyNumberFormat="1" applyFont="1" applyFill="1" applyBorder="1" applyAlignment="1">
      <alignment horizontal="center"/>
    </xf>
    <xf numFmtId="3" fontId="65" fillId="3" borderId="14" xfId="0" applyNumberFormat="1" applyFont="1" applyFill="1" applyBorder="1" applyAlignment="1" applyProtection="1">
      <alignment horizontal="center"/>
      <protection locked="0"/>
    </xf>
    <xf numFmtId="4" fontId="65" fillId="3" borderId="14" xfId="0" applyNumberFormat="1" applyFont="1" applyFill="1" applyBorder="1" applyAlignment="1" applyProtection="1">
      <alignment horizontal="center"/>
      <protection locked="0"/>
    </xf>
    <xf numFmtId="3" fontId="65" fillId="3" borderId="14" xfId="0" applyNumberFormat="1" applyFont="1" applyFill="1" applyBorder="1" applyAlignment="1">
      <alignment horizontal="center"/>
    </xf>
    <xf numFmtId="15" fontId="63" fillId="3" borderId="14" xfId="0" applyNumberFormat="1" applyFont="1" applyFill="1" applyBorder="1" applyAlignment="1">
      <alignment horizontal="centerContinuous"/>
    </xf>
    <xf numFmtId="15" fontId="63" fillId="3" borderId="14" xfId="0" applyNumberFormat="1" applyFont="1" applyFill="1" applyBorder="1" applyAlignment="1">
      <alignment horizontal="center"/>
    </xf>
    <xf numFmtId="10" fontId="65" fillId="3" borderId="14" xfId="0" applyNumberFormat="1" applyFont="1" applyFill="1" applyBorder="1" applyAlignment="1">
      <alignment horizontal="center"/>
    </xf>
    <xf numFmtId="17" fontId="65" fillId="3" borderId="14" xfId="0" applyNumberFormat="1" applyFont="1" applyFill="1" applyBorder="1" applyAlignment="1">
      <alignment horizontal="center"/>
    </xf>
    <xf numFmtId="4" fontId="65" fillId="3" borderId="14" xfId="0" applyNumberFormat="1" applyFont="1" applyFill="1" applyBorder="1" applyAlignment="1">
      <alignment horizontal="center"/>
    </xf>
    <xf numFmtId="4" fontId="65" fillId="3" borderId="14" xfId="0" applyNumberFormat="1" applyFont="1" applyFill="1" applyBorder="1" applyAlignment="1" applyProtection="1">
      <alignment horizontal="right"/>
      <protection locked="0"/>
    </xf>
    <xf numFmtId="0" fontId="65" fillId="3" borderId="15" xfId="0" applyNumberFormat="1" applyFont="1" applyFill="1" applyBorder="1" applyAlignment="1"/>
    <xf numFmtId="0" fontId="65" fillId="3" borderId="14" xfId="0" applyNumberFormat="1" applyFont="1" applyFill="1" applyBorder="1" applyAlignment="1" applyProtection="1">
      <alignment horizontal="right"/>
      <protection locked="0"/>
    </xf>
    <xf numFmtId="2" fontId="65" fillId="3" borderId="14" xfId="0" applyNumberFormat="1" applyFont="1" applyFill="1" applyBorder="1" applyAlignment="1" applyProtection="1">
      <alignment horizontal="right"/>
      <protection locked="0"/>
    </xf>
    <xf numFmtId="0" fontId="66" fillId="3" borderId="7" xfId="0" applyNumberFormat="1" applyFont="1" applyFill="1" applyBorder="1" applyAlignment="1"/>
    <xf numFmtId="0" fontId="65" fillId="3" borderId="7" xfId="0" applyNumberFormat="1" applyFont="1" applyFill="1" applyBorder="1" applyAlignment="1"/>
    <xf numFmtId="0" fontId="65" fillId="3" borderId="8" xfId="0" applyNumberFormat="1" applyFont="1" applyFill="1" applyBorder="1" applyAlignment="1"/>
    <xf numFmtId="0" fontId="65" fillId="3" borderId="16" xfId="0" applyNumberFormat="1" applyFont="1" applyFill="1" applyBorder="1" applyAlignment="1"/>
    <xf numFmtId="0" fontId="65" fillId="3" borderId="13" xfId="0" applyNumberFormat="1" applyFont="1" applyFill="1" applyBorder="1" applyAlignment="1"/>
    <xf numFmtId="14" fontId="65" fillId="3" borderId="14" xfId="0" applyNumberFormat="1" applyFont="1" applyFill="1" applyBorder="1" applyAlignment="1">
      <alignment horizontal="right"/>
    </xf>
    <xf numFmtId="167" fontId="65" fillId="3" borderId="14" xfId="0" applyNumberFormat="1" applyFont="1" applyFill="1" applyBorder="1" applyAlignment="1">
      <alignment horizontal="right"/>
    </xf>
    <xf numFmtId="3" fontId="65" fillId="3" borderId="0" xfId="0" applyNumberFormat="1" applyFont="1" applyFill="1" applyBorder="1" applyAlignment="1"/>
    <xf numFmtId="3" fontId="65" fillId="3" borderId="0" xfId="0" applyNumberFormat="1" applyFont="1" applyFill="1" applyAlignment="1"/>
    <xf numFmtId="165" fontId="65" fillId="3" borderId="14" xfId="0" applyNumberFormat="1" applyFont="1" applyFill="1" applyBorder="1" applyAlignment="1">
      <alignment horizontal="center"/>
    </xf>
    <xf numFmtId="167" fontId="65" fillId="3" borderId="14" xfId="0" applyNumberFormat="1" applyFont="1" applyFill="1" applyBorder="1" applyAlignment="1">
      <alignment horizontal="center"/>
    </xf>
    <xf numFmtId="165" fontId="65" fillId="3" borderId="14" xfId="0" applyNumberFormat="1" applyFont="1" applyFill="1" applyBorder="1" applyAlignment="1"/>
    <xf numFmtId="164" fontId="65" fillId="3" borderId="14" xfId="0" applyNumberFormat="1" applyFont="1" applyFill="1" applyBorder="1" applyAlignment="1">
      <alignment horizontal="center"/>
    </xf>
    <xf numFmtId="15" fontId="63" fillId="3" borderId="14" xfId="0" applyNumberFormat="1" applyFont="1" applyFill="1" applyBorder="1" applyAlignment="1" applyProtection="1">
      <alignment horizontal="center"/>
      <protection locked="0"/>
    </xf>
    <xf numFmtId="15" fontId="65" fillId="3" borderId="14" xfId="0" applyNumberFormat="1" applyFont="1" applyFill="1" applyBorder="1" applyAlignment="1"/>
    <xf numFmtId="15" fontId="65" fillId="3" borderId="14" xfId="0" applyNumberFormat="1" applyFont="1" applyFill="1" applyBorder="1" applyAlignment="1" applyProtection="1">
      <alignment horizontal="center"/>
      <protection locked="0"/>
    </xf>
    <xf numFmtId="15" fontId="65" fillId="3" borderId="14" xfId="0" applyNumberFormat="1" applyFont="1" applyFill="1" applyBorder="1" applyAlignment="1">
      <alignment horizontal="center"/>
    </xf>
    <xf numFmtId="0" fontId="65" fillId="3" borderId="14" xfId="0" applyNumberFormat="1" applyFont="1" applyFill="1" applyBorder="1" applyAlignment="1">
      <alignment horizontal="center" wrapText="1"/>
    </xf>
    <xf numFmtId="0" fontId="63" fillId="3" borderId="14" xfId="0" applyNumberFormat="1" applyFont="1" applyFill="1" applyBorder="1" applyAlignment="1">
      <alignment horizontal="center" wrapText="1"/>
    </xf>
    <xf numFmtId="164" fontId="65" fillId="3" borderId="14" xfId="0" applyNumberFormat="1" applyFont="1" applyFill="1" applyBorder="1" applyAlignment="1"/>
    <xf numFmtId="168" fontId="65" fillId="3" borderId="14" xfId="0" applyNumberFormat="1" applyFont="1" applyFill="1" applyBorder="1" applyAlignment="1">
      <alignment horizontal="center"/>
    </xf>
    <xf numFmtId="169" fontId="65" fillId="3" borderId="14" xfId="0" applyNumberFormat="1" applyFont="1" applyFill="1" applyBorder="1" applyAlignment="1">
      <alignment horizontal="center"/>
    </xf>
    <xf numFmtId="170" fontId="65" fillId="3" borderId="14" xfId="0" applyNumberFormat="1" applyFont="1" applyFill="1" applyBorder="1" applyAlignment="1">
      <alignment horizontal="center"/>
    </xf>
    <xf numFmtId="164" fontId="63" fillId="3" borderId="14" xfId="0" applyNumberFormat="1" applyFont="1" applyFill="1" applyBorder="1" applyAlignment="1"/>
    <xf numFmtId="164" fontId="63" fillId="3" borderId="14" xfId="0" applyNumberFormat="1" applyFont="1" applyFill="1" applyBorder="1" applyAlignment="1">
      <alignment horizontal="center"/>
    </xf>
    <xf numFmtId="168" fontId="63" fillId="3" borderId="14" xfId="0" applyNumberFormat="1" applyFont="1" applyFill="1" applyBorder="1" applyAlignment="1">
      <alignment horizontal="center"/>
    </xf>
    <xf numFmtId="169" fontId="63" fillId="3" borderId="14" xfId="0" applyNumberFormat="1" applyFont="1" applyFill="1" applyBorder="1" applyAlignment="1">
      <alignment horizontal="center"/>
    </xf>
    <xf numFmtId="170" fontId="63" fillId="3" borderId="14" xfId="0" applyNumberFormat="1" applyFont="1" applyFill="1" applyBorder="1" applyAlignment="1">
      <alignment horizontal="center"/>
    </xf>
    <xf numFmtId="0" fontId="65" fillId="3" borderId="2" xfId="0" applyNumberFormat="1" applyFont="1" applyFill="1" applyBorder="1" applyAlignment="1"/>
    <xf numFmtId="0" fontId="67" fillId="3" borderId="0" xfId="0" applyNumberFormat="1" applyFont="1" applyFill="1" applyAlignment="1">
      <alignment horizontal="center" wrapText="1"/>
    </xf>
    <xf numFmtId="9" fontId="63" fillId="3" borderId="0" xfId="0" applyNumberFormat="1" applyFont="1" applyFill="1" applyAlignment="1">
      <alignment horizontal="center"/>
    </xf>
    <xf numFmtId="10" fontId="63" fillId="3" borderId="0" xfId="0" applyNumberFormat="1" applyFont="1" applyFill="1" applyAlignment="1">
      <alignment horizontal="center"/>
    </xf>
    <xf numFmtId="10" fontId="65" fillId="3" borderId="0" xfId="0" applyNumberFormat="1" applyFont="1" applyFill="1" applyAlignment="1"/>
    <xf numFmtId="15" fontId="63" fillId="3" borderId="0" xfId="0" applyNumberFormat="1" applyFont="1" applyFill="1" applyAlignment="1">
      <alignment horizontal="center"/>
    </xf>
    <xf numFmtId="0" fontId="65" fillId="3" borderId="0" xfId="0" applyNumberFormat="1" applyFont="1" applyFill="1" applyAlignment="1">
      <alignment horizontal="center"/>
    </xf>
    <xf numFmtId="0" fontId="67" fillId="3" borderId="0" xfId="0" applyNumberFormat="1" applyFont="1" applyFill="1" applyAlignment="1"/>
    <xf numFmtId="0" fontId="68" fillId="3" borderId="0" xfId="0" applyNumberFormat="1" applyFont="1" applyFill="1" applyAlignment="1"/>
    <xf numFmtId="0" fontId="69" fillId="3" borderId="2" xfId="0" applyNumberFormat="1" applyFont="1" applyFill="1" applyBorder="1" applyAlignment="1"/>
    <xf numFmtId="0" fontId="49" fillId="6" borderId="14" xfId="1" applyNumberFormat="1" applyFont="1" applyFill="1" applyBorder="1" applyAlignment="1" applyProtection="1"/>
    <xf numFmtId="0" fontId="44" fillId="3" borderId="17" xfId="0" applyNumberFormat="1" applyFont="1" applyFill="1" applyBorder="1" applyAlignment="1"/>
    <xf numFmtId="0" fontId="65" fillId="3" borderId="18" xfId="0" applyNumberFormat="1" applyFont="1" applyFill="1" applyBorder="1" applyAlignment="1"/>
    <xf numFmtId="0" fontId="65" fillId="3" borderId="18" xfId="0" applyNumberFormat="1" applyFont="1" applyFill="1" applyBorder="1" applyAlignment="1">
      <alignment horizontal="center" wrapText="1"/>
    </xf>
    <xf numFmtId="0" fontId="54" fillId="3" borderId="19" xfId="0" applyNumberFormat="1" applyFont="1" applyFill="1" applyBorder="1" applyAlignment="1"/>
    <xf numFmtId="0" fontId="55" fillId="5" borderId="0" xfId="0" applyNumberFormat="1" applyFont="1" applyFill="1" applyBorder="1" applyAlignment="1"/>
    <xf numFmtId="0" fontId="56" fillId="5" borderId="0" xfId="0" applyNumberFormat="1" applyFont="1" applyFill="1" applyBorder="1" applyAlignment="1">
      <alignment horizontal="center" wrapText="1"/>
    </xf>
    <xf numFmtId="0" fontId="55" fillId="5" borderId="0" xfId="0" applyNumberFormat="1" applyFont="1" applyFill="1" applyBorder="1" applyAlignment="1">
      <alignment horizontal="center" wrapText="1"/>
    </xf>
    <xf numFmtId="0" fontId="55" fillId="5" borderId="20" xfId="0" applyNumberFormat="1" applyFont="1" applyFill="1" applyBorder="1" applyAlignment="1"/>
    <xf numFmtId="0" fontId="56" fillId="5" borderId="0" xfId="0" applyNumberFormat="1" applyFont="1" applyFill="1" applyBorder="1" applyAlignment="1"/>
    <xf numFmtId="0" fontId="56" fillId="5" borderId="0" xfId="0" applyNumberFormat="1" applyFont="1" applyFill="1" applyBorder="1" applyAlignment="1">
      <alignment horizontal="center"/>
    </xf>
    <xf numFmtId="0" fontId="56" fillId="5" borderId="0" xfId="0" applyNumberFormat="1" applyFont="1" applyFill="1" applyBorder="1" applyAlignment="1">
      <alignment horizontal="right"/>
    </xf>
    <xf numFmtId="15" fontId="56" fillId="5" borderId="0" xfId="0" applyNumberFormat="1" applyFont="1" applyFill="1" applyBorder="1" applyAlignment="1">
      <alignment horizontal="right"/>
    </xf>
    <xf numFmtId="0" fontId="54" fillId="3" borderId="0" xfId="0" applyNumberFormat="1" applyFont="1" applyFill="1" applyBorder="1" applyAlignment="1">
      <alignment horizontal="center"/>
    </xf>
    <xf numFmtId="0" fontId="65" fillId="3" borderId="0" xfId="0" applyNumberFormat="1" applyFont="1" applyFill="1" applyBorder="1" applyAlignment="1">
      <alignment horizontal="center"/>
    </xf>
    <xf numFmtId="3" fontId="65" fillId="3" borderId="0" xfId="0" applyNumberFormat="1" applyFont="1" applyFill="1" applyBorder="1" applyAlignment="1" applyProtection="1">
      <alignment horizontal="center"/>
      <protection locked="0"/>
    </xf>
    <xf numFmtId="3" fontId="62" fillId="3" borderId="0" xfId="0" applyNumberFormat="1" applyFont="1" applyFill="1" applyBorder="1" applyAlignment="1"/>
    <xf numFmtId="3" fontId="56" fillId="5" borderId="0" xfId="0" applyNumberFormat="1" applyFont="1" applyFill="1" applyBorder="1" applyAlignment="1">
      <alignment horizontal="center"/>
    </xf>
    <xf numFmtId="166" fontId="65" fillId="3" borderId="0" xfId="0" applyNumberFormat="1" applyFont="1" applyFill="1" applyBorder="1" applyAlignment="1"/>
    <xf numFmtId="3" fontId="65" fillId="3" borderId="18" xfId="0" applyNumberFormat="1" applyFont="1" applyFill="1" applyBorder="1" applyAlignment="1"/>
    <xf numFmtId="10" fontId="65" fillId="3" borderId="18" xfId="0" applyNumberFormat="1" applyFont="1" applyFill="1" applyBorder="1" applyAlignment="1"/>
    <xf numFmtId="3" fontId="65" fillId="3" borderId="18" xfId="0" applyNumberFormat="1" applyFont="1" applyFill="1" applyBorder="1" applyAlignment="1" applyProtection="1">
      <alignment horizontal="right"/>
      <protection locked="0"/>
    </xf>
    <xf numFmtId="0" fontId="51" fillId="3" borderId="0" xfId="0" applyNumberFormat="1" applyFont="1" applyFill="1" applyBorder="1" applyAlignment="1"/>
    <xf numFmtId="0" fontId="56" fillId="5" borderId="20" xfId="0" applyNumberFormat="1" applyFont="1" applyFill="1" applyBorder="1" applyAlignment="1"/>
    <xf numFmtId="10" fontId="65" fillId="3" borderId="0" xfId="0" applyNumberFormat="1" applyFont="1" applyFill="1" applyBorder="1" applyAlignment="1"/>
    <xf numFmtId="9" fontId="55" fillId="5" borderId="0" xfId="0" applyNumberFormat="1" applyFont="1" applyFill="1" applyBorder="1" applyAlignment="1"/>
    <xf numFmtId="0" fontId="65" fillId="6" borderId="16" xfId="0" applyFont="1" applyFill="1" applyBorder="1"/>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D2926"/>
      <color rgb="FF89CB31"/>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file:///C:\WINDOWS\TEMP\~0003946.gif" TargetMode="External"/><Relationship Id="rId1" Type="http://schemas.openxmlformats.org/officeDocument/2006/relationships/image" Target="file:///C:\WINDOWS\TEMP\Symbol.gif"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media/image3.png"/><Relationship Id="rId1" Type="http://schemas.openxmlformats.org/officeDocument/2006/relationships/image" Target="file:///C:\WINDOWS\TEMP\Symbol.gif" TargetMode="External"/><Relationship Id="rId5" Type="http://schemas.openxmlformats.org/officeDocument/2006/relationships/image" Target="../media/image1.png"/><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4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5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C:\WINDOWS\TEMP\~0003946.gif" TargetMode="External"/><Relationship Id="rId1" Type="http://schemas.openxmlformats.org/officeDocument/2006/relationships/image" Target="../media/image3.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file:///C:\WINDOWS\TEMP\Symbol.gif" TargetMode="External"/><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file:///C:\WINDOWS\TEMP\~0003946.gif"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file:///C:\WINDOWS\TEMP\~0003946.gif" TargetMode="External"/><Relationship Id="rId2" Type="http://schemas.openxmlformats.org/officeDocument/2006/relationships/image" Target="file:///C:\WINDOWS\TEMP\Symbol.gif" TargetMode="External"/><Relationship Id="rId1"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33583" name="Picture 1" descr="C:\WINDOWS\TEMP\Symbol.gif">
          <a:extLst>
            <a:ext uri="{FF2B5EF4-FFF2-40B4-BE49-F238E27FC236}">
              <a16:creationId xmlns:a16="http://schemas.microsoft.com/office/drawing/2014/main" id="{00000000-0008-0000-0000-00002F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128</xdr:row>
      <xdr:rowOff>161925</xdr:rowOff>
    </xdr:from>
    <xdr:to>
      <xdr:col>1</xdr:col>
      <xdr:colOff>28575</xdr:colOff>
      <xdr:row>129</xdr:row>
      <xdr:rowOff>200025</xdr:rowOff>
    </xdr:to>
    <xdr:pic>
      <xdr:nvPicPr>
        <xdr:cNvPr id="33584" name="Picture 2" descr="C:\WINDOWS\TEMP\Symbol.gif">
          <a:extLst>
            <a:ext uri="{FF2B5EF4-FFF2-40B4-BE49-F238E27FC236}">
              <a16:creationId xmlns:a16="http://schemas.microsoft.com/office/drawing/2014/main" id="{00000000-0008-0000-0000-000030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3175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187</xdr:row>
      <xdr:rowOff>171450</xdr:rowOff>
    </xdr:from>
    <xdr:to>
      <xdr:col>1</xdr:col>
      <xdr:colOff>47625</xdr:colOff>
      <xdr:row>188</xdr:row>
      <xdr:rowOff>209550</xdr:rowOff>
    </xdr:to>
    <xdr:pic>
      <xdr:nvPicPr>
        <xdr:cNvPr id="33585" name="Picture 3" descr="C:\WINDOWS\TEMP\Symbol.gif">
          <a:extLst>
            <a:ext uri="{FF2B5EF4-FFF2-40B4-BE49-F238E27FC236}">
              <a16:creationId xmlns:a16="http://schemas.microsoft.com/office/drawing/2014/main" id="{00000000-0008-0000-0000-000031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82047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266</xdr:row>
      <xdr:rowOff>161925</xdr:rowOff>
    </xdr:from>
    <xdr:to>
      <xdr:col>1</xdr:col>
      <xdr:colOff>19050</xdr:colOff>
      <xdr:row>267</xdr:row>
      <xdr:rowOff>200025</xdr:rowOff>
    </xdr:to>
    <xdr:pic>
      <xdr:nvPicPr>
        <xdr:cNvPr id="33586" name="Picture 4" descr="C:\WINDOWS\TEMP\Symbol.gif">
          <a:extLst>
            <a:ext uri="{FF2B5EF4-FFF2-40B4-BE49-F238E27FC236}">
              <a16:creationId xmlns:a16="http://schemas.microsoft.com/office/drawing/2014/main" id="{00000000-0008-0000-0000-0000328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40829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266</xdr:row>
      <xdr:rowOff>123825</xdr:rowOff>
    </xdr:from>
    <xdr:to>
      <xdr:col>20</xdr:col>
      <xdr:colOff>1895475</xdr:colOff>
      <xdr:row>267</xdr:row>
      <xdr:rowOff>152400</xdr:rowOff>
    </xdr:to>
    <xdr:pic>
      <xdr:nvPicPr>
        <xdr:cNvPr id="33587" name="Picture 5" descr="C:\WINDOWS\TEMP\~0003946.gif">
          <a:extLst>
            <a:ext uri="{FF2B5EF4-FFF2-40B4-BE49-F238E27FC236}">
              <a16:creationId xmlns:a16="http://schemas.microsoft.com/office/drawing/2014/main" id="{00000000-0008-0000-0000-000033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4044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187</xdr:row>
      <xdr:rowOff>152400</xdr:rowOff>
    </xdr:from>
    <xdr:to>
      <xdr:col>20</xdr:col>
      <xdr:colOff>1924050</xdr:colOff>
      <xdr:row>188</xdr:row>
      <xdr:rowOff>180975</xdr:rowOff>
    </xdr:to>
    <xdr:pic>
      <xdr:nvPicPr>
        <xdr:cNvPr id="33588" name="Picture 6" descr="C:\WINDOWS\TEMP\~0003946.gif">
          <a:extLst>
            <a:ext uri="{FF2B5EF4-FFF2-40B4-BE49-F238E27FC236}">
              <a16:creationId xmlns:a16="http://schemas.microsoft.com/office/drawing/2014/main" id="{00000000-0008-0000-0000-000034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81857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128</xdr:row>
      <xdr:rowOff>161925</xdr:rowOff>
    </xdr:from>
    <xdr:to>
      <xdr:col>20</xdr:col>
      <xdr:colOff>1952625</xdr:colOff>
      <xdr:row>129</xdr:row>
      <xdr:rowOff>190500</xdr:rowOff>
    </xdr:to>
    <xdr:pic>
      <xdr:nvPicPr>
        <xdr:cNvPr id="33589" name="Picture 7" descr="C:\WINDOWS\TEMP\~0003946.gif">
          <a:extLst>
            <a:ext uri="{FF2B5EF4-FFF2-40B4-BE49-F238E27FC236}">
              <a16:creationId xmlns:a16="http://schemas.microsoft.com/office/drawing/2014/main" id="{00000000-0008-0000-0000-000035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3175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33590" name="Picture 8" descr="C:\WINDOWS\TEMP\~0003946.gif">
          <a:extLst>
            <a:ext uri="{FF2B5EF4-FFF2-40B4-BE49-F238E27FC236}">
              <a16:creationId xmlns:a16="http://schemas.microsoft.com/office/drawing/2014/main" id="{00000000-0008-0000-0000-000036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33591" name="Picture 28" descr="C:\WINDOWS\TEMP\~0003946.gif">
          <a:extLst>
            <a:ext uri="{FF2B5EF4-FFF2-40B4-BE49-F238E27FC236}">
              <a16:creationId xmlns:a16="http://schemas.microsoft.com/office/drawing/2014/main" id="{00000000-0008-0000-0000-000037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128</xdr:row>
      <xdr:rowOff>123825</xdr:rowOff>
    </xdr:from>
    <xdr:to>
      <xdr:col>20</xdr:col>
      <xdr:colOff>895350</xdr:colOff>
      <xdr:row>129</xdr:row>
      <xdr:rowOff>152400</xdr:rowOff>
    </xdr:to>
    <xdr:pic>
      <xdr:nvPicPr>
        <xdr:cNvPr id="33592" name="Picture 29" descr="C:\WINDOWS\TEMP\~0003946.gif">
          <a:extLst>
            <a:ext uri="{FF2B5EF4-FFF2-40B4-BE49-F238E27FC236}">
              <a16:creationId xmlns:a16="http://schemas.microsoft.com/office/drawing/2014/main" id="{00000000-0008-0000-0000-000038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2794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187</xdr:row>
      <xdr:rowOff>104775</xdr:rowOff>
    </xdr:from>
    <xdr:to>
      <xdr:col>20</xdr:col>
      <xdr:colOff>809625</xdr:colOff>
      <xdr:row>188</xdr:row>
      <xdr:rowOff>133350</xdr:rowOff>
    </xdr:to>
    <xdr:pic>
      <xdr:nvPicPr>
        <xdr:cNvPr id="33593" name="Picture 30" descr="C:\WINDOWS\TEMP\~0003946.gif">
          <a:extLst>
            <a:ext uri="{FF2B5EF4-FFF2-40B4-BE49-F238E27FC236}">
              <a16:creationId xmlns:a16="http://schemas.microsoft.com/office/drawing/2014/main" id="{00000000-0008-0000-0000-000039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81381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266</xdr:row>
      <xdr:rowOff>104775</xdr:rowOff>
    </xdr:from>
    <xdr:to>
      <xdr:col>20</xdr:col>
      <xdr:colOff>895350</xdr:colOff>
      <xdr:row>267</xdr:row>
      <xdr:rowOff>133350</xdr:rowOff>
    </xdr:to>
    <xdr:pic>
      <xdr:nvPicPr>
        <xdr:cNvPr id="33594" name="Picture 31" descr="C:\WINDOWS\TEMP\~0003946.gif">
          <a:extLst>
            <a:ext uri="{FF2B5EF4-FFF2-40B4-BE49-F238E27FC236}">
              <a16:creationId xmlns:a16="http://schemas.microsoft.com/office/drawing/2014/main" id="{00000000-0008-0000-0000-00003A8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40258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33595" name="Picture 43" descr="logoMTL">
          <a:extLst>
            <a:ext uri="{FF2B5EF4-FFF2-40B4-BE49-F238E27FC236}">
              <a16:creationId xmlns:a16="http://schemas.microsoft.com/office/drawing/2014/main" id="{00000000-0008-0000-0000-00003B8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128</xdr:row>
      <xdr:rowOff>38100</xdr:rowOff>
    </xdr:from>
    <xdr:to>
      <xdr:col>19</xdr:col>
      <xdr:colOff>1171575</xdr:colOff>
      <xdr:row>129</xdr:row>
      <xdr:rowOff>161925</xdr:rowOff>
    </xdr:to>
    <xdr:pic>
      <xdr:nvPicPr>
        <xdr:cNvPr id="33596" name="Picture 44" descr="logoMTL">
          <a:extLst>
            <a:ext uri="{FF2B5EF4-FFF2-40B4-BE49-F238E27FC236}">
              <a16:creationId xmlns:a16="http://schemas.microsoft.com/office/drawing/2014/main" id="{00000000-0008-0000-0000-00003C8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1937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187</xdr:row>
      <xdr:rowOff>28575</xdr:rowOff>
    </xdr:from>
    <xdr:to>
      <xdr:col>19</xdr:col>
      <xdr:colOff>1171575</xdr:colOff>
      <xdr:row>188</xdr:row>
      <xdr:rowOff>152400</xdr:rowOff>
    </xdr:to>
    <xdr:pic>
      <xdr:nvPicPr>
        <xdr:cNvPr id="33597" name="Picture 45" descr="logoMTL">
          <a:extLst>
            <a:ext uri="{FF2B5EF4-FFF2-40B4-BE49-F238E27FC236}">
              <a16:creationId xmlns:a16="http://schemas.microsoft.com/office/drawing/2014/main" id="{00000000-0008-0000-0000-00003D8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80619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266</xdr:row>
      <xdr:rowOff>0</xdr:rowOff>
    </xdr:from>
    <xdr:to>
      <xdr:col>19</xdr:col>
      <xdr:colOff>1228725</xdr:colOff>
      <xdr:row>267</xdr:row>
      <xdr:rowOff>123825</xdr:rowOff>
    </xdr:to>
    <xdr:pic>
      <xdr:nvPicPr>
        <xdr:cNvPr id="33598" name="Picture 46" descr="logoMTL">
          <a:extLst>
            <a:ext uri="{FF2B5EF4-FFF2-40B4-BE49-F238E27FC236}">
              <a16:creationId xmlns:a16="http://schemas.microsoft.com/office/drawing/2014/main" id="{00000000-0008-0000-0000-00003E8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39210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42769" name="Picture 1" descr="C:\WINDOWS\TEMP\Symbol.gif">
          <a:extLst>
            <a:ext uri="{FF2B5EF4-FFF2-40B4-BE49-F238E27FC236}">
              <a16:creationId xmlns:a16="http://schemas.microsoft.com/office/drawing/2014/main" id="{00000000-0008-0000-0900-000011A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42770" name="Picture 2" descr="C:\WINDOWS\TEMP\Symbol.gif">
          <a:extLst>
            <a:ext uri="{FF2B5EF4-FFF2-40B4-BE49-F238E27FC236}">
              <a16:creationId xmlns:a16="http://schemas.microsoft.com/office/drawing/2014/main" id="{00000000-0008-0000-0900-000012A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42771" name="Picture 3" descr="C:\WINDOWS\TEMP\Symbol.gif">
          <a:extLst>
            <a:ext uri="{FF2B5EF4-FFF2-40B4-BE49-F238E27FC236}">
              <a16:creationId xmlns:a16="http://schemas.microsoft.com/office/drawing/2014/main" id="{00000000-0008-0000-0900-000013A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42772" name="Picture 4" descr="C:\WINDOWS\TEMP\Symbol.gif">
          <a:extLst>
            <a:ext uri="{FF2B5EF4-FFF2-40B4-BE49-F238E27FC236}">
              <a16:creationId xmlns:a16="http://schemas.microsoft.com/office/drawing/2014/main" id="{00000000-0008-0000-0900-000014A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88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275</xdr:row>
      <xdr:rowOff>123825</xdr:rowOff>
    </xdr:from>
    <xdr:to>
      <xdr:col>20</xdr:col>
      <xdr:colOff>1895475</xdr:colOff>
      <xdr:row>276</xdr:row>
      <xdr:rowOff>152400</xdr:rowOff>
    </xdr:to>
    <xdr:pic>
      <xdr:nvPicPr>
        <xdr:cNvPr id="42773" name="Picture 5" descr="C:\WINDOWS\TEMP\~0003946.gif">
          <a:extLst>
            <a:ext uri="{FF2B5EF4-FFF2-40B4-BE49-F238E27FC236}">
              <a16:creationId xmlns:a16="http://schemas.microsoft.com/office/drawing/2014/main" id="{00000000-0008-0000-0900-000015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84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42774" name="Picture 6" descr="C:\WINDOWS\TEMP\~0003946.gif">
          <a:extLst>
            <a:ext uri="{FF2B5EF4-FFF2-40B4-BE49-F238E27FC236}">
              <a16:creationId xmlns:a16="http://schemas.microsoft.com/office/drawing/2014/main" id="{00000000-0008-0000-0900-000016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42775" name="Picture 7" descr="C:\WINDOWS\TEMP\~0003946.gif">
          <a:extLst>
            <a:ext uri="{FF2B5EF4-FFF2-40B4-BE49-F238E27FC236}">
              <a16:creationId xmlns:a16="http://schemas.microsoft.com/office/drawing/2014/main" id="{00000000-0008-0000-0900-000017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42776" name="Picture 8" descr="C:\WINDOWS\TEMP\~0003946.gif">
          <a:extLst>
            <a:ext uri="{FF2B5EF4-FFF2-40B4-BE49-F238E27FC236}">
              <a16:creationId xmlns:a16="http://schemas.microsoft.com/office/drawing/2014/main" id="{00000000-0008-0000-0900-000018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42777" name="Picture 9" descr="C:\WINDOWS\TEMP\~0003946.gif">
          <a:extLst>
            <a:ext uri="{FF2B5EF4-FFF2-40B4-BE49-F238E27FC236}">
              <a16:creationId xmlns:a16="http://schemas.microsoft.com/office/drawing/2014/main" id="{00000000-0008-0000-0900-000019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42778" name="Picture 10" descr="C:\WINDOWS\TEMP\~0003946.gif">
          <a:extLst>
            <a:ext uri="{FF2B5EF4-FFF2-40B4-BE49-F238E27FC236}">
              <a16:creationId xmlns:a16="http://schemas.microsoft.com/office/drawing/2014/main" id="{00000000-0008-0000-0900-00001A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42779" name="Picture 11" descr="C:\WINDOWS\TEMP\~0003946.gif">
          <a:extLst>
            <a:ext uri="{FF2B5EF4-FFF2-40B4-BE49-F238E27FC236}">
              <a16:creationId xmlns:a16="http://schemas.microsoft.com/office/drawing/2014/main" id="{00000000-0008-0000-0900-00001B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275</xdr:row>
      <xdr:rowOff>104775</xdr:rowOff>
    </xdr:from>
    <xdr:to>
      <xdr:col>20</xdr:col>
      <xdr:colOff>895350</xdr:colOff>
      <xdr:row>276</xdr:row>
      <xdr:rowOff>133350</xdr:rowOff>
    </xdr:to>
    <xdr:pic>
      <xdr:nvPicPr>
        <xdr:cNvPr id="42780" name="Picture 12" descr="C:\WINDOWS\TEMP\~0003946.gif">
          <a:extLst>
            <a:ext uri="{FF2B5EF4-FFF2-40B4-BE49-F238E27FC236}">
              <a16:creationId xmlns:a16="http://schemas.microsoft.com/office/drawing/2014/main" id="{00000000-0008-0000-0900-00001CA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82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42781" name="Picture 13" descr="logoMTL">
          <a:extLst>
            <a:ext uri="{FF2B5EF4-FFF2-40B4-BE49-F238E27FC236}">
              <a16:creationId xmlns:a16="http://schemas.microsoft.com/office/drawing/2014/main" id="{00000000-0008-0000-0900-00001DA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42782" name="Picture 14" descr="logoMTL">
          <a:extLst>
            <a:ext uri="{FF2B5EF4-FFF2-40B4-BE49-F238E27FC236}">
              <a16:creationId xmlns:a16="http://schemas.microsoft.com/office/drawing/2014/main" id="{00000000-0008-0000-0900-00001EA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42783" name="Picture 15" descr="logoMTL">
          <a:extLst>
            <a:ext uri="{FF2B5EF4-FFF2-40B4-BE49-F238E27FC236}">
              <a16:creationId xmlns:a16="http://schemas.microsoft.com/office/drawing/2014/main" id="{00000000-0008-0000-0900-00001FA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275</xdr:row>
      <xdr:rowOff>0</xdr:rowOff>
    </xdr:from>
    <xdr:to>
      <xdr:col>19</xdr:col>
      <xdr:colOff>1228725</xdr:colOff>
      <xdr:row>276</xdr:row>
      <xdr:rowOff>123825</xdr:rowOff>
    </xdr:to>
    <xdr:pic>
      <xdr:nvPicPr>
        <xdr:cNvPr id="42784" name="Picture 16" descr="logoMTL">
          <a:extLst>
            <a:ext uri="{FF2B5EF4-FFF2-40B4-BE49-F238E27FC236}">
              <a16:creationId xmlns:a16="http://schemas.microsoft.com/office/drawing/2014/main" id="{00000000-0008-0000-0900-000020A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72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43793" name="Picture 1" descr="C:\WINDOWS\TEMP\Symbol.gif">
          <a:extLst>
            <a:ext uri="{FF2B5EF4-FFF2-40B4-BE49-F238E27FC236}">
              <a16:creationId xmlns:a16="http://schemas.microsoft.com/office/drawing/2014/main" id="{00000000-0008-0000-0A00-000011A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43794" name="Picture 2" descr="C:\WINDOWS\TEMP\Symbol.gif">
          <a:extLst>
            <a:ext uri="{FF2B5EF4-FFF2-40B4-BE49-F238E27FC236}">
              <a16:creationId xmlns:a16="http://schemas.microsoft.com/office/drawing/2014/main" id="{00000000-0008-0000-0A00-000012A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43795" name="Picture 3" descr="C:\WINDOWS\TEMP\Symbol.gif">
          <a:extLst>
            <a:ext uri="{FF2B5EF4-FFF2-40B4-BE49-F238E27FC236}">
              <a16:creationId xmlns:a16="http://schemas.microsoft.com/office/drawing/2014/main" id="{00000000-0008-0000-0A00-000013A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43796" name="Picture 4" descr="C:\WINDOWS\TEMP\Symbol.gif">
          <a:extLst>
            <a:ext uri="{FF2B5EF4-FFF2-40B4-BE49-F238E27FC236}">
              <a16:creationId xmlns:a16="http://schemas.microsoft.com/office/drawing/2014/main" id="{00000000-0008-0000-0A00-000014A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88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275</xdr:row>
      <xdr:rowOff>123825</xdr:rowOff>
    </xdr:from>
    <xdr:to>
      <xdr:col>20</xdr:col>
      <xdr:colOff>1895475</xdr:colOff>
      <xdr:row>276</xdr:row>
      <xdr:rowOff>152400</xdr:rowOff>
    </xdr:to>
    <xdr:pic>
      <xdr:nvPicPr>
        <xdr:cNvPr id="43797" name="Picture 5" descr="C:\WINDOWS\TEMP\~0003946.gif">
          <a:extLst>
            <a:ext uri="{FF2B5EF4-FFF2-40B4-BE49-F238E27FC236}">
              <a16:creationId xmlns:a16="http://schemas.microsoft.com/office/drawing/2014/main" id="{00000000-0008-0000-0A00-000015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84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43798" name="Picture 6" descr="C:\WINDOWS\TEMP\~0003946.gif">
          <a:extLst>
            <a:ext uri="{FF2B5EF4-FFF2-40B4-BE49-F238E27FC236}">
              <a16:creationId xmlns:a16="http://schemas.microsoft.com/office/drawing/2014/main" id="{00000000-0008-0000-0A00-000016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43799" name="Picture 7" descr="C:\WINDOWS\TEMP\~0003946.gif">
          <a:extLst>
            <a:ext uri="{FF2B5EF4-FFF2-40B4-BE49-F238E27FC236}">
              <a16:creationId xmlns:a16="http://schemas.microsoft.com/office/drawing/2014/main" id="{00000000-0008-0000-0A00-000017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43800" name="Picture 8" descr="C:\WINDOWS\TEMP\~0003946.gif">
          <a:extLst>
            <a:ext uri="{FF2B5EF4-FFF2-40B4-BE49-F238E27FC236}">
              <a16:creationId xmlns:a16="http://schemas.microsoft.com/office/drawing/2014/main" id="{00000000-0008-0000-0A00-000018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43801" name="Picture 9" descr="C:\WINDOWS\TEMP\~0003946.gif">
          <a:extLst>
            <a:ext uri="{FF2B5EF4-FFF2-40B4-BE49-F238E27FC236}">
              <a16:creationId xmlns:a16="http://schemas.microsoft.com/office/drawing/2014/main" id="{00000000-0008-0000-0A00-000019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43802" name="Picture 10" descr="C:\WINDOWS\TEMP\~0003946.gif">
          <a:extLst>
            <a:ext uri="{FF2B5EF4-FFF2-40B4-BE49-F238E27FC236}">
              <a16:creationId xmlns:a16="http://schemas.microsoft.com/office/drawing/2014/main" id="{00000000-0008-0000-0A00-00001A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43803" name="Picture 11" descr="C:\WINDOWS\TEMP\~0003946.gif">
          <a:extLst>
            <a:ext uri="{FF2B5EF4-FFF2-40B4-BE49-F238E27FC236}">
              <a16:creationId xmlns:a16="http://schemas.microsoft.com/office/drawing/2014/main" id="{00000000-0008-0000-0A00-00001B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275</xdr:row>
      <xdr:rowOff>104775</xdr:rowOff>
    </xdr:from>
    <xdr:to>
      <xdr:col>20</xdr:col>
      <xdr:colOff>895350</xdr:colOff>
      <xdr:row>276</xdr:row>
      <xdr:rowOff>133350</xdr:rowOff>
    </xdr:to>
    <xdr:pic>
      <xdr:nvPicPr>
        <xdr:cNvPr id="43804" name="Picture 12" descr="C:\WINDOWS\TEMP\~0003946.gif">
          <a:extLst>
            <a:ext uri="{FF2B5EF4-FFF2-40B4-BE49-F238E27FC236}">
              <a16:creationId xmlns:a16="http://schemas.microsoft.com/office/drawing/2014/main" id="{00000000-0008-0000-0A00-00001CA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82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43805" name="Picture 13" descr="logoMTL">
          <a:extLst>
            <a:ext uri="{FF2B5EF4-FFF2-40B4-BE49-F238E27FC236}">
              <a16:creationId xmlns:a16="http://schemas.microsoft.com/office/drawing/2014/main" id="{00000000-0008-0000-0A00-00001DA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43806" name="Picture 14" descr="logoMTL">
          <a:extLst>
            <a:ext uri="{FF2B5EF4-FFF2-40B4-BE49-F238E27FC236}">
              <a16:creationId xmlns:a16="http://schemas.microsoft.com/office/drawing/2014/main" id="{00000000-0008-0000-0A00-00001EA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43807" name="Picture 15" descr="logoMTL">
          <a:extLst>
            <a:ext uri="{FF2B5EF4-FFF2-40B4-BE49-F238E27FC236}">
              <a16:creationId xmlns:a16="http://schemas.microsoft.com/office/drawing/2014/main" id="{00000000-0008-0000-0A00-00001FA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275</xdr:row>
      <xdr:rowOff>0</xdr:rowOff>
    </xdr:from>
    <xdr:to>
      <xdr:col>19</xdr:col>
      <xdr:colOff>1228725</xdr:colOff>
      <xdr:row>276</xdr:row>
      <xdr:rowOff>123825</xdr:rowOff>
    </xdr:to>
    <xdr:pic>
      <xdr:nvPicPr>
        <xdr:cNvPr id="43808" name="Picture 16" descr="logoMTL">
          <a:extLst>
            <a:ext uri="{FF2B5EF4-FFF2-40B4-BE49-F238E27FC236}">
              <a16:creationId xmlns:a16="http://schemas.microsoft.com/office/drawing/2014/main" id="{00000000-0008-0000-0A00-000020A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72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44817" name="Picture 1" descr="C:\WINDOWS\TEMP\Symbol.gif">
          <a:extLst>
            <a:ext uri="{FF2B5EF4-FFF2-40B4-BE49-F238E27FC236}">
              <a16:creationId xmlns:a16="http://schemas.microsoft.com/office/drawing/2014/main" id="{00000000-0008-0000-0B00-000011A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44818" name="Picture 2" descr="C:\WINDOWS\TEMP\Symbol.gif">
          <a:extLst>
            <a:ext uri="{FF2B5EF4-FFF2-40B4-BE49-F238E27FC236}">
              <a16:creationId xmlns:a16="http://schemas.microsoft.com/office/drawing/2014/main" id="{00000000-0008-0000-0B00-000012A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44819" name="Picture 3" descr="C:\WINDOWS\TEMP\Symbol.gif">
          <a:extLst>
            <a:ext uri="{FF2B5EF4-FFF2-40B4-BE49-F238E27FC236}">
              <a16:creationId xmlns:a16="http://schemas.microsoft.com/office/drawing/2014/main" id="{00000000-0008-0000-0B00-000013A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44820" name="Picture 4" descr="C:\WINDOWS\TEMP\Symbol.gif">
          <a:extLst>
            <a:ext uri="{FF2B5EF4-FFF2-40B4-BE49-F238E27FC236}">
              <a16:creationId xmlns:a16="http://schemas.microsoft.com/office/drawing/2014/main" id="{00000000-0008-0000-0B00-000014A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88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275</xdr:row>
      <xdr:rowOff>123825</xdr:rowOff>
    </xdr:from>
    <xdr:to>
      <xdr:col>20</xdr:col>
      <xdr:colOff>1895475</xdr:colOff>
      <xdr:row>276</xdr:row>
      <xdr:rowOff>152400</xdr:rowOff>
    </xdr:to>
    <xdr:pic>
      <xdr:nvPicPr>
        <xdr:cNvPr id="44821" name="Picture 5" descr="C:\WINDOWS\TEMP\~0003946.gif">
          <a:extLst>
            <a:ext uri="{FF2B5EF4-FFF2-40B4-BE49-F238E27FC236}">
              <a16:creationId xmlns:a16="http://schemas.microsoft.com/office/drawing/2014/main" id="{00000000-0008-0000-0B00-000015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84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44822" name="Picture 6" descr="C:\WINDOWS\TEMP\~0003946.gif">
          <a:extLst>
            <a:ext uri="{FF2B5EF4-FFF2-40B4-BE49-F238E27FC236}">
              <a16:creationId xmlns:a16="http://schemas.microsoft.com/office/drawing/2014/main" id="{00000000-0008-0000-0B00-000016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44823" name="Picture 7" descr="C:\WINDOWS\TEMP\~0003946.gif">
          <a:extLst>
            <a:ext uri="{FF2B5EF4-FFF2-40B4-BE49-F238E27FC236}">
              <a16:creationId xmlns:a16="http://schemas.microsoft.com/office/drawing/2014/main" id="{00000000-0008-0000-0B00-000017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44824" name="Picture 8" descr="C:\WINDOWS\TEMP\~0003946.gif">
          <a:extLst>
            <a:ext uri="{FF2B5EF4-FFF2-40B4-BE49-F238E27FC236}">
              <a16:creationId xmlns:a16="http://schemas.microsoft.com/office/drawing/2014/main" id="{00000000-0008-0000-0B00-000018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44825" name="Picture 9" descr="C:\WINDOWS\TEMP\~0003946.gif">
          <a:extLst>
            <a:ext uri="{FF2B5EF4-FFF2-40B4-BE49-F238E27FC236}">
              <a16:creationId xmlns:a16="http://schemas.microsoft.com/office/drawing/2014/main" id="{00000000-0008-0000-0B00-000019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44826" name="Picture 10" descr="C:\WINDOWS\TEMP\~0003946.gif">
          <a:extLst>
            <a:ext uri="{FF2B5EF4-FFF2-40B4-BE49-F238E27FC236}">
              <a16:creationId xmlns:a16="http://schemas.microsoft.com/office/drawing/2014/main" id="{00000000-0008-0000-0B00-00001A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44827" name="Picture 11" descr="C:\WINDOWS\TEMP\~0003946.gif">
          <a:extLst>
            <a:ext uri="{FF2B5EF4-FFF2-40B4-BE49-F238E27FC236}">
              <a16:creationId xmlns:a16="http://schemas.microsoft.com/office/drawing/2014/main" id="{00000000-0008-0000-0B00-00001B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275</xdr:row>
      <xdr:rowOff>104775</xdr:rowOff>
    </xdr:from>
    <xdr:to>
      <xdr:col>20</xdr:col>
      <xdr:colOff>895350</xdr:colOff>
      <xdr:row>276</xdr:row>
      <xdr:rowOff>133350</xdr:rowOff>
    </xdr:to>
    <xdr:pic>
      <xdr:nvPicPr>
        <xdr:cNvPr id="44828" name="Picture 12" descr="C:\WINDOWS\TEMP\~0003946.gif">
          <a:extLst>
            <a:ext uri="{FF2B5EF4-FFF2-40B4-BE49-F238E27FC236}">
              <a16:creationId xmlns:a16="http://schemas.microsoft.com/office/drawing/2014/main" id="{00000000-0008-0000-0B00-00001CA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82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44829" name="Picture 13" descr="logoMTL">
          <a:extLst>
            <a:ext uri="{FF2B5EF4-FFF2-40B4-BE49-F238E27FC236}">
              <a16:creationId xmlns:a16="http://schemas.microsoft.com/office/drawing/2014/main" id="{00000000-0008-0000-0B00-00001DA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44830" name="Picture 14" descr="logoMTL">
          <a:extLst>
            <a:ext uri="{FF2B5EF4-FFF2-40B4-BE49-F238E27FC236}">
              <a16:creationId xmlns:a16="http://schemas.microsoft.com/office/drawing/2014/main" id="{00000000-0008-0000-0B00-00001EA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44831" name="Picture 15" descr="logoMTL">
          <a:extLst>
            <a:ext uri="{FF2B5EF4-FFF2-40B4-BE49-F238E27FC236}">
              <a16:creationId xmlns:a16="http://schemas.microsoft.com/office/drawing/2014/main" id="{00000000-0008-0000-0B00-00001FA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275</xdr:row>
      <xdr:rowOff>0</xdr:rowOff>
    </xdr:from>
    <xdr:to>
      <xdr:col>19</xdr:col>
      <xdr:colOff>1228725</xdr:colOff>
      <xdr:row>276</xdr:row>
      <xdr:rowOff>123825</xdr:rowOff>
    </xdr:to>
    <xdr:pic>
      <xdr:nvPicPr>
        <xdr:cNvPr id="44832" name="Picture 16" descr="logoMTL">
          <a:extLst>
            <a:ext uri="{FF2B5EF4-FFF2-40B4-BE49-F238E27FC236}">
              <a16:creationId xmlns:a16="http://schemas.microsoft.com/office/drawing/2014/main" id="{00000000-0008-0000-0B00-000020A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72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45841" name="Picture 1" descr="C:\WINDOWS\TEMP\Symbol.gif">
          <a:extLst>
            <a:ext uri="{FF2B5EF4-FFF2-40B4-BE49-F238E27FC236}">
              <a16:creationId xmlns:a16="http://schemas.microsoft.com/office/drawing/2014/main" id="{00000000-0008-0000-0C00-000011B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45842" name="Picture 2" descr="C:\WINDOWS\TEMP\Symbol.gif">
          <a:extLst>
            <a:ext uri="{FF2B5EF4-FFF2-40B4-BE49-F238E27FC236}">
              <a16:creationId xmlns:a16="http://schemas.microsoft.com/office/drawing/2014/main" id="{00000000-0008-0000-0C00-000012B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45843" name="Picture 3" descr="C:\WINDOWS\TEMP\Symbol.gif">
          <a:extLst>
            <a:ext uri="{FF2B5EF4-FFF2-40B4-BE49-F238E27FC236}">
              <a16:creationId xmlns:a16="http://schemas.microsoft.com/office/drawing/2014/main" id="{00000000-0008-0000-0C00-000013B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45844" name="Picture 4" descr="C:\WINDOWS\TEMP\Symbol.gif">
          <a:extLst>
            <a:ext uri="{FF2B5EF4-FFF2-40B4-BE49-F238E27FC236}">
              <a16:creationId xmlns:a16="http://schemas.microsoft.com/office/drawing/2014/main" id="{00000000-0008-0000-0C00-000014B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88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275</xdr:row>
      <xdr:rowOff>123825</xdr:rowOff>
    </xdr:from>
    <xdr:to>
      <xdr:col>20</xdr:col>
      <xdr:colOff>1895475</xdr:colOff>
      <xdr:row>276</xdr:row>
      <xdr:rowOff>152400</xdr:rowOff>
    </xdr:to>
    <xdr:pic>
      <xdr:nvPicPr>
        <xdr:cNvPr id="45845" name="Picture 5" descr="C:\WINDOWS\TEMP\~0003946.gif">
          <a:extLst>
            <a:ext uri="{FF2B5EF4-FFF2-40B4-BE49-F238E27FC236}">
              <a16:creationId xmlns:a16="http://schemas.microsoft.com/office/drawing/2014/main" id="{00000000-0008-0000-0C00-000015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84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45846" name="Picture 6" descr="C:\WINDOWS\TEMP\~0003946.gif">
          <a:extLst>
            <a:ext uri="{FF2B5EF4-FFF2-40B4-BE49-F238E27FC236}">
              <a16:creationId xmlns:a16="http://schemas.microsoft.com/office/drawing/2014/main" id="{00000000-0008-0000-0C00-000016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45847" name="Picture 7" descr="C:\WINDOWS\TEMP\~0003946.gif">
          <a:extLst>
            <a:ext uri="{FF2B5EF4-FFF2-40B4-BE49-F238E27FC236}">
              <a16:creationId xmlns:a16="http://schemas.microsoft.com/office/drawing/2014/main" id="{00000000-0008-0000-0C00-000017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45848" name="Picture 8" descr="C:\WINDOWS\TEMP\~0003946.gif">
          <a:extLst>
            <a:ext uri="{FF2B5EF4-FFF2-40B4-BE49-F238E27FC236}">
              <a16:creationId xmlns:a16="http://schemas.microsoft.com/office/drawing/2014/main" id="{00000000-0008-0000-0C00-000018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45849" name="Picture 9" descr="C:\WINDOWS\TEMP\~0003946.gif">
          <a:extLst>
            <a:ext uri="{FF2B5EF4-FFF2-40B4-BE49-F238E27FC236}">
              <a16:creationId xmlns:a16="http://schemas.microsoft.com/office/drawing/2014/main" id="{00000000-0008-0000-0C00-000019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45850" name="Picture 10" descr="C:\WINDOWS\TEMP\~0003946.gif">
          <a:extLst>
            <a:ext uri="{FF2B5EF4-FFF2-40B4-BE49-F238E27FC236}">
              <a16:creationId xmlns:a16="http://schemas.microsoft.com/office/drawing/2014/main" id="{00000000-0008-0000-0C00-00001A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45851" name="Picture 11" descr="C:\WINDOWS\TEMP\~0003946.gif">
          <a:extLst>
            <a:ext uri="{FF2B5EF4-FFF2-40B4-BE49-F238E27FC236}">
              <a16:creationId xmlns:a16="http://schemas.microsoft.com/office/drawing/2014/main" id="{00000000-0008-0000-0C00-00001B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275</xdr:row>
      <xdr:rowOff>104775</xdr:rowOff>
    </xdr:from>
    <xdr:to>
      <xdr:col>20</xdr:col>
      <xdr:colOff>895350</xdr:colOff>
      <xdr:row>276</xdr:row>
      <xdr:rowOff>133350</xdr:rowOff>
    </xdr:to>
    <xdr:pic>
      <xdr:nvPicPr>
        <xdr:cNvPr id="45852" name="Picture 12" descr="C:\WINDOWS\TEMP\~0003946.gif">
          <a:extLst>
            <a:ext uri="{FF2B5EF4-FFF2-40B4-BE49-F238E27FC236}">
              <a16:creationId xmlns:a16="http://schemas.microsoft.com/office/drawing/2014/main" id="{00000000-0008-0000-0C00-00001CB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82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45853" name="Picture 13" descr="logoMTL">
          <a:extLst>
            <a:ext uri="{FF2B5EF4-FFF2-40B4-BE49-F238E27FC236}">
              <a16:creationId xmlns:a16="http://schemas.microsoft.com/office/drawing/2014/main" id="{00000000-0008-0000-0C00-00001DB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45854" name="Picture 14" descr="logoMTL">
          <a:extLst>
            <a:ext uri="{FF2B5EF4-FFF2-40B4-BE49-F238E27FC236}">
              <a16:creationId xmlns:a16="http://schemas.microsoft.com/office/drawing/2014/main" id="{00000000-0008-0000-0C00-00001EB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45855" name="Picture 15" descr="logoMTL">
          <a:extLst>
            <a:ext uri="{FF2B5EF4-FFF2-40B4-BE49-F238E27FC236}">
              <a16:creationId xmlns:a16="http://schemas.microsoft.com/office/drawing/2014/main" id="{00000000-0008-0000-0C00-00001FB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275</xdr:row>
      <xdr:rowOff>0</xdr:rowOff>
    </xdr:from>
    <xdr:to>
      <xdr:col>19</xdr:col>
      <xdr:colOff>1228725</xdr:colOff>
      <xdr:row>276</xdr:row>
      <xdr:rowOff>123825</xdr:rowOff>
    </xdr:to>
    <xdr:pic>
      <xdr:nvPicPr>
        <xdr:cNvPr id="45856" name="Picture 16" descr="logoMTL">
          <a:extLst>
            <a:ext uri="{FF2B5EF4-FFF2-40B4-BE49-F238E27FC236}">
              <a16:creationId xmlns:a16="http://schemas.microsoft.com/office/drawing/2014/main" id="{00000000-0008-0000-0C00-000020B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72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46865" name="Picture 1" descr="C:\WINDOWS\TEMP\Symbol.gif">
          <a:extLst>
            <a:ext uri="{FF2B5EF4-FFF2-40B4-BE49-F238E27FC236}">
              <a16:creationId xmlns:a16="http://schemas.microsoft.com/office/drawing/2014/main" id="{00000000-0008-0000-0D00-000011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46866" name="Picture 2" descr="C:\WINDOWS\TEMP\Symbol.gif">
          <a:extLst>
            <a:ext uri="{FF2B5EF4-FFF2-40B4-BE49-F238E27FC236}">
              <a16:creationId xmlns:a16="http://schemas.microsoft.com/office/drawing/2014/main" id="{00000000-0008-0000-0D00-000012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46867" name="Picture 3" descr="C:\WINDOWS\TEMP\Symbol.gif">
          <a:extLst>
            <a:ext uri="{FF2B5EF4-FFF2-40B4-BE49-F238E27FC236}">
              <a16:creationId xmlns:a16="http://schemas.microsoft.com/office/drawing/2014/main" id="{00000000-0008-0000-0D00-000013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46868" name="Picture 4" descr="C:\WINDOWS\TEMP\Symbol.gif">
          <a:extLst>
            <a:ext uri="{FF2B5EF4-FFF2-40B4-BE49-F238E27FC236}">
              <a16:creationId xmlns:a16="http://schemas.microsoft.com/office/drawing/2014/main" id="{00000000-0008-0000-0D00-000014B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88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275</xdr:row>
      <xdr:rowOff>123825</xdr:rowOff>
    </xdr:from>
    <xdr:to>
      <xdr:col>20</xdr:col>
      <xdr:colOff>1895475</xdr:colOff>
      <xdr:row>276</xdr:row>
      <xdr:rowOff>152400</xdr:rowOff>
    </xdr:to>
    <xdr:pic>
      <xdr:nvPicPr>
        <xdr:cNvPr id="46869" name="Picture 5" descr="C:\WINDOWS\TEMP\~0003946.gif">
          <a:extLst>
            <a:ext uri="{FF2B5EF4-FFF2-40B4-BE49-F238E27FC236}">
              <a16:creationId xmlns:a16="http://schemas.microsoft.com/office/drawing/2014/main" id="{00000000-0008-0000-0D00-000015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84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46870" name="Picture 6" descr="C:\WINDOWS\TEMP\~0003946.gif">
          <a:extLst>
            <a:ext uri="{FF2B5EF4-FFF2-40B4-BE49-F238E27FC236}">
              <a16:creationId xmlns:a16="http://schemas.microsoft.com/office/drawing/2014/main" id="{00000000-0008-0000-0D00-000016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46871" name="Picture 7" descr="C:\WINDOWS\TEMP\~0003946.gif">
          <a:extLst>
            <a:ext uri="{FF2B5EF4-FFF2-40B4-BE49-F238E27FC236}">
              <a16:creationId xmlns:a16="http://schemas.microsoft.com/office/drawing/2014/main" id="{00000000-0008-0000-0D00-000017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46872" name="Picture 8" descr="C:\WINDOWS\TEMP\~0003946.gif">
          <a:extLst>
            <a:ext uri="{FF2B5EF4-FFF2-40B4-BE49-F238E27FC236}">
              <a16:creationId xmlns:a16="http://schemas.microsoft.com/office/drawing/2014/main" id="{00000000-0008-0000-0D00-000018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46873" name="Picture 9" descr="C:\WINDOWS\TEMP\~0003946.gif">
          <a:extLst>
            <a:ext uri="{FF2B5EF4-FFF2-40B4-BE49-F238E27FC236}">
              <a16:creationId xmlns:a16="http://schemas.microsoft.com/office/drawing/2014/main" id="{00000000-0008-0000-0D00-000019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46874" name="Picture 10" descr="C:\WINDOWS\TEMP\~0003946.gif">
          <a:extLst>
            <a:ext uri="{FF2B5EF4-FFF2-40B4-BE49-F238E27FC236}">
              <a16:creationId xmlns:a16="http://schemas.microsoft.com/office/drawing/2014/main" id="{00000000-0008-0000-0D00-00001A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46875" name="Picture 11" descr="C:\WINDOWS\TEMP\~0003946.gif">
          <a:extLst>
            <a:ext uri="{FF2B5EF4-FFF2-40B4-BE49-F238E27FC236}">
              <a16:creationId xmlns:a16="http://schemas.microsoft.com/office/drawing/2014/main" id="{00000000-0008-0000-0D00-00001B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275</xdr:row>
      <xdr:rowOff>104775</xdr:rowOff>
    </xdr:from>
    <xdr:to>
      <xdr:col>20</xdr:col>
      <xdr:colOff>895350</xdr:colOff>
      <xdr:row>276</xdr:row>
      <xdr:rowOff>133350</xdr:rowOff>
    </xdr:to>
    <xdr:pic>
      <xdr:nvPicPr>
        <xdr:cNvPr id="46876" name="Picture 12" descr="C:\WINDOWS\TEMP\~0003946.gif">
          <a:extLst>
            <a:ext uri="{FF2B5EF4-FFF2-40B4-BE49-F238E27FC236}">
              <a16:creationId xmlns:a16="http://schemas.microsoft.com/office/drawing/2014/main" id="{00000000-0008-0000-0D00-00001CB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82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46877" name="Picture 13" descr="logoMTL">
          <a:extLst>
            <a:ext uri="{FF2B5EF4-FFF2-40B4-BE49-F238E27FC236}">
              <a16:creationId xmlns:a16="http://schemas.microsoft.com/office/drawing/2014/main" id="{00000000-0008-0000-0D00-00001D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46878" name="Picture 14" descr="logoMTL">
          <a:extLst>
            <a:ext uri="{FF2B5EF4-FFF2-40B4-BE49-F238E27FC236}">
              <a16:creationId xmlns:a16="http://schemas.microsoft.com/office/drawing/2014/main" id="{00000000-0008-0000-0D00-00001EB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46879" name="Picture 15" descr="logoMTL">
          <a:extLst>
            <a:ext uri="{FF2B5EF4-FFF2-40B4-BE49-F238E27FC236}">
              <a16:creationId xmlns:a16="http://schemas.microsoft.com/office/drawing/2014/main" id="{00000000-0008-0000-0D00-00001FB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275</xdr:row>
      <xdr:rowOff>0</xdr:rowOff>
    </xdr:from>
    <xdr:to>
      <xdr:col>19</xdr:col>
      <xdr:colOff>1228725</xdr:colOff>
      <xdr:row>276</xdr:row>
      <xdr:rowOff>123825</xdr:rowOff>
    </xdr:to>
    <xdr:pic>
      <xdr:nvPicPr>
        <xdr:cNvPr id="46880" name="Picture 16" descr="logoMTL">
          <a:extLst>
            <a:ext uri="{FF2B5EF4-FFF2-40B4-BE49-F238E27FC236}">
              <a16:creationId xmlns:a16="http://schemas.microsoft.com/office/drawing/2014/main" id="{00000000-0008-0000-0D00-000020B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72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47889" name="Picture 1" descr="C:\WINDOWS\TEMP\Symbol.gif">
          <a:extLst>
            <a:ext uri="{FF2B5EF4-FFF2-40B4-BE49-F238E27FC236}">
              <a16:creationId xmlns:a16="http://schemas.microsoft.com/office/drawing/2014/main" id="{00000000-0008-0000-0E00-000011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47890" name="Picture 2" descr="C:\WINDOWS\TEMP\Symbol.gif">
          <a:extLst>
            <a:ext uri="{FF2B5EF4-FFF2-40B4-BE49-F238E27FC236}">
              <a16:creationId xmlns:a16="http://schemas.microsoft.com/office/drawing/2014/main" id="{00000000-0008-0000-0E00-000012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47891" name="Picture 3" descr="C:\WINDOWS\TEMP\Symbol.gif">
          <a:extLst>
            <a:ext uri="{FF2B5EF4-FFF2-40B4-BE49-F238E27FC236}">
              <a16:creationId xmlns:a16="http://schemas.microsoft.com/office/drawing/2014/main" id="{00000000-0008-0000-0E00-000013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47892" name="Picture 4" descr="C:\WINDOWS\TEMP\Symbol.gif">
          <a:extLst>
            <a:ext uri="{FF2B5EF4-FFF2-40B4-BE49-F238E27FC236}">
              <a16:creationId xmlns:a16="http://schemas.microsoft.com/office/drawing/2014/main" id="{00000000-0008-0000-0E00-000014B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88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275</xdr:row>
      <xdr:rowOff>123825</xdr:rowOff>
    </xdr:from>
    <xdr:to>
      <xdr:col>20</xdr:col>
      <xdr:colOff>1895475</xdr:colOff>
      <xdr:row>276</xdr:row>
      <xdr:rowOff>152400</xdr:rowOff>
    </xdr:to>
    <xdr:pic>
      <xdr:nvPicPr>
        <xdr:cNvPr id="47893" name="Picture 5" descr="C:\WINDOWS\TEMP\~0003946.gif">
          <a:extLst>
            <a:ext uri="{FF2B5EF4-FFF2-40B4-BE49-F238E27FC236}">
              <a16:creationId xmlns:a16="http://schemas.microsoft.com/office/drawing/2014/main" id="{00000000-0008-0000-0E00-000015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84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47894" name="Picture 6" descr="C:\WINDOWS\TEMP\~0003946.gif">
          <a:extLst>
            <a:ext uri="{FF2B5EF4-FFF2-40B4-BE49-F238E27FC236}">
              <a16:creationId xmlns:a16="http://schemas.microsoft.com/office/drawing/2014/main" id="{00000000-0008-0000-0E00-000016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47895" name="Picture 7" descr="C:\WINDOWS\TEMP\~0003946.gif">
          <a:extLst>
            <a:ext uri="{FF2B5EF4-FFF2-40B4-BE49-F238E27FC236}">
              <a16:creationId xmlns:a16="http://schemas.microsoft.com/office/drawing/2014/main" id="{00000000-0008-0000-0E00-000017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47896" name="Picture 8" descr="C:\WINDOWS\TEMP\~0003946.gif">
          <a:extLst>
            <a:ext uri="{FF2B5EF4-FFF2-40B4-BE49-F238E27FC236}">
              <a16:creationId xmlns:a16="http://schemas.microsoft.com/office/drawing/2014/main" id="{00000000-0008-0000-0E00-000018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47897" name="Picture 9" descr="C:\WINDOWS\TEMP\~0003946.gif">
          <a:extLst>
            <a:ext uri="{FF2B5EF4-FFF2-40B4-BE49-F238E27FC236}">
              <a16:creationId xmlns:a16="http://schemas.microsoft.com/office/drawing/2014/main" id="{00000000-0008-0000-0E00-000019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47898" name="Picture 10" descr="C:\WINDOWS\TEMP\~0003946.gif">
          <a:extLst>
            <a:ext uri="{FF2B5EF4-FFF2-40B4-BE49-F238E27FC236}">
              <a16:creationId xmlns:a16="http://schemas.microsoft.com/office/drawing/2014/main" id="{00000000-0008-0000-0E00-00001A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47899" name="Picture 11" descr="C:\WINDOWS\TEMP\~0003946.gif">
          <a:extLst>
            <a:ext uri="{FF2B5EF4-FFF2-40B4-BE49-F238E27FC236}">
              <a16:creationId xmlns:a16="http://schemas.microsoft.com/office/drawing/2014/main" id="{00000000-0008-0000-0E00-00001B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275</xdr:row>
      <xdr:rowOff>104775</xdr:rowOff>
    </xdr:from>
    <xdr:to>
      <xdr:col>20</xdr:col>
      <xdr:colOff>895350</xdr:colOff>
      <xdr:row>276</xdr:row>
      <xdr:rowOff>133350</xdr:rowOff>
    </xdr:to>
    <xdr:pic>
      <xdr:nvPicPr>
        <xdr:cNvPr id="47900" name="Picture 12" descr="C:\WINDOWS\TEMP\~0003946.gif">
          <a:extLst>
            <a:ext uri="{FF2B5EF4-FFF2-40B4-BE49-F238E27FC236}">
              <a16:creationId xmlns:a16="http://schemas.microsoft.com/office/drawing/2014/main" id="{00000000-0008-0000-0E00-00001CB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82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47901" name="Picture 13" descr="logoMTL">
          <a:extLst>
            <a:ext uri="{FF2B5EF4-FFF2-40B4-BE49-F238E27FC236}">
              <a16:creationId xmlns:a16="http://schemas.microsoft.com/office/drawing/2014/main" id="{00000000-0008-0000-0E00-00001DB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47902" name="Picture 14" descr="logoMTL">
          <a:extLst>
            <a:ext uri="{FF2B5EF4-FFF2-40B4-BE49-F238E27FC236}">
              <a16:creationId xmlns:a16="http://schemas.microsoft.com/office/drawing/2014/main" id="{00000000-0008-0000-0E00-00001EB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47903" name="Picture 15" descr="logoMTL">
          <a:extLst>
            <a:ext uri="{FF2B5EF4-FFF2-40B4-BE49-F238E27FC236}">
              <a16:creationId xmlns:a16="http://schemas.microsoft.com/office/drawing/2014/main" id="{00000000-0008-0000-0E00-00001FB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275</xdr:row>
      <xdr:rowOff>0</xdr:rowOff>
    </xdr:from>
    <xdr:to>
      <xdr:col>19</xdr:col>
      <xdr:colOff>1228725</xdr:colOff>
      <xdr:row>276</xdr:row>
      <xdr:rowOff>123825</xdr:rowOff>
    </xdr:to>
    <xdr:pic>
      <xdr:nvPicPr>
        <xdr:cNvPr id="47904" name="Picture 16" descr="logoMTL">
          <a:extLst>
            <a:ext uri="{FF2B5EF4-FFF2-40B4-BE49-F238E27FC236}">
              <a16:creationId xmlns:a16="http://schemas.microsoft.com/office/drawing/2014/main" id="{00000000-0008-0000-0E00-000020B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72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48913" name="Picture 1" descr="C:\WINDOWS\TEMP\Symbol.gif">
          <a:extLst>
            <a:ext uri="{FF2B5EF4-FFF2-40B4-BE49-F238E27FC236}">
              <a16:creationId xmlns:a16="http://schemas.microsoft.com/office/drawing/2014/main" id="{00000000-0008-0000-0F00-000011B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48914" name="Picture 2" descr="C:\WINDOWS\TEMP\Symbol.gif">
          <a:extLst>
            <a:ext uri="{FF2B5EF4-FFF2-40B4-BE49-F238E27FC236}">
              <a16:creationId xmlns:a16="http://schemas.microsoft.com/office/drawing/2014/main" id="{00000000-0008-0000-0F00-000012B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48915" name="Picture 3" descr="C:\WINDOWS\TEMP\Symbol.gif">
          <a:extLst>
            <a:ext uri="{FF2B5EF4-FFF2-40B4-BE49-F238E27FC236}">
              <a16:creationId xmlns:a16="http://schemas.microsoft.com/office/drawing/2014/main" id="{00000000-0008-0000-0F00-000013B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275</xdr:row>
      <xdr:rowOff>161925</xdr:rowOff>
    </xdr:from>
    <xdr:to>
      <xdr:col>1</xdr:col>
      <xdr:colOff>19050</xdr:colOff>
      <xdr:row>276</xdr:row>
      <xdr:rowOff>200025</xdr:rowOff>
    </xdr:to>
    <xdr:pic>
      <xdr:nvPicPr>
        <xdr:cNvPr id="48916" name="Picture 4" descr="C:\WINDOWS\TEMP\Symbol.gif">
          <a:extLst>
            <a:ext uri="{FF2B5EF4-FFF2-40B4-BE49-F238E27FC236}">
              <a16:creationId xmlns:a16="http://schemas.microsoft.com/office/drawing/2014/main" id="{00000000-0008-0000-0F00-000014B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58831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275</xdr:row>
      <xdr:rowOff>123825</xdr:rowOff>
    </xdr:from>
    <xdr:to>
      <xdr:col>20</xdr:col>
      <xdr:colOff>1895475</xdr:colOff>
      <xdr:row>276</xdr:row>
      <xdr:rowOff>152400</xdr:rowOff>
    </xdr:to>
    <xdr:pic>
      <xdr:nvPicPr>
        <xdr:cNvPr id="48917" name="Picture 5" descr="C:\WINDOWS\TEMP\~0003946.gif">
          <a:extLst>
            <a:ext uri="{FF2B5EF4-FFF2-40B4-BE49-F238E27FC236}">
              <a16:creationId xmlns:a16="http://schemas.microsoft.com/office/drawing/2014/main" id="{00000000-0008-0000-0F00-000015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58450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48918" name="Picture 6" descr="C:\WINDOWS\TEMP\~0003946.gif">
          <a:extLst>
            <a:ext uri="{FF2B5EF4-FFF2-40B4-BE49-F238E27FC236}">
              <a16:creationId xmlns:a16="http://schemas.microsoft.com/office/drawing/2014/main" id="{00000000-0008-0000-0F00-000016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48919" name="Picture 7" descr="C:\WINDOWS\TEMP\~0003946.gif">
          <a:extLst>
            <a:ext uri="{FF2B5EF4-FFF2-40B4-BE49-F238E27FC236}">
              <a16:creationId xmlns:a16="http://schemas.microsoft.com/office/drawing/2014/main" id="{00000000-0008-0000-0F00-000017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48920" name="Picture 8" descr="C:\WINDOWS\TEMP\~0003946.gif">
          <a:extLst>
            <a:ext uri="{FF2B5EF4-FFF2-40B4-BE49-F238E27FC236}">
              <a16:creationId xmlns:a16="http://schemas.microsoft.com/office/drawing/2014/main" id="{00000000-0008-0000-0F00-000018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48921" name="Picture 9" descr="C:\WINDOWS\TEMP\~0003946.gif">
          <a:extLst>
            <a:ext uri="{FF2B5EF4-FFF2-40B4-BE49-F238E27FC236}">
              <a16:creationId xmlns:a16="http://schemas.microsoft.com/office/drawing/2014/main" id="{00000000-0008-0000-0F00-000019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48922" name="Picture 10" descr="C:\WINDOWS\TEMP\~0003946.gif">
          <a:extLst>
            <a:ext uri="{FF2B5EF4-FFF2-40B4-BE49-F238E27FC236}">
              <a16:creationId xmlns:a16="http://schemas.microsoft.com/office/drawing/2014/main" id="{00000000-0008-0000-0F00-00001A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48923" name="Picture 11" descr="C:\WINDOWS\TEMP\~0003946.gif">
          <a:extLst>
            <a:ext uri="{FF2B5EF4-FFF2-40B4-BE49-F238E27FC236}">
              <a16:creationId xmlns:a16="http://schemas.microsoft.com/office/drawing/2014/main" id="{00000000-0008-0000-0F00-00001B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275</xdr:row>
      <xdr:rowOff>104775</xdr:rowOff>
    </xdr:from>
    <xdr:to>
      <xdr:col>20</xdr:col>
      <xdr:colOff>895350</xdr:colOff>
      <xdr:row>276</xdr:row>
      <xdr:rowOff>133350</xdr:rowOff>
    </xdr:to>
    <xdr:pic>
      <xdr:nvPicPr>
        <xdr:cNvPr id="48924" name="Picture 12" descr="C:\WINDOWS\TEMP\~0003946.gif">
          <a:extLst>
            <a:ext uri="{FF2B5EF4-FFF2-40B4-BE49-F238E27FC236}">
              <a16:creationId xmlns:a16="http://schemas.microsoft.com/office/drawing/2014/main" id="{00000000-0008-0000-0F00-00001CB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58260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48925" name="Picture 13" descr="logoMTL">
          <a:extLst>
            <a:ext uri="{FF2B5EF4-FFF2-40B4-BE49-F238E27FC236}">
              <a16:creationId xmlns:a16="http://schemas.microsoft.com/office/drawing/2014/main" id="{00000000-0008-0000-0F00-00001DB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48926" name="Picture 14" descr="logoMTL">
          <a:extLst>
            <a:ext uri="{FF2B5EF4-FFF2-40B4-BE49-F238E27FC236}">
              <a16:creationId xmlns:a16="http://schemas.microsoft.com/office/drawing/2014/main" id="{00000000-0008-0000-0F00-00001EB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48927" name="Picture 15" descr="logoMTL">
          <a:extLst>
            <a:ext uri="{FF2B5EF4-FFF2-40B4-BE49-F238E27FC236}">
              <a16:creationId xmlns:a16="http://schemas.microsoft.com/office/drawing/2014/main" id="{00000000-0008-0000-0F00-00001FB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275</xdr:row>
      <xdr:rowOff>0</xdr:rowOff>
    </xdr:from>
    <xdr:to>
      <xdr:col>19</xdr:col>
      <xdr:colOff>1228725</xdr:colOff>
      <xdr:row>276</xdr:row>
      <xdr:rowOff>123825</xdr:rowOff>
    </xdr:to>
    <xdr:pic>
      <xdr:nvPicPr>
        <xdr:cNvPr id="48928" name="Picture 16" descr="logoMTL">
          <a:extLst>
            <a:ext uri="{FF2B5EF4-FFF2-40B4-BE49-F238E27FC236}">
              <a16:creationId xmlns:a16="http://schemas.microsoft.com/office/drawing/2014/main" id="{00000000-0008-0000-0F00-000020B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7212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49937" name="Picture 1" descr="C:\WINDOWS\TEMP\Symbol.gif">
          <a:extLst>
            <a:ext uri="{FF2B5EF4-FFF2-40B4-BE49-F238E27FC236}">
              <a16:creationId xmlns:a16="http://schemas.microsoft.com/office/drawing/2014/main" id="{00000000-0008-0000-1000-000011C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49938" name="Picture 2" descr="C:\WINDOWS\TEMP\Symbol.gif">
          <a:extLst>
            <a:ext uri="{FF2B5EF4-FFF2-40B4-BE49-F238E27FC236}">
              <a16:creationId xmlns:a16="http://schemas.microsoft.com/office/drawing/2014/main" id="{00000000-0008-0000-1000-000012C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9939" name="Picture 3" descr="C:\WINDOWS\TEMP\Symbol.gif">
          <a:extLst>
            <a:ext uri="{FF2B5EF4-FFF2-40B4-BE49-F238E27FC236}">
              <a16:creationId xmlns:a16="http://schemas.microsoft.com/office/drawing/2014/main" id="{00000000-0008-0000-1000-000013C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49940" name="Picture 4" descr="C:\WINDOWS\TEMP\Symbol.gif">
          <a:extLst>
            <a:ext uri="{FF2B5EF4-FFF2-40B4-BE49-F238E27FC236}">
              <a16:creationId xmlns:a16="http://schemas.microsoft.com/office/drawing/2014/main" id="{00000000-0008-0000-1000-000014C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276</xdr:row>
      <xdr:rowOff>123825</xdr:rowOff>
    </xdr:from>
    <xdr:to>
      <xdr:col>20</xdr:col>
      <xdr:colOff>1895475</xdr:colOff>
      <xdr:row>277</xdr:row>
      <xdr:rowOff>152400</xdr:rowOff>
    </xdr:to>
    <xdr:pic>
      <xdr:nvPicPr>
        <xdr:cNvPr id="49941" name="Picture 5" descr="C:\WINDOWS\TEMP\~0003946.gif">
          <a:extLst>
            <a:ext uri="{FF2B5EF4-FFF2-40B4-BE49-F238E27FC236}">
              <a16:creationId xmlns:a16="http://schemas.microsoft.com/office/drawing/2014/main" id="{00000000-0008-0000-1000-000015C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49942" name="Picture 6" descr="C:\WINDOWS\TEMP\~0003946.gif">
          <a:extLst>
            <a:ext uri="{FF2B5EF4-FFF2-40B4-BE49-F238E27FC236}">
              <a16:creationId xmlns:a16="http://schemas.microsoft.com/office/drawing/2014/main" id="{00000000-0008-0000-1000-000016C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49943" name="Picture 7" descr="C:\WINDOWS\TEMP\~0003946.gif">
          <a:extLst>
            <a:ext uri="{FF2B5EF4-FFF2-40B4-BE49-F238E27FC236}">
              <a16:creationId xmlns:a16="http://schemas.microsoft.com/office/drawing/2014/main" id="{00000000-0008-0000-1000-000017C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49944" name="Picture 8" descr="C:\WINDOWS\TEMP\~0003946.gif">
          <a:extLst>
            <a:ext uri="{FF2B5EF4-FFF2-40B4-BE49-F238E27FC236}">
              <a16:creationId xmlns:a16="http://schemas.microsoft.com/office/drawing/2014/main" id="{00000000-0008-0000-1000-000018C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49945" name="Picture 9" descr="C:\WINDOWS\TEMP\~0003946.gif">
          <a:extLst>
            <a:ext uri="{FF2B5EF4-FFF2-40B4-BE49-F238E27FC236}">
              <a16:creationId xmlns:a16="http://schemas.microsoft.com/office/drawing/2014/main" id="{00000000-0008-0000-1000-000019C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49946" name="Picture 10" descr="C:\WINDOWS\TEMP\~0003946.gif">
          <a:extLst>
            <a:ext uri="{FF2B5EF4-FFF2-40B4-BE49-F238E27FC236}">
              <a16:creationId xmlns:a16="http://schemas.microsoft.com/office/drawing/2014/main" id="{00000000-0008-0000-1000-00001AC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49947" name="Picture 11" descr="C:\WINDOWS\TEMP\~0003946.gif">
          <a:extLst>
            <a:ext uri="{FF2B5EF4-FFF2-40B4-BE49-F238E27FC236}">
              <a16:creationId xmlns:a16="http://schemas.microsoft.com/office/drawing/2014/main" id="{00000000-0008-0000-1000-00001BC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276</xdr:row>
      <xdr:rowOff>104775</xdr:rowOff>
    </xdr:from>
    <xdr:to>
      <xdr:col>20</xdr:col>
      <xdr:colOff>895350</xdr:colOff>
      <xdr:row>277</xdr:row>
      <xdr:rowOff>133350</xdr:rowOff>
    </xdr:to>
    <xdr:pic>
      <xdr:nvPicPr>
        <xdr:cNvPr id="49948" name="Picture 12" descr="C:\WINDOWS\TEMP\~0003946.gif">
          <a:extLst>
            <a:ext uri="{FF2B5EF4-FFF2-40B4-BE49-F238E27FC236}">
              <a16:creationId xmlns:a16="http://schemas.microsoft.com/office/drawing/2014/main" id="{00000000-0008-0000-1000-00001CC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49949" name="Picture 13" descr="logoMTL">
          <a:extLst>
            <a:ext uri="{FF2B5EF4-FFF2-40B4-BE49-F238E27FC236}">
              <a16:creationId xmlns:a16="http://schemas.microsoft.com/office/drawing/2014/main" id="{00000000-0008-0000-1000-00001DC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49950" name="Picture 14" descr="logoMTL">
          <a:extLst>
            <a:ext uri="{FF2B5EF4-FFF2-40B4-BE49-F238E27FC236}">
              <a16:creationId xmlns:a16="http://schemas.microsoft.com/office/drawing/2014/main" id="{00000000-0008-0000-1000-00001EC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49951" name="Picture 15" descr="logoMTL">
          <a:extLst>
            <a:ext uri="{FF2B5EF4-FFF2-40B4-BE49-F238E27FC236}">
              <a16:creationId xmlns:a16="http://schemas.microsoft.com/office/drawing/2014/main" id="{00000000-0008-0000-1000-00001FC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276</xdr:row>
      <xdr:rowOff>0</xdr:rowOff>
    </xdr:from>
    <xdr:to>
      <xdr:col>19</xdr:col>
      <xdr:colOff>1228725</xdr:colOff>
      <xdr:row>277</xdr:row>
      <xdr:rowOff>123825</xdr:rowOff>
    </xdr:to>
    <xdr:pic>
      <xdr:nvPicPr>
        <xdr:cNvPr id="49952" name="Picture 16" descr="logoMTL">
          <a:extLst>
            <a:ext uri="{FF2B5EF4-FFF2-40B4-BE49-F238E27FC236}">
              <a16:creationId xmlns:a16="http://schemas.microsoft.com/office/drawing/2014/main" id="{00000000-0008-0000-1000-000020C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50961" name="Picture 1" descr="C:\WINDOWS\TEMP\Symbol.gif">
          <a:extLst>
            <a:ext uri="{FF2B5EF4-FFF2-40B4-BE49-F238E27FC236}">
              <a16:creationId xmlns:a16="http://schemas.microsoft.com/office/drawing/2014/main" id="{00000000-0008-0000-1100-000011C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50962" name="Picture 2" descr="C:\WINDOWS\TEMP\Symbol.gif">
          <a:extLst>
            <a:ext uri="{FF2B5EF4-FFF2-40B4-BE49-F238E27FC236}">
              <a16:creationId xmlns:a16="http://schemas.microsoft.com/office/drawing/2014/main" id="{00000000-0008-0000-1100-000012C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50963" name="Picture 3" descr="C:\WINDOWS\TEMP\Symbol.gif">
          <a:extLst>
            <a:ext uri="{FF2B5EF4-FFF2-40B4-BE49-F238E27FC236}">
              <a16:creationId xmlns:a16="http://schemas.microsoft.com/office/drawing/2014/main" id="{00000000-0008-0000-1100-000013C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50964" name="Picture 4" descr="C:\WINDOWS\TEMP\Symbol.gif">
          <a:extLst>
            <a:ext uri="{FF2B5EF4-FFF2-40B4-BE49-F238E27FC236}">
              <a16:creationId xmlns:a16="http://schemas.microsoft.com/office/drawing/2014/main" id="{00000000-0008-0000-1100-000014C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276</xdr:row>
      <xdr:rowOff>123825</xdr:rowOff>
    </xdr:from>
    <xdr:to>
      <xdr:col>20</xdr:col>
      <xdr:colOff>1895475</xdr:colOff>
      <xdr:row>277</xdr:row>
      <xdr:rowOff>152400</xdr:rowOff>
    </xdr:to>
    <xdr:pic>
      <xdr:nvPicPr>
        <xdr:cNvPr id="50965" name="Picture 5" descr="C:\WINDOWS\TEMP\~0003946.gif">
          <a:extLst>
            <a:ext uri="{FF2B5EF4-FFF2-40B4-BE49-F238E27FC236}">
              <a16:creationId xmlns:a16="http://schemas.microsoft.com/office/drawing/2014/main" id="{00000000-0008-0000-1100-000015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50966" name="Picture 6" descr="C:\WINDOWS\TEMP\~0003946.gif">
          <a:extLst>
            <a:ext uri="{FF2B5EF4-FFF2-40B4-BE49-F238E27FC236}">
              <a16:creationId xmlns:a16="http://schemas.microsoft.com/office/drawing/2014/main" id="{00000000-0008-0000-1100-000016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50967" name="Picture 7" descr="C:\WINDOWS\TEMP\~0003946.gif">
          <a:extLst>
            <a:ext uri="{FF2B5EF4-FFF2-40B4-BE49-F238E27FC236}">
              <a16:creationId xmlns:a16="http://schemas.microsoft.com/office/drawing/2014/main" id="{00000000-0008-0000-1100-000017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0968" name="Picture 8" descr="C:\WINDOWS\TEMP\~0003946.gif">
          <a:extLst>
            <a:ext uri="{FF2B5EF4-FFF2-40B4-BE49-F238E27FC236}">
              <a16:creationId xmlns:a16="http://schemas.microsoft.com/office/drawing/2014/main" id="{00000000-0008-0000-1100-000018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50969" name="Picture 9" descr="C:\WINDOWS\TEMP\~0003946.gif">
          <a:extLst>
            <a:ext uri="{FF2B5EF4-FFF2-40B4-BE49-F238E27FC236}">
              <a16:creationId xmlns:a16="http://schemas.microsoft.com/office/drawing/2014/main" id="{00000000-0008-0000-1100-000019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50970" name="Picture 10" descr="C:\WINDOWS\TEMP\~0003946.gif">
          <a:extLst>
            <a:ext uri="{FF2B5EF4-FFF2-40B4-BE49-F238E27FC236}">
              <a16:creationId xmlns:a16="http://schemas.microsoft.com/office/drawing/2014/main" id="{00000000-0008-0000-1100-00001A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50971" name="Picture 11" descr="C:\WINDOWS\TEMP\~0003946.gif">
          <a:extLst>
            <a:ext uri="{FF2B5EF4-FFF2-40B4-BE49-F238E27FC236}">
              <a16:creationId xmlns:a16="http://schemas.microsoft.com/office/drawing/2014/main" id="{00000000-0008-0000-1100-00001B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276</xdr:row>
      <xdr:rowOff>104775</xdr:rowOff>
    </xdr:from>
    <xdr:to>
      <xdr:col>20</xdr:col>
      <xdr:colOff>895350</xdr:colOff>
      <xdr:row>277</xdr:row>
      <xdr:rowOff>133350</xdr:rowOff>
    </xdr:to>
    <xdr:pic>
      <xdr:nvPicPr>
        <xdr:cNvPr id="50972" name="Picture 12" descr="C:\WINDOWS\TEMP\~0003946.gif">
          <a:extLst>
            <a:ext uri="{FF2B5EF4-FFF2-40B4-BE49-F238E27FC236}">
              <a16:creationId xmlns:a16="http://schemas.microsoft.com/office/drawing/2014/main" id="{00000000-0008-0000-1100-00001CC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50973" name="Picture 13" descr="logoMTL">
          <a:extLst>
            <a:ext uri="{FF2B5EF4-FFF2-40B4-BE49-F238E27FC236}">
              <a16:creationId xmlns:a16="http://schemas.microsoft.com/office/drawing/2014/main" id="{00000000-0008-0000-1100-00001DC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50974" name="Picture 14" descr="logoMTL">
          <a:extLst>
            <a:ext uri="{FF2B5EF4-FFF2-40B4-BE49-F238E27FC236}">
              <a16:creationId xmlns:a16="http://schemas.microsoft.com/office/drawing/2014/main" id="{00000000-0008-0000-1100-00001EC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50975" name="Picture 15" descr="logoMTL">
          <a:extLst>
            <a:ext uri="{FF2B5EF4-FFF2-40B4-BE49-F238E27FC236}">
              <a16:creationId xmlns:a16="http://schemas.microsoft.com/office/drawing/2014/main" id="{00000000-0008-0000-1100-00001FC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276</xdr:row>
      <xdr:rowOff>0</xdr:rowOff>
    </xdr:from>
    <xdr:to>
      <xdr:col>19</xdr:col>
      <xdr:colOff>1228725</xdr:colOff>
      <xdr:row>277</xdr:row>
      <xdr:rowOff>123825</xdr:rowOff>
    </xdr:to>
    <xdr:pic>
      <xdr:nvPicPr>
        <xdr:cNvPr id="50976" name="Picture 16" descr="logoMTL">
          <a:extLst>
            <a:ext uri="{FF2B5EF4-FFF2-40B4-BE49-F238E27FC236}">
              <a16:creationId xmlns:a16="http://schemas.microsoft.com/office/drawing/2014/main" id="{00000000-0008-0000-1100-000020C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51985" name="Picture 1" descr="C:\WINDOWS\TEMP\Symbol.gif">
          <a:extLst>
            <a:ext uri="{FF2B5EF4-FFF2-40B4-BE49-F238E27FC236}">
              <a16:creationId xmlns:a16="http://schemas.microsoft.com/office/drawing/2014/main" id="{00000000-0008-0000-1200-000011C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51986" name="Picture 2" descr="C:\WINDOWS\TEMP\Symbol.gif">
          <a:extLst>
            <a:ext uri="{FF2B5EF4-FFF2-40B4-BE49-F238E27FC236}">
              <a16:creationId xmlns:a16="http://schemas.microsoft.com/office/drawing/2014/main" id="{00000000-0008-0000-1200-000012C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51987" name="Picture 3" descr="C:\WINDOWS\TEMP\Symbol.gif">
          <a:extLst>
            <a:ext uri="{FF2B5EF4-FFF2-40B4-BE49-F238E27FC236}">
              <a16:creationId xmlns:a16="http://schemas.microsoft.com/office/drawing/2014/main" id="{00000000-0008-0000-1200-000013C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276</xdr:row>
      <xdr:rowOff>161925</xdr:rowOff>
    </xdr:from>
    <xdr:to>
      <xdr:col>1</xdr:col>
      <xdr:colOff>19050</xdr:colOff>
      <xdr:row>277</xdr:row>
      <xdr:rowOff>200025</xdr:rowOff>
    </xdr:to>
    <xdr:pic>
      <xdr:nvPicPr>
        <xdr:cNvPr id="51988" name="Picture 4" descr="C:\WINDOWS\TEMP\Symbol.gif">
          <a:extLst>
            <a:ext uri="{FF2B5EF4-FFF2-40B4-BE49-F238E27FC236}">
              <a16:creationId xmlns:a16="http://schemas.microsoft.com/office/drawing/2014/main" id="{00000000-0008-0000-1200-000014C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60832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276</xdr:row>
      <xdr:rowOff>123825</xdr:rowOff>
    </xdr:from>
    <xdr:to>
      <xdr:col>20</xdr:col>
      <xdr:colOff>1895475</xdr:colOff>
      <xdr:row>277</xdr:row>
      <xdr:rowOff>152400</xdr:rowOff>
    </xdr:to>
    <xdr:pic>
      <xdr:nvPicPr>
        <xdr:cNvPr id="51989" name="Picture 5" descr="C:\WINDOWS\TEMP\~0003946.gif">
          <a:extLst>
            <a:ext uri="{FF2B5EF4-FFF2-40B4-BE49-F238E27FC236}">
              <a16:creationId xmlns:a16="http://schemas.microsoft.com/office/drawing/2014/main" id="{00000000-0008-0000-1200-000015C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60451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51990" name="Picture 6" descr="C:\WINDOWS\TEMP\~0003946.gif">
          <a:extLst>
            <a:ext uri="{FF2B5EF4-FFF2-40B4-BE49-F238E27FC236}">
              <a16:creationId xmlns:a16="http://schemas.microsoft.com/office/drawing/2014/main" id="{00000000-0008-0000-1200-000016C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51991" name="Picture 7" descr="C:\WINDOWS\TEMP\~0003946.gif">
          <a:extLst>
            <a:ext uri="{FF2B5EF4-FFF2-40B4-BE49-F238E27FC236}">
              <a16:creationId xmlns:a16="http://schemas.microsoft.com/office/drawing/2014/main" id="{00000000-0008-0000-1200-000017C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1992" name="Picture 8" descr="C:\WINDOWS\TEMP\~0003946.gif">
          <a:extLst>
            <a:ext uri="{FF2B5EF4-FFF2-40B4-BE49-F238E27FC236}">
              <a16:creationId xmlns:a16="http://schemas.microsoft.com/office/drawing/2014/main" id="{00000000-0008-0000-1200-000018C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51993" name="Picture 9" descr="C:\WINDOWS\TEMP\~0003946.gif">
          <a:extLst>
            <a:ext uri="{FF2B5EF4-FFF2-40B4-BE49-F238E27FC236}">
              <a16:creationId xmlns:a16="http://schemas.microsoft.com/office/drawing/2014/main" id="{00000000-0008-0000-1200-000019C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51994" name="Picture 10" descr="C:\WINDOWS\TEMP\~0003946.gif">
          <a:extLst>
            <a:ext uri="{FF2B5EF4-FFF2-40B4-BE49-F238E27FC236}">
              <a16:creationId xmlns:a16="http://schemas.microsoft.com/office/drawing/2014/main" id="{00000000-0008-0000-1200-00001AC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51995" name="Picture 11" descr="C:\WINDOWS\TEMP\~0003946.gif">
          <a:extLst>
            <a:ext uri="{FF2B5EF4-FFF2-40B4-BE49-F238E27FC236}">
              <a16:creationId xmlns:a16="http://schemas.microsoft.com/office/drawing/2014/main" id="{00000000-0008-0000-1200-00001BC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276</xdr:row>
      <xdr:rowOff>104775</xdr:rowOff>
    </xdr:from>
    <xdr:to>
      <xdr:col>20</xdr:col>
      <xdr:colOff>895350</xdr:colOff>
      <xdr:row>277</xdr:row>
      <xdr:rowOff>133350</xdr:rowOff>
    </xdr:to>
    <xdr:pic>
      <xdr:nvPicPr>
        <xdr:cNvPr id="51996" name="Picture 12" descr="C:\WINDOWS\TEMP\~0003946.gif">
          <a:extLst>
            <a:ext uri="{FF2B5EF4-FFF2-40B4-BE49-F238E27FC236}">
              <a16:creationId xmlns:a16="http://schemas.microsoft.com/office/drawing/2014/main" id="{00000000-0008-0000-1200-00001CC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60260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51997" name="Picture 13" descr="logoMTL">
          <a:extLst>
            <a:ext uri="{FF2B5EF4-FFF2-40B4-BE49-F238E27FC236}">
              <a16:creationId xmlns:a16="http://schemas.microsoft.com/office/drawing/2014/main" id="{00000000-0008-0000-1200-00001DC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51998" name="Picture 14" descr="logoMTL">
          <a:extLst>
            <a:ext uri="{FF2B5EF4-FFF2-40B4-BE49-F238E27FC236}">
              <a16:creationId xmlns:a16="http://schemas.microsoft.com/office/drawing/2014/main" id="{00000000-0008-0000-1200-00001EC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51999" name="Picture 15" descr="logoMTL">
          <a:extLst>
            <a:ext uri="{FF2B5EF4-FFF2-40B4-BE49-F238E27FC236}">
              <a16:creationId xmlns:a16="http://schemas.microsoft.com/office/drawing/2014/main" id="{00000000-0008-0000-1200-00001FC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276</xdr:row>
      <xdr:rowOff>0</xdr:rowOff>
    </xdr:from>
    <xdr:to>
      <xdr:col>19</xdr:col>
      <xdr:colOff>1228725</xdr:colOff>
      <xdr:row>277</xdr:row>
      <xdr:rowOff>123825</xdr:rowOff>
    </xdr:to>
    <xdr:pic>
      <xdr:nvPicPr>
        <xdr:cNvPr id="52000" name="Picture 16" descr="logoMTL">
          <a:extLst>
            <a:ext uri="{FF2B5EF4-FFF2-40B4-BE49-F238E27FC236}">
              <a16:creationId xmlns:a16="http://schemas.microsoft.com/office/drawing/2014/main" id="{00000000-0008-0000-1200-000020C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59212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34577" name="Picture 1" descr="C:\WINDOWS\TEMP\Symbol.gif">
          <a:extLst>
            <a:ext uri="{FF2B5EF4-FFF2-40B4-BE49-F238E27FC236}">
              <a16:creationId xmlns:a16="http://schemas.microsoft.com/office/drawing/2014/main" id="{00000000-0008-0000-0100-0000118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4578" name="Picture 2" descr="C:\WINDOWS\TEMP\Symbol.gif">
          <a:extLst>
            <a:ext uri="{FF2B5EF4-FFF2-40B4-BE49-F238E27FC236}">
              <a16:creationId xmlns:a16="http://schemas.microsoft.com/office/drawing/2014/main" id="{00000000-0008-0000-0100-0000128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190</xdr:row>
      <xdr:rowOff>171450</xdr:rowOff>
    </xdr:from>
    <xdr:to>
      <xdr:col>1</xdr:col>
      <xdr:colOff>47625</xdr:colOff>
      <xdr:row>191</xdr:row>
      <xdr:rowOff>209550</xdr:rowOff>
    </xdr:to>
    <xdr:pic>
      <xdr:nvPicPr>
        <xdr:cNvPr id="34579" name="Picture 3" descr="C:\WINDOWS\TEMP\Symbol.gif">
          <a:extLst>
            <a:ext uri="{FF2B5EF4-FFF2-40B4-BE49-F238E27FC236}">
              <a16:creationId xmlns:a16="http://schemas.microsoft.com/office/drawing/2014/main" id="{00000000-0008-0000-0100-0000138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804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272</xdr:row>
      <xdr:rowOff>161925</xdr:rowOff>
    </xdr:from>
    <xdr:to>
      <xdr:col>1</xdr:col>
      <xdr:colOff>19050</xdr:colOff>
      <xdr:row>273</xdr:row>
      <xdr:rowOff>200025</xdr:rowOff>
    </xdr:to>
    <xdr:pic>
      <xdr:nvPicPr>
        <xdr:cNvPr id="34580" name="Picture 4" descr="C:\WINDOWS\TEMP\Symbol.gif">
          <a:extLst>
            <a:ext uri="{FF2B5EF4-FFF2-40B4-BE49-F238E27FC236}">
              <a16:creationId xmlns:a16="http://schemas.microsoft.com/office/drawing/2014/main" id="{00000000-0008-0000-0100-0000148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2831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272</xdr:row>
      <xdr:rowOff>123825</xdr:rowOff>
    </xdr:from>
    <xdr:to>
      <xdr:col>20</xdr:col>
      <xdr:colOff>1895475</xdr:colOff>
      <xdr:row>273</xdr:row>
      <xdr:rowOff>152400</xdr:rowOff>
    </xdr:to>
    <xdr:pic>
      <xdr:nvPicPr>
        <xdr:cNvPr id="34581" name="Picture 5" descr="C:\WINDOWS\TEMP\~0003946.gif">
          <a:extLst>
            <a:ext uri="{FF2B5EF4-FFF2-40B4-BE49-F238E27FC236}">
              <a16:creationId xmlns:a16="http://schemas.microsoft.com/office/drawing/2014/main" id="{00000000-0008-0000-0100-00001587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3583900" y="552450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34582" name="Picture 6" descr="C:\WINDOWS\TEMP\~0003946.gif">
          <a:extLst>
            <a:ext uri="{FF2B5EF4-FFF2-40B4-BE49-F238E27FC236}">
              <a16:creationId xmlns:a16="http://schemas.microsoft.com/office/drawing/2014/main" id="{00000000-0008-0000-0100-00001687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34583" name="Picture 7" descr="C:\WINDOWS\TEMP\~0003946.gif">
          <a:extLst>
            <a:ext uri="{FF2B5EF4-FFF2-40B4-BE49-F238E27FC236}">
              <a16:creationId xmlns:a16="http://schemas.microsoft.com/office/drawing/2014/main" id="{00000000-0008-0000-0100-00001787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34584" name="Picture 8" descr="C:\WINDOWS\TEMP\~0003946.gif">
          <a:extLst>
            <a:ext uri="{FF2B5EF4-FFF2-40B4-BE49-F238E27FC236}">
              <a16:creationId xmlns:a16="http://schemas.microsoft.com/office/drawing/2014/main" id="{00000000-0008-0000-0100-00001887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34585" name="Picture 9" descr="C:\WINDOWS\TEMP\~0003946.gif">
          <a:extLst>
            <a:ext uri="{FF2B5EF4-FFF2-40B4-BE49-F238E27FC236}">
              <a16:creationId xmlns:a16="http://schemas.microsoft.com/office/drawing/2014/main" id="{00000000-0008-0000-0100-00001987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130</xdr:row>
      <xdr:rowOff>123825</xdr:rowOff>
    </xdr:from>
    <xdr:to>
      <xdr:col>20</xdr:col>
      <xdr:colOff>895350</xdr:colOff>
      <xdr:row>131</xdr:row>
      <xdr:rowOff>152400</xdr:rowOff>
    </xdr:to>
    <xdr:pic>
      <xdr:nvPicPr>
        <xdr:cNvPr id="34586" name="Picture 10" descr="C:\WINDOWS\TEMP\~0003946.gif">
          <a:extLst>
            <a:ext uri="{FF2B5EF4-FFF2-40B4-BE49-F238E27FC236}">
              <a16:creationId xmlns:a16="http://schemas.microsoft.com/office/drawing/2014/main" id="{00000000-0008-0000-0100-00001A87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6695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190</xdr:row>
      <xdr:rowOff>104775</xdr:rowOff>
    </xdr:from>
    <xdr:to>
      <xdr:col>20</xdr:col>
      <xdr:colOff>809625</xdr:colOff>
      <xdr:row>191</xdr:row>
      <xdr:rowOff>133350</xdr:rowOff>
    </xdr:to>
    <xdr:pic>
      <xdr:nvPicPr>
        <xdr:cNvPr id="34587" name="Picture 11" descr="C:\WINDOWS\TEMP\~0003946.gif">
          <a:extLst>
            <a:ext uri="{FF2B5EF4-FFF2-40B4-BE49-F238E27FC236}">
              <a16:creationId xmlns:a16="http://schemas.microsoft.com/office/drawing/2014/main" id="{00000000-0008-0000-0100-00001B87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583775" y="38738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272</xdr:row>
      <xdr:rowOff>104775</xdr:rowOff>
    </xdr:from>
    <xdr:to>
      <xdr:col>20</xdr:col>
      <xdr:colOff>895350</xdr:colOff>
      <xdr:row>273</xdr:row>
      <xdr:rowOff>133350</xdr:rowOff>
    </xdr:to>
    <xdr:pic>
      <xdr:nvPicPr>
        <xdr:cNvPr id="34588" name="Picture 12" descr="C:\WINDOWS\TEMP\~0003946.gif">
          <a:extLst>
            <a:ext uri="{FF2B5EF4-FFF2-40B4-BE49-F238E27FC236}">
              <a16:creationId xmlns:a16="http://schemas.microsoft.com/office/drawing/2014/main" id="{00000000-0008-0000-0100-00001C87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669500" y="552259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34589" name="Picture 13" descr="logoMTL">
          <a:extLst>
            <a:ext uri="{FF2B5EF4-FFF2-40B4-BE49-F238E27FC236}">
              <a16:creationId xmlns:a16="http://schemas.microsoft.com/office/drawing/2014/main" id="{00000000-0008-0000-0100-00001D87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34590" name="Picture 14" descr="logoMTL">
          <a:extLst>
            <a:ext uri="{FF2B5EF4-FFF2-40B4-BE49-F238E27FC236}">
              <a16:creationId xmlns:a16="http://schemas.microsoft.com/office/drawing/2014/main" id="{00000000-0008-0000-0100-00001E8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34591" name="Picture 15" descr="logoMTL">
          <a:extLst>
            <a:ext uri="{FF2B5EF4-FFF2-40B4-BE49-F238E27FC236}">
              <a16:creationId xmlns:a16="http://schemas.microsoft.com/office/drawing/2014/main" id="{00000000-0008-0000-0100-00001F8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272</xdr:row>
      <xdr:rowOff>0</xdr:rowOff>
    </xdr:from>
    <xdr:to>
      <xdr:col>19</xdr:col>
      <xdr:colOff>1228725</xdr:colOff>
      <xdr:row>273</xdr:row>
      <xdr:rowOff>123825</xdr:rowOff>
    </xdr:to>
    <xdr:pic>
      <xdr:nvPicPr>
        <xdr:cNvPr id="34592" name="Picture 16" descr="logoMTL">
          <a:extLst>
            <a:ext uri="{FF2B5EF4-FFF2-40B4-BE49-F238E27FC236}">
              <a16:creationId xmlns:a16="http://schemas.microsoft.com/office/drawing/2014/main" id="{00000000-0008-0000-0100-0000208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51211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53009" name="Picture 1" descr="C:\WINDOWS\TEMP\Symbol.gif">
          <a:extLst>
            <a:ext uri="{FF2B5EF4-FFF2-40B4-BE49-F238E27FC236}">
              <a16:creationId xmlns:a16="http://schemas.microsoft.com/office/drawing/2014/main" id="{00000000-0008-0000-1300-000011C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53010" name="Picture 2" descr="C:\WINDOWS\TEMP\Symbol.gif">
          <a:extLst>
            <a:ext uri="{FF2B5EF4-FFF2-40B4-BE49-F238E27FC236}">
              <a16:creationId xmlns:a16="http://schemas.microsoft.com/office/drawing/2014/main" id="{00000000-0008-0000-1300-000012C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53011" name="Picture 3" descr="C:\WINDOWS\TEMP\Symbol.gif">
          <a:extLst>
            <a:ext uri="{FF2B5EF4-FFF2-40B4-BE49-F238E27FC236}">
              <a16:creationId xmlns:a16="http://schemas.microsoft.com/office/drawing/2014/main" id="{00000000-0008-0000-1300-000013C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287</xdr:row>
      <xdr:rowOff>161925</xdr:rowOff>
    </xdr:from>
    <xdr:to>
      <xdr:col>1</xdr:col>
      <xdr:colOff>19050</xdr:colOff>
      <xdr:row>288</xdr:row>
      <xdr:rowOff>200025</xdr:rowOff>
    </xdr:to>
    <xdr:pic>
      <xdr:nvPicPr>
        <xdr:cNvPr id="53012" name="Picture 4" descr="C:\WINDOWS\TEMP\Symbol.gif">
          <a:extLst>
            <a:ext uri="{FF2B5EF4-FFF2-40B4-BE49-F238E27FC236}">
              <a16:creationId xmlns:a16="http://schemas.microsoft.com/office/drawing/2014/main" id="{00000000-0008-0000-1300-000014CF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2834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287</xdr:row>
      <xdr:rowOff>123825</xdr:rowOff>
    </xdr:from>
    <xdr:to>
      <xdr:col>20</xdr:col>
      <xdr:colOff>1895475</xdr:colOff>
      <xdr:row>288</xdr:row>
      <xdr:rowOff>152400</xdr:rowOff>
    </xdr:to>
    <xdr:pic>
      <xdr:nvPicPr>
        <xdr:cNvPr id="53013" name="Picture 5" descr="C:\WINDOWS\TEMP\~0003946.gif">
          <a:extLst>
            <a:ext uri="{FF2B5EF4-FFF2-40B4-BE49-F238E27FC236}">
              <a16:creationId xmlns:a16="http://schemas.microsoft.com/office/drawing/2014/main" id="{00000000-0008-0000-1300-000015C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245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53014" name="Picture 6" descr="C:\WINDOWS\TEMP\~0003946.gif">
          <a:extLst>
            <a:ext uri="{FF2B5EF4-FFF2-40B4-BE49-F238E27FC236}">
              <a16:creationId xmlns:a16="http://schemas.microsoft.com/office/drawing/2014/main" id="{00000000-0008-0000-1300-000016C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53015" name="Picture 7" descr="C:\WINDOWS\TEMP\~0003946.gif">
          <a:extLst>
            <a:ext uri="{FF2B5EF4-FFF2-40B4-BE49-F238E27FC236}">
              <a16:creationId xmlns:a16="http://schemas.microsoft.com/office/drawing/2014/main" id="{00000000-0008-0000-1300-000017C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3016" name="Picture 8" descr="C:\WINDOWS\TEMP\~0003946.gif">
          <a:extLst>
            <a:ext uri="{FF2B5EF4-FFF2-40B4-BE49-F238E27FC236}">
              <a16:creationId xmlns:a16="http://schemas.microsoft.com/office/drawing/2014/main" id="{00000000-0008-0000-1300-000018C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53017" name="Picture 9" descr="C:\WINDOWS\TEMP\~0003946.gif">
          <a:extLst>
            <a:ext uri="{FF2B5EF4-FFF2-40B4-BE49-F238E27FC236}">
              <a16:creationId xmlns:a16="http://schemas.microsoft.com/office/drawing/2014/main" id="{00000000-0008-0000-1300-000019C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53018" name="Picture 10" descr="C:\WINDOWS\TEMP\~0003946.gif">
          <a:extLst>
            <a:ext uri="{FF2B5EF4-FFF2-40B4-BE49-F238E27FC236}">
              <a16:creationId xmlns:a16="http://schemas.microsoft.com/office/drawing/2014/main" id="{00000000-0008-0000-1300-00001AC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53019" name="Picture 11" descr="C:\WINDOWS\TEMP\~0003946.gif">
          <a:extLst>
            <a:ext uri="{FF2B5EF4-FFF2-40B4-BE49-F238E27FC236}">
              <a16:creationId xmlns:a16="http://schemas.microsoft.com/office/drawing/2014/main" id="{00000000-0008-0000-1300-00001BC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287</xdr:row>
      <xdr:rowOff>104775</xdr:rowOff>
    </xdr:from>
    <xdr:to>
      <xdr:col>20</xdr:col>
      <xdr:colOff>895350</xdr:colOff>
      <xdr:row>288</xdr:row>
      <xdr:rowOff>133350</xdr:rowOff>
    </xdr:to>
    <xdr:pic>
      <xdr:nvPicPr>
        <xdr:cNvPr id="53020" name="Picture 12" descr="C:\WINDOWS\TEMP\~0003946.gif">
          <a:extLst>
            <a:ext uri="{FF2B5EF4-FFF2-40B4-BE49-F238E27FC236}">
              <a16:creationId xmlns:a16="http://schemas.microsoft.com/office/drawing/2014/main" id="{00000000-0008-0000-1300-00001CC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822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53021" name="Picture 13" descr="logoMTL">
          <a:extLst>
            <a:ext uri="{FF2B5EF4-FFF2-40B4-BE49-F238E27FC236}">
              <a16:creationId xmlns:a16="http://schemas.microsoft.com/office/drawing/2014/main" id="{00000000-0008-0000-1300-00001DC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53022" name="Picture 14" descr="logoMTL">
          <a:extLst>
            <a:ext uri="{FF2B5EF4-FFF2-40B4-BE49-F238E27FC236}">
              <a16:creationId xmlns:a16="http://schemas.microsoft.com/office/drawing/2014/main" id="{00000000-0008-0000-1300-00001EC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53023" name="Picture 15" descr="logoMTL">
          <a:extLst>
            <a:ext uri="{FF2B5EF4-FFF2-40B4-BE49-F238E27FC236}">
              <a16:creationId xmlns:a16="http://schemas.microsoft.com/office/drawing/2014/main" id="{00000000-0008-0000-1300-00001FC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287</xdr:row>
      <xdr:rowOff>0</xdr:rowOff>
    </xdr:from>
    <xdr:to>
      <xdr:col>19</xdr:col>
      <xdr:colOff>1228725</xdr:colOff>
      <xdr:row>288</xdr:row>
      <xdr:rowOff>123825</xdr:rowOff>
    </xdr:to>
    <xdr:pic>
      <xdr:nvPicPr>
        <xdr:cNvPr id="53024" name="Picture 16" descr="logoMTL">
          <a:extLst>
            <a:ext uri="{FF2B5EF4-FFF2-40B4-BE49-F238E27FC236}">
              <a16:creationId xmlns:a16="http://schemas.microsoft.com/office/drawing/2014/main" id="{00000000-0008-0000-1300-000020C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1215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54033" name="Picture 1" descr="C:\WINDOWS\TEMP\Symbol.gif">
          <a:extLst>
            <a:ext uri="{FF2B5EF4-FFF2-40B4-BE49-F238E27FC236}">
              <a16:creationId xmlns:a16="http://schemas.microsoft.com/office/drawing/2014/main" id="{00000000-0008-0000-1400-000011D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54034" name="Picture 2" descr="C:\WINDOWS\TEMP\Symbol.gif">
          <a:extLst>
            <a:ext uri="{FF2B5EF4-FFF2-40B4-BE49-F238E27FC236}">
              <a16:creationId xmlns:a16="http://schemas.microsoft.com/office/drawing/2014/main" id="{00000000-0008-0000-1400-000012D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54035" name="Picture 3" descr="C:\WINDOWS\TEMP\Symbol.gif">
          <a:extLst>
            <a:ext uri="{FF2B5EF4-FFF2-40B4-BE49-F238E27FC236}">
              <a16:creationId xmlns:a16="http://schemas.microsoft.com/office/drawing/2014/main" id="{00000000-0008-0000-1400-000013D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287</xdr:row>
      <xdr:rowOff>161925</xdr:rowOff>
    </xdr:from>
    <xdr:to>
      <xdr:col>1</xdr:col>
      <xdr:colOff>19050</xdr:colOff>
      <xdr:row>288</xdr:row>
      <xdr:rowOff>200025</xdr:rowOff>
    </xdr:to>
    <xdr:pic>
      <xdr:nvPicPr>
        <xdr:cNvPr id="54036" name="Picture 4" descr="C:\WINDOWS\TEMP\Symbol.gif">
          <a:extLst>
            <a:ext uri="{FF2B5EF4-FFF2-40B4-BE49-F238E27FC236}">
              <a16:creationId xmlns:a16="http://schemas.microsoft.com/office/drawing/2014/main" id="{00000000-0008-0000-1400-000014D3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2834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287</xdr:row>
      <xdr:rowOff>123825</xdr:rowOff>
    </xdr:from>
    <xdr:to>
      <xdr:col>20</xdr:col>
      <xdr:colOff>1895475</xdr:colOff>
      <xdr:row>288</xdr:row>
      <xdr:rowOff>152400</xdr:rowOff>
    </xdr:to>
    <xdr:pic>
      <xdr:nvPicPr>
        <xdr:cNvPr id="54037" name="Picture 5" descr="C:\WINDOWS\TEMP\~0003946.gif">
          <a:extLst>
            <a:ext uri="{FF2B5EF4-FFF2-40B4-BE49-F238E27FC236}">
              <a16:creationId xmlns:a16="http://schemas.microsoft.com/office/drawing/2014/main" id="{00000000-0008-0000-1400-000015D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245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54038" name="Picture 6" descr="C:\WINDOWS\TEMP\~0003946.gif">
          <a:extLst>
            <a:ext uri="{FF2B5EF4-FFF2-40B4-BE49-F238E27FC236}">
              <a16:creationId xmlns:a16="http://schemas.microsoft.com/office/drawing/2014/main" id="{00000000-0008-0000-1400-000016D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54039" name="Picture 7" descr="C:\WINDOWS\TEMP\~0003946.gif">
          <a:extLst>
            <a:ext uri="{FF2B5EF4-FFF2-40B4-BE49-F238E27FC236}">
              <a16:creationId xmlns:a16="http://schemas.microsoft.com/office/drawing/2014/main" id="{00000000-0008-0000-1400-000017D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4040" name="Picture 8" descr="C:\WINDOWS\TEMP\~0003946.gif">
          <a:extLst>
            <a:ext uri="{FF2B5EF4-FFF2-40B4-BE49-F238E27FC236}">
              <a16:creationId xmlns:a16="http://schemas.microsoft.com/office/drawing/2014/main" id="{00000000-0008-0000-1400-000018D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54041" name="Picture 9" descr="C:\WINDOWS\TEMP\~0003946.gif">
          <a:extLst>
            <a:ext uri="{FF2B5EF4-FFF2-40B4-BE49-F238E27FC236}">
              <a16:creationId xmlns:a16="http://schemas.microsoft.com/office/drawing/2014/main" id="{00000000-0008-0000-1400-000019D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54042" name="Picture 10" descr="C:\WINDOWS\TEMP\~0003946.gif">
          <a:extLst>
            <a:ext uri="{FF2B5EF4-FFF2-40B4-BE49-F238E27FC236}">
              <a16:creationId xmlns:a16="http://schemas.microsoft.com/office/drawing/2014/main" id="{00000000-0008-0000-1400-00001AD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54043" name="Picture 11" descr="C:\WINDOWS\TEMP\~0003946.gif">
          <a:extLst>
            <a:ext uri="{FF2B5EF4-FFF2-40B4-BE49-F238E27FC236}">
              <a16:creationId xmlns:a16="http://schemas.microsoft.com/office/drawing/2014/main" id="{00000000-0008-0000-1400-00001BD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287</xdr:row>
      <xdr:rowOff>104775</xdr:rowOff>
    </xdr:from>
    <xdr:to>
      <xdr:col>20</xdr:col>
      <xdr:colOff>895350</xdr:colOff>
      <xdr:row>288</xdr:row>
      <xdr:rowOff>133350</xdr:rowOff>
    </xdr:to>
    <xdr:pic>
      <xdr:nvPicPr>
        <xdr:cNvPr id="54044" name="Picture 12" descr="C:\WINDOWS\TEMP\~0003946.gif">
          <a:extLst>
            <a:ext uri="{FF2B5EF4-FFF2-40B4-BE49-F238E27FC236}">
              <a16:creationId xmlns:a16="http://schemas.microsoft.com/office/drawing/2014/main" id="{00000000-0008-0000-1400-00001CD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822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54045" name="Picture 13" descr="logoMTL">
          <a:extLst>
            <a:ext uri="{FF2B5EF4-FFF2-40B4-BE49-F238E27FC236}">
              <a16:creationId xmlns:a16="http://schemas.microsoft.com/office/drawing/2014/main" id="{00000000-0008-0000-1400-00001DD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54046" name="Picture 14" descr="logoMTL">
          <a:extLst>
            <a:ext uri="{FF2B5EF4-FFF2-40B4-BE49-F238E27FC236}">
              <a16:creationId xmlns:a16="http://schemas.microsoft.com/office/drawing/2014/main" id="{00000000-0008-0000-1400-00001ED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54047" name="Picture 15" descr="logoMTL">
          <a:extLst>
            <a:ext uri="{FF2B5EF4-FFF2-40B4-BE49-F238E27FC236}">
              <a16:creationId xmlns:a16="http://schemas.microsoft.com/office/drawing/2014/main" id="{00000000-0008-0000-1400-00001FD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287</xdr:row>
      <xdr:rowOff>0</xdr:rowOff>
    </xdr:from>
    <xdr:to>
      <xdr:col>19</xdr:col>
      <xdr:colOff>1228725</xdr:colOff>
      <xdr:row>288</xdr:row>
      <xdr:rowOff>123825</xdr:rowOff>
    </xdr:to>
    <xdr:pic>
      <xdr:nvPicPr>
        <xdr:cNvPr id="54048" name="Picture 16" descr="logoMTL">
          <a:extLst>
            <a:ext uri="{FF2B5EF4-FFF2-40B4-BE49-F238E27FC236}">
              <a16:creationId xmlns:a16="http://schemas.microsoft.com/office/drawing/2014/main" id="{00000000-0008-0000-1400-000020D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1215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55057" name="Picture 1" descr="C:\WINDOWS\TEMP\Symbol.gif">
          <a:extLst>
            <a:ext uri="{FF2B5EF4-FFF2-40B4-BE49-F238E27FC236}">
              <a16:creationId xmlns:a16="http://schemas.microsoft.com/office/drawing/2014/main" id="{00000000-0008-0000-1500-000011D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55058" name="Picture 2" descr="C:\WINDOWS\TEMP\Symbol.gif">
          <a:extLst>
            <a:ext uri="{FF2B5EF4-FFF2-40B4-BE49-F238E27FC236}">
              <a16:creationId xmlns:a16="http://schemas.microsoft.com/office/drawing/2014/main" id="{00000000-0008-0000-1500-000012D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55059" name="Picture 3" descr="C:\WINDOWS\TEMP\Symbol.gif">
          <a:extLst>
            <a:ext uri="{FF2B5EF4-FFF2-40B4-BE49-F238E27FC236}">
              <a16:creationId xmlns:a16="http://schemas.microsoft.com/office/drawing/2014/main" id="{00000000-0008-0000-1500-000013D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287</xdr:row>
      <xdr:rowOff>161925</xdr:rowOff>
    </xdr:from>
    <xdr:to>
      <xdr:col>1</xdr:col>
      <xdr:colOff>19050</xdr:colOff>
      <xdr:row>288</xdr:row>
      <xdr:rowOff>200025</xdr:rowOff>
    </xdr:to>
    <xdr:pic>
      <xdr:nvPicPr>
        <xdr:cNvPr id="55060" name="Picture 4" descr="C:\WINDOWS\TEMP\Symbol.gif">
          <a:extLst>
            <a:ext uri="{FF2B5EF4-FFF2-40B4-BE49-F238E27FC236}">
              <a16:creationId xmlns:a16="http://schemas.microsoft.com/office/drawing/2014/main" id="{00000000-0008-0000-1500-000014D7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2834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287</xdr:row>
      <xdr:rowOff>123825</xdr:rowOff>
    </xdr:from>
    <xdr:to>
      <xdr:col>20</xdr:col>
      <xdr:colOff>1895475</xdr:colOff>
      <xdr:row>288</xdr:row>
      <xdr:rowOff>152400</xdr:rowOff>
    </xdr:to>
    <xdr:pic>
      <xdr:nvPicPr>
        <xdr:cNvPr id="55061" name="Picture 5" descr="C:\WINDOWS\TEMP\~0003946.gif">
          <a:extLst>
            <a:ext uri="{FF2B5EF4-FFF2-40B4-BE49-F238E27FC236}">
              <a16:creationId xmlns:a16="http://schemas.microsoft.com/office/drawing/2014/main" id="{00000000-0008-0000-1500-000015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245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55062" name="Picture 6" descr="C:\WINDOWS\TEMP\~0003946.gif">
          <a:extLst>
            <a:ext uri="{FF2B5EF4-FFF2-40B4-BE49-F238E27FC236}">
              <a16:creationId xmlns:a16="http://schemas.microsoft.com/office/drawing/2014/main" id="{00000000-0008-0000-1500-000016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55063" name="Picture 7" descr="C:\WINDOWS\TEMP\~0003946.gif">
          <a:extLst>
            <a:ext uri="{FF2B5EF4-FFF2-40B4-BE49-F238E27FC236}">
              <a16:creationId xmlns:a16="http://schemas.microsoft.com/office/drawing/2014/main" id="{00000000-0008-0000-1500-000017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5064" name="Picture 8" descr="C:\WINDOWS\TEMP\~0003946.gif">
          <a:extLst>
            <a:ext uri="{FF2B5EF4-FFF2-40B4-BE49-F238E27FC236}">
              <a16:creationId xmlns:a16="http://schemas.microsoft.com/office/drawing/2014/main" id="{00000000-0008-0000-1500-000018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55065" name="Picture 9" descr="C:\WINDOWS\TEMP\~0003946.gif">
          <a:extLst>
            <a:ext uri="{FF2B5EF4-FFF2-40B4-BE49-F238E27FC236}">
              <a16:creationId xmlns:a16="http://schemas.microsoft.com/office/drawing/2014/main" id="{00000000-0008-0000-1500-000019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55066" name="Picture 10" descr="C:\WINDOWS\TEMP\~0003946.gif">
          <a:extLst>
            <a:ext uri="{FF2B5EF4-FFF2-40B4-BE49-F238E27FC236}">
              <a16:creationId xmlns:a16="http://schemas.microsoft.com/office/drawing/2014/main" id="{00000000-0008-0000-1500-00001A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55067" name="Picture 11" descr="C:\WINDOWS\TEMP\~0003946.gif">
          <a:extLst>
            <a:ext uri="{FF2B5EF4-FFF2-40B4-BE49-F238E27FC236}">
              <a16:creationId xmlns:a16="http://schemas.microsoft.com/office/drawing/2014/main" id="{00000000-0008-0000-1500-00001B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287</xdr:row>
      <xdr:rowOff>104775</xdr:rowOff>
    </xdr:from>
    <xdr:to>
      <xdr:col>20</xdr:col>
      <xdr:colOff>895350</xdr:colOff>
      <xdr:row>288</xdr:row>
      <xdr:rowOff>133350</xdr:rowOff>
    </xdr:to>
    <xdr:pic>
      <xdr:nvPicPr>
        <xdr:cNvPr id="55068" name="Picture 12" descr="C:\WINDOWS\TEMP\~0003946.gif">
          <a:extLst>
            <a:ext uri="{FF2B5EF4-FFF2-40B4-BE49-F238E27FC236}">
              <a16:creationId xmlns:a16="http://schemas.microsoft.com/office/drawing/2014/main" id="{00000000-0008-0000-1500-00001CD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822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55069" name="Picture 13" descr="logoMTL">
          <a:extLst>
            <a:ext uri="{FF2B5EF4-FFF2-40B4-BE49-F238E27FC236}">
              <a16:creationId xmlns:a16="http://schemas.microsoft.com/office/drawing/2014/main" id="{00000000-0008-0000-1500-00001DD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55070" name="Picture 14" descr="logoMTL">
          <a:extLst>
            <a:ext uri="{FF2B5EF4-FFF2-40B4-BE49-F238E27FC236}">
              <a16:creationId xmlns:a16="http://schemas.microsoft.com/office/drawing/2014/main" id="{00000000-0008-0000-1500-00001E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55071" name="Picture 15" descr="logoMTL">
          <a:extLst>
            <a:ext uri="{FF2B5EF4-FFF2-40B4-BE49-F238E27FC236}">
              <a16:creationId xmlns:a16="http://schemas.microsoft.com/office/drawing/2014/main" id="{00000000-0008-0000-1500-00001F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287</xdr:row>
      <xdr:rowOff>0</xdr:rowOff>
    </xdr:from>
    <xdr:to>
      <xdr:col>19</xdr:col>
      <xdr:colOff>1228725</xdr:colOff>
      <xdr:row>288</xdr:row>
      <xdr:rowOff>123825</xdr:rowOff>
    </xdr:to>
    <xdr:pic>
      <xdr:nvPicPr>
        <xdr:cNvPr id="55072" name="Picture 16" descr="logoMTL">
          <a:extLst>
            <a:ext uri="{FF2B5EF4-FFF2-40B4-BE49-F238E27FC236}">
              <a16:creationId xmlns:a16="http://schemas.microsoft.com/office/drawing/2014/main" id="{00000000-0008-0000-1500-000020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1215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55985" name="Picture 1" descr="C:\WINDOWS\TEMP\Symbol.gif">
          <a:extLst>
            <a:ext uri="{FF2B5EF4-FFF2-40B4-BE49-F238E27FC236}">
              <a16:creationId xmlns:a16="http://schemas.microsoft.com/office/drawing/2014/main" id="{00000000-0008-0000-1600-0000B1D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55986" name="Picture 2" descr="C:\WINDOWS\TEMP\Symbol.gif">
          <a:extLst>
            <a:ext uri="{FF2B5EF4-FFF2-40B4-BE49-F238E27FC236}">
              <a16:creationId xmlns:a16="http://schemas.microsoft.com/office/drawing/2014/main" id="{00000000-0008-0000-1600-0000B2D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55987" name="Picture 3" descr="C:\WINDOWS\TEMP\Symbol.gif">
          <a:extLst>
            <a:ext uri="{FF2B5EF4-FFF2-40B4-BE49-F238E27FC236}">
              <a16:creationId xmlns:a16="http://schemas.microsoft.com/office/drawing/2014/main" id="{00000000-0008-0000-1600-0000B3D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287</xdr:row>
      <xdr:rowOff>161925</xdr:rowOff>
    </xdr:from>
    <xdr:to>
      <xdr:col>1</xdr:col>
      <xdr:colOff>19050</xdr:colOff>
      <xdr:row>288</xdr:row>
      <xdr:rowOff>200025</xdr:rowOff>
    </xdr:to>
    <xdr:pic>
      <xdr:nvPicPr>
        <xdr:cNvPr id="55988" name="Picture 4" descr="C:\WINDOWS\TEMP\Symbol.gif">
          <a:extLst>
            <a:ext uri="{FF2B5EF4-FFF2-40B4-BE49-F238E27FC236}">
              <a16:creationId xmlns:a16="http://schemas.microsoft.com/office/drawing/2014/main" id="{00000000-0008-0000-1600-0000B4D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2834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287</xdr:row>
      <xdr:rowOff>123825</xdr:rowOff>
    </xdr:from>
    <xdr:to>
      <xdr:col>20</xdr:col>
      <xdr:colOff>1895475</xdr:colOff>
      <xdr:row>288</xdr:row>
      <xdr:rowOff>152400</xdr:rowOff>
    </xdr:to>
    <xdr:pic>
      <xdr:nvPicPr>
        <xdr:cNvPr id="55989" name="Picture 5" descr="C:\WINDOWS\TEMP\~0003946.gif">
          <a:extLst>
            <a:ext uri="{FF2B5EF4-FFF2-40B4-BE49-F238E27FC236}">
              <a16:creationId xmlns:a16="http://schemas.microsoft.com/office/drawing/2014/main" id="{00000000-0008-0000-1600-0000B5D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245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55990" name="Picture 6" descr="C:\WINDOWS\TEMP\~0003946.gif">
          <a:extLst>
            <a:ext uri="{FF2B5EF4-FFF2-40B4-BE49-F238E27FC236}">
              <a16:creationId xmlns:a16="http://schemas.microsoft.com/office/drawing/2014/main" id="{00000000-0008-0000-1600-0000B6D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55991" name="Picture 7" descr="C:\WINDOWS\TEMP\~0003946.gif">
          <a:extLst>
            <a:ext uri="{FF2B5EF4-FFF2-40B4-BE49-F238E27FC236}">
              <a16:creationId xmlns:a16="http://schemas.microsoft.com/office/drawing/2014/main" id="{00000000-0008-0000-1600-0000B7D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5992" name="Picture 8" descr="C:\WINDOWS\TEMP\~0003946.gif">
          <a:extLst>
            <a:ext uri="{FF2B5EF4-FFF2-40B4-BE49-F238E27FC236}">
              <a16:creationId xmlns:a16="http://schemas.microsoft.com/office/drawing/2014/main" id="{00000000-0008-0000-1600-0000B8D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55993" name="Picture 9" descr="C:\WINDOWS\TEMP\~0003946.gif">
          <a:extLst>
            <a:ext uri="{FF2B5EF4-FFF2-40B4-BE49-F238E27FC236}">
              <a16:creationId xmlns:a16="http://schemas.microsoft.com/office/drawing/2014/main" id="{00000000-0008-0000-1600-0000B9D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55994" name="Picture 10" descr="C:\WINDOWS\TEMP\~0003946.gif">
          <a:extLst>
            <a:ext uri="{FF2B5EF4-FFF2-40B4-BE49-F238E27FC236}">
              <a16:creationId xmlns:a16="http://schemas.microsoft.com/office/drawing/2014/main" id="{00000000-0008-0000-1600-0000BAD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55995" name="Picture 11" descr="C:\WINDOWS\TEMP\~0003946.gif">
          <a:extLst>
            <a:ext uri="{FF2B5EF4-FFF2-40B4-BE49-F238E27FC236}">
              <a16:creationId xmlns:a16="http://schemas.microsoft.com/office/drawing/2014/main" id="{00000000-0008-0000-1600-0000BBD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287</xdr:row>
      <xdr:rowOff>104775</xdr:rowOff>
    </xdr:from>
    <xdr:to>
      <xdr:col>20</xdr:col>
      <xdr:colOff>895350</xdr:colOff>
      <xdr:row>288</xdr:row>
      <xdr:rowOff>133350</xdr:rowOff>
    </xdr:to>
    <xdr:pic>
      <xdr:nvPicPr>
        <xdr:cNvPr id="55996" name="Picture 12" descr="C:\WINDOWS\TEMP\~0003946.gif">
          <a:extLst>
            <a:ext uri="{FF2B5EF4-FFF2-40B4-BE49-F238E27FC236}">
              <a16:creationId xmlns:a16="http://schemas.microsoft.com/office/drawing/2014/main" id="{00000000-0008-0000-1600-0000BCD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822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55997" name="Picture 13" descr="logoMTL">
          <a:extLst>
            <a:ext uri="{FF2B5EF4-FFF2-40B4-BE49-F238E27FC236}">
              <a16:creationId xmlns:a16="http://schemas.microsoft.com/office/drawing/2014/main" id="{00000000-0008-0000-1600-0000BDD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55998" name="Picture 14" descr="logoMTL">
          <a:extLst>
            <a:ext uri="{FF2B5EF4-FFF2-40B4-BE49-F238E27FC236}">
              <a16:creationId xmlns:a16="http://schemas.microsoft.com/office/drawing/2014/main" id="{00000000-0008-0000-1600-0000BED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55999" name="Picture 15" descr="logoMTL">
          <a:extLst>
            <a:ext uri="{FF2B5EF4-FFF2-40B4-BE49-F238E27FC236}">
              <a16:creationId xmlns:a16="http://schemas.microsoft.com/office/drawing/2014/main" id="{00000000-0008-0000-1600-0000BFD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287</xdr:row>
      <xdr:rowOff>0</xdr:rowOff>
    </xdr:from>
    <xdr:to>
      <xdr:col>19</xdr:col>
      <xdr:colOff>1228725</xdr:colOff>
      <xdr:row>288</xdr:row>
      <xdr:rowOff>123825</xdr:rowOff>
    </xdr:to>
    <xdr:pic>
      <xdr:nvPicPr>
        <xdr:cNvPr id="56000" name="Picture 16" descr="logoMTL">
          <a:extLst>
            <a:ext uri="{FF2B5EF4-FFF2-40B4-BE49-F238E27FC236}">
              <a16:creationId xmlns:a16="http://schemas.microsoft.com/office/drawing/2014/main" id="{00000000-0008-0000-1600-0000C0D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1215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56977" name="Picture 1" descr="C:\WINDOWS\TEMP\Symbol.gif">
          <a:extLst>
            <a:ext uri="{FF2B5EF4-FFF2-40B4-BE49-F238E27FC236}">
              <a16:creationId xmlns:a16="http://schemas.microsoft.com/office/drawing/2014/main" id="{00000000-0008-0000-1700-000091D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56978" name="Picture 2" descr="C:\WINDOWS\TEMP\Symbol.gif">
          <a:extLst>
            <a:ext uri="{FF2B5EF4-FFF2-40B4-BE49-F238E27FC236}">
              <a16:creationId xmlns:a16="http://schemas.microsoft.com/office/drawing/2014/main" id="{00000000-0008-0000-1700-000092D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56979" name="Picture 3" descr="C:\WINDOWS\TEMP\Symbol.gif">
          <a:extLst>
            <a:ext uri="{FF2B5EF4-FFF2-40B4-BE49-F238E27FC236}">
              <a16:creationId xmlns:a16="http://schemas.microsoft.com/office/drawing/2014/main" id="{00000000-0008-0000-1700-000093D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287</xdr:row>
      <xdr:rowOff>161925</xdr:rowOff>
    </xdr:from>
    <xdr:to>
      <xdr:col>1</xdr:col>
      <xdr:colOff>19050</xdr:colOff>
      <xdr:row>288</xdr:row>
      <xdr:rowOff>200025</xdr:rowOff>
    </xdr:to>
    <xdr:pic>
      <xdr:nvPicPr>
        <xdr:cNvPr id="56980" name="Picture 4" descr="C:\WINDOWS\TEMP\Symbol.gif">
          <a:extLst>
            <a:ext uri="{FF2B5EF4-FFF2-40B4-BE49-F238E27FC236}">
              <a16:creationId xmlns:a16="http://schemas.microsoft.com/office/drawing/2014/main" id="{00000000-0008-0000-1700-000094DE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2834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287</xdr:row>
      <xdr:rowOff>123825</xdr:rowOff>
    </xdr:from>
    <xdr:to>
      <xdr:col>20</xdr:col>
      <xdr:colOff>1895475</xdr:colOff>
      <xdr:row>288</xdr:row>
      <xdr:rowOff>152400</xdr:rowOff>
    </xdr:to>
    <xdr:pic>
      <xdr:nvPicPr>
        <xdr:cNvPr id="56981" name="Picture 5" descr="C:\WINDOWS\TEMP\~0003946.gif">
          <a:extLst>
            <a:ext uri="{FF2B5EF4-FFF2-40B4-BE49-F238E27FC236}">
              <a16:creationId xmlns:a16="http://schemas.microsoft.com/office/drawing/2014/main" id="{00000000-0008-0000-1700-000095D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245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56982" name="Picture 6" descr="C:\WINDOWS\TEMP\~0003946.gif">
          <a:extLst>
            <a:ext uri="{FF2B5EF4-FFF2-40B4-BE49-F238E27FC236}">
              <a16:creationId xmlns:a16="http://schemas.microsoft.com/office/drawing/2014/main" id="{00000000-0008-0000-1700-000096D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56983" name="Picture 7" descr="C:\WINDOWS\TEMP\~0003946.gif">
          <a:extLst>
            <a:ext uri="{FF2B5EF4-FFF2-40B4-BE49-F238E27FC236}">
              <a16:creationId xmlns:a16="http://schemas.microsoft.com/office/drawing/2014/main" id="{00000000-0008-0000-1700-000097D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6984" name="Picture 8" descr="C:\WINDOWS\TEMP\~0003946.gif">
          <a:extLst>
            <a:ext uri="{FF2B5EF4-FFF2-40B4-BE49-F238E27FC236}">
              <a16:creationId xmlns:a16="http://schemas.microsoft.com/office/drawing/2014/main" id="{00000000-0008-0000-1700-000098D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56985" name="Picture 9" descr="C:\WINDOWS\TEMP\~0003946.gif">
          <a:extLst>
            <a:ext uri="{FF2B5EF4-FFF2-40B4-BE49-F238E27FC236}">
              <a16:creationId xmlns:a16="http://schemas.microsoft.com/office/drawing/2014/main" id="{00000000-0008-0000-1700-000099D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56986" name="Picture 10" descr="C:\WINDOWS\TEMP\~0003946.gif">
          <a:extLst>
            <a:ext uri="{FF2B5EF4-FFF2-40B4-BE49-F238E27FC236}">
              <a16:creationId xmlns:a16="http://schemas.microsoft.com/office/drawing/2014/main" id="{00000000-0008-0000-1700-00009AD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56987" name="Picture 11" descr="C:\WINDOWS\TEMP\~0003946.gif">
          <a:extLst>
            <a:ext uri="{FF2B5EF4-FFF2-40B4-BE49-F238E27FC236}">
              <a16:creationId xmlns:a16="http://schemas.microsoft.com/office/drawing/2014/main" id="{00000000-0008-0000-1700-00009BD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287</xdr:row>
      <xdr:rowOff>104775</xdr:rowOff>
    </xdr:from>
    <xdr:to>
      <xdr:col>20</xdr:col>
      <xdr:colOff>895350</xdr:colOff>
      <xdr:row>288</xdr:row>
      <xdr:rowOff>133350</xdr:rowOff>
    </xdr:to>
    <xdr:pic>
      <xdr:nvPicPr>
        <xdr:cNvPr id="56988" name="Picture 12" descr="C:\WINDOWS\TEMP\~0003946.gif">
          <a:extLst>
            <a:ext uri="{FF2B5EF4-FFF2-40B4-BE49-F238E27FC236}">
              <a16:creationId xmlns:a16="http://schemas.microsoft.com/office/drawing/2014/main" id="{00000000-0008-0000-1700-00009CDE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822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56989" name="Picture 13" descr="logoMTL">
          <a:extLst>
            <a:ext uri="{FF2B5EF4-FFF2-40B4-BE49-F238E27FC236}">
              <a16:creationId xmlns:a16="http://schemas.microsoft.com/office/drawing/2014/main" id="{00000000-0008-0000-1700-00009DD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56990" name="Picture 14" descr="logoMTL">
          <a:extLst>
            <a:ext uri="{FF2B5EF4-FFF2-40B4-BE49-F238E27FC236}">
              <a16:creationId xmlns:a16="http://schemas.microsoft.com/office/drawing/2014/main" id="{00000000-0008-0000-1700-00009EDE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56991" name="Picture 15" descr="logoMTL">
          <a:extLst>
            <a:ext uri="{FF2B5EF4-FFF2-40B4-BE49-F238E27FC236}">
              <a16:creationId xmlns:a16="http://schemas.microsoft.com/office/drawing/2014/main" id="{00000000-0008-0000-1700-00009FDE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287</xdr:row>
      <xdr:rowOff>0</xdr:rowOff>
    </xdr:from>
    <xdr:to>
      <xdr:col>19</xdr:col>
      <xdr:colOff>1228725</xdr:colOff>
      <xdr:row>288</xdr:row>
      <xdr:rowOff>123825</xdr:rowOff>
    </xdr:to>
    <xdr:pic>
      <xdr:nvPicPr>
        <xdr:cNvPr id="56992" name="Picture 16" descr="logoMTL">
          <a:extLst>
            <a:ext uri="{FF2B5EF4-FFF2-40B4-BE49-F238E27FC236}">
              <a16:creationId xmlns:a16="http://schemas.microsoft.com/office/drawing/2014/main" id="{00000000-0008-0000-1700-0000A0DE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1215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57969" name="Picture 1" descr="C:\WINDOWS\TEMP\Symbol.gif">
          <a:extLst>
            <a:ext uri="{FF2B5EF4-FFF2-40B4-BE49-F238E27FC236}">
              <a16:creationId xmlns:a16="http://schemas.microsoft.com/office/drawing/2014/main" id="{00000000-0008-0000-1800-000071E2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57970" name="Picture 2" descr="C:\WINDOWS\TEMP\Symbol.gif">
          <a:extLst>
            <a:ext uri="{FF2B5EF4-FFF2-40B4-BE49-F238E27FC236}">
              <a16:creationId xmlns:a16="http://schemas.microsoft.com/office/drawing/2014/main" id="{00000000-0008-0000-1800-000072E2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57971" name="Picture 3" descr="C:\WINDOWS\TEMP\Symbol.gif">
          <a:extLst>
            <a:ext uri="{FF2B5EF4-FFF2-40B4-BE49-F238E27FC236}">
              <a16:creationId xmlns:a16="http://schemas.microsoft.com/office/drawing/2014/main" id="{00000000-0008-0000-1800-000073E2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287</xdr:row>
      <xdr:rowOff>161925</xdr:rowOff>
    </xdr:from>
    <xdr:to>
      <xdr:col>1</xdr:col>
      <xdr:colOff>19050</xdr:colOff>
      <xdr:row>288</xdr:row>
      <xdr:rowOff>200025</xdr:rowOff>
    </xdr:to>
    <xdr:pic>
      <xdr:nvPicPr>
        <xdr:cNvPr id="57972" name="Picture 4" descr="C:\WINDOWS\TEMP\Symbol.gif">
          <a:extLst>
            <a:ext uri="{FF2B5EF4-FFF2-40B4-BE49-F238E27FC236}">
              <a16:creationId xmlns:a16="http://schemas.microsoft.com/office/drawing/2014/main" id="{00000000-0008-0000-1800-000074E2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2834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287</xdr:row>
      <xdr:rowOff>123825</xdr:rowOff>
    </xdr:from>
    <xdr:to>
      <xdr:col>20</xdr:col>
      <xdr:colOff>1895475</xdr:colOff>
      <xdr:row>288</xdr:row>
      <xdr:rowOff>152400</xdr:rowOff>
    </xdr:to>
    <xdr:pic>
      <xdr:nvPicPr>
        <xdr:cNvPr id="57973" name="Picture 5" descr="C:\WINDOWS\TEMP\~0003946.gif">
          <a:extLst>
            <a:ext uri="{FF2B5EF4-FFF2-40B4-BE49-F238E27FC236}">
              <a16:creationId xmlns:a16="http://schemas.microsoft.com/office/drawing/2014/main" id="{00000000-0008-0000-1800-000075E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245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57974" name="Picture 6" descr="C:\WINDOWS\TEMP\~0003946.gif">
          <a:extLst>
            <a:ext uri="{FF2B5EF4-FFF2-40B4-BE49-F238E27FC236}">
              <a16:creationId xmlns:a16="http://schemas.microsoft.com/office/drawing/2014/main" id="{00000000-0008-0000-1800-000076E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57975" name="Picture 7" descr="C:\WINDOWS\TEMP\~0003946.gif">
          <a:extLst>
            <a:ext uri="{FF2B5EF4-FFF2-40B4-BE49-F238E27FC236}">
              <a16:creationId xmlns:a16="http://schemas.microsoft.com/office/drawing/2014/main" id="{00000000-0008-0000-1800-000077E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7976" name="Picture 8" descr="C:\WINDOWS\TEMP\~0003946.gif">
          <a:extLst>
            <a:ext uri="{FF2B5EF4-FFF2-40B4-BE49-F238E27FC236}">
              <a16:creationId xmlns:a16="http://schemas.microsoft.com/office/drawing/2014/main" id="{00000000-0008-0000-1800-000078E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57977" name="Picture 9" descr="C:\WINDOWS\TEMP\~0003946.gif">
          <a:extLst>
            <a:ext uri="{FF2B5EF4-FFF2-40B4-BE49-F238E27FC236}">
              <a16:creationId xmlns:a16="http://schemas.microsoft.com/office/drawing/2014/main" id="{00000000-0008-0000-1800-000079E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57978" name="Picture 10" descr="C:\WINDOWS\TEMP\~0003946.gif">
          <a:extLst>
            <a:ext uri="{FF2B5EF4-FFF2-40B4-BE49-F238E27FC236}">
              <a16:creationId xmlns:a16="http://schemas.microsoft.com/office/drawing/2014/main" id="{00000000-0008-0000-1800-00007AE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57979" name="Picture 11" descr="C:\WINDOWS\TEMP\~0003946.gif">
          <a:extLst>
            <a:ext uri="{FF2B5EF4-FFF2-40B4-BE49-F238E27FC236}">
              <a16:creationId xmlns:a16="http://schemas.microsoft.com/office/drawing/2014/main" id="{00000000-0008-0000-1800-00007BE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287</xdr:row>
      <xdr:rowOff>104775</xdr:rowOff>
    </xdr:from>
    <xdr:to>
      <xdr:col>20</xdr:col>
      <xdr:colOff>895350</xdr:colOff>
      <xdr:row>288</xdr:row>
      <xdr:rowOff>133350</xdr:rowOff>
    </xdr:to>
    <xdr:pic>
      <xdr:nvPicPr>
        <xdr:cNvPr id="57980" name="Picture 12" descr="C:\WINDOWS\TEMP\~0003946.gif">
          <a:extLst>
            <a:ext uri="{FF2B5EF4-FFF2-40B4-BE49-F238E27FC236}">
              <a16:creationId xmlns:a16="http://schemas.microsoft.com/office/drawing/2014/main" id="{00000000-0008-0000-1800-00007CE2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822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57981" name="Picture 13" descr="logoMTL">
          <a:extLst>
            <a:ext uri="{FF2B5EF4-FFF2-40B4-BE49-F238E27FC236}">
              <a16:creationId xmlns:a16="http://schemas.microsoft.com/office/drawing/2014/main" id="{00000000-0008-0000-1800-00007DE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57982" name="Picture 14" descr="logoMTL">
          <a:extLst>
            <a:ext uri="{FF2B5EF4-FFF2-40B4-BE49-F238E27FC236}">
              <a16:creationId xmlns:a16="http://schemas.microsoft.com/office/drawing/2014/main" id="{00000000-0008-0000-1800-00007EE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57983" name="Picture 15" descr="logoMTL">
          <a:extLst>
            <a:ext uri="{FF2B5EF4-FFF2-40B4-BE49-F238E27FC236}">
              <a16:creationId xmlns:a16="http://schemas.microsoft.com/office/drawing/2014/main" id="{00000000-0008-0000-1800-00007FE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287</xdr:row>
      <xdr:rowOff>0</xdr:rowOff>
    </xdr:from>
    <xdr:to>
      <xdr:col>19</xdr:col>
      <xdr:colOff>1228725</xdr:colOff>
      <xdr:row>288</xdr:row>
      <xdr:rowOff>123825</xdr:rowOff>
    </xdr:to>
    <xdr:pic>
      <xdr:nvPicPr>
        <xdr:cNvPr id="57984" name="Picture 16" descr="logoMTL">
          <a:extLst>
            <a:ext uri="{FF2B5EF4-FFF2-40B4-BE49-F238E27FC236}">
              <a16:creationId xmlns:a16="http://schemas.microsoft.com/office/drawing/2014/main" id="{00000000-0008-0000-1800-000080E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1215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59937" name="Picture 1" descr="C:\WINDOWS\TEMP\Symbol.gif">
          <a:extLst>
            <a:ext uri="{FF2B5EF4-FFF2-40B4-BE49-F238E27FC236}">
              <a16:creationId xmlns:a16="http://schemas.microsoft.com/office/drawing/2014/main" id="{00000000-0008-0000-1900-000021E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59938" name="Picture 2" descr="C:\WINDOWS\TEMP\Symbol.gif">
          <a:extLst>
            <a:ext uri="{FF2B5EF4-FFF2-40B4-BE49-F238E27FC236}">
              <a16:creationId xmlns:a16="http://schemas.microsoft.com/office/drawing/2014/main" id="{00000000-0008-0000-1900-000022E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59939" name="Picture 3" descr="C:\WINDOWS\TEMP\Symbol.gif">
          <a:extLst>
            <a:ext uri="{FF2B5EF4-FFF2-40B4-BE49-F238E27FC236}">
              <a16:creationId xmlns:a16="http://schemas.microsoft.com/office/drawing/2014/main" id="{00000000-0008-0000-1900-000023E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287</xdr:row>
      <xdr:rowOff>161925</xdr:rowOff>
    </xdr:from>
    <xdr:to>
      <xdr:col>1</xdr:col>
      <xdr:colOff>19050</xdr:colOff>
      <xdr:row>288</xdr:row>
      <xdr:rowOff>200025</xdr:rowOff>
    </xdr:to>
    <xdr:pic>
      <xdr:nvPicPr>
        <xdr:cNvPr id="59940" name="Picture 4" descr="C:\WINDOWS\TEMP\Symbol.gif">
          <a:extLst>
            <a:ext uri="{FF2B5EF4-FFF2-40B4-BE49-F238E27FC236}">
              <a16:creationId xmlns:a16="http://schemas.microsoft.com/office/drawing/2014/main" id="{00000000-0008-0000-1900-000024EA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2834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287</xdr:row>
      <xdr:rowOff>123825</xdr:rowOff>
    </xdr:from>
    <xdr:to>
      <xdr:col>20</xdr:col>
      <xdr:colOff>1895475</xdr:colOff>
      <xdr:row>288</xdr:row>
      <xdr:rowOff>152400</xdr:rowOff>
    </xdr:to>
    <xdr:pic>
      <xdr:nvPicPr>
        <xdr:cNvPr id="59941" name="Picture 5" descr="C:\WINDOWS\TEMP\~0003946.gif">
          <a:extLst>
            <a:ext uri="{FF2B5EF4-FFF2-40B4-BE49-F238E27FC236}">
              <a16:creationId xmlns:a16="http://schemas.microsoft.com/office/drawing/2014/main" id="{00000000-0008-0000-1900-000025E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245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59942" name="Picture 6" descr="C:\WINDOWS\TEMP\~0003946.gif">
          <a:extLst>
            <a:ext uri="{FF2B5EF4-FFF2-40B4-BE49-F238E27FC236}">
              <a16:creationId xmlns:a16="http://schemas.microsoft.com/office/drawing/2014/main" id="{00000000-0008-0000-1900-000026E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59943" name="Picture 7" descr="C:\WINDOWS\TEMP\~0003946.gif">
          <a:extLst>
            <a:ext uri="{FF2B5EF4-FFF2-40B4-BE49-F238E27FC236}">
              <a16:creationId xmlns:a16="http://schemas.microsoft.com/office/drawing/2014/main" id="{00000000-0008-0000-1900-000027E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9944" name="Picture 8" descr="C:\WINDOWS\TEMP\~0003946.gif">
          <a:extLst>
            <a:ext uri="{FF2B5EF4-FFF2-40B4-BE49-F238E27FC236}">
              <a16:creationId xmlns:a16="http://schemas.microsoft.com/office/drawing/2014/main" id="{00000000-0008-0000-1900-000028E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59945" name="Picture 9" descr="C:\WINDOWS\TEMP\~0003946.gif">
          <a:extLst>
            <a:ext uri="{FF2B5EF4-FFF2-40B4-BE49-F238E27FC236}">
              <a16:creationId xmlns:a16="http://schemas.microsoft.com/office/drawing/2014/main" id="{00000000-0008-0000-1900-000029E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59946" name="Picture 10" descr="C:\WINDOWS\TEMP\~0003946.gif">
          <a:extLst>
            <a:ext uri="{FF2B5EF4-FFF2-40B4-BE49-F238E27FC236}">
              <a16:creationId xmlns:a16="http://schemas.microsoft.com/office/drawing/2014/main" id="{00000000-0008-0000-1900-00002AE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59947" name="Picture 11" descr="C:\WINDOWS\TEMP\~0003946.gif">
          <a:extLst>
            <a:ext uri="{FF2B5EF4-FFF2-40B4-BE49-F238E27FC236}">
              <a16:creationId xmlns:a16="http://schemas.microsoft.com/office/drawing/2014/main" id="{00000000-0008-0000-1900-00002BE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287</xdr:row>
      <xdr:rowOff>104775</xdr:rowOff>
    </xdr:from>
    <xdr:to>
      <xdr:col>20</xdr:col>
      <xdr:colOff>895350</xdr:colOff>
      <xdr:row>288</xdr:row>
      <xdr:rowOff>133350</xdr:rowOff>
    </xdr:to>
    <xdr:pic>
      <xdr:nvPicPr>
        <xdr:cNvPr id="59948" name="Picture 12" descr="C:\WINDOWS\TEMP\~0003946.gif">
          <a:extLst>
            <a:ext uri="{FF2B5EF4-FFF2-40B4-BE49-F238E27FC236}">
              <a16:creationId xmlns:a16="http://schemas.microsoft.com/office/drawing/2014/main" id="{00000000-0008-0000-1900-00002CEA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822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59949" name="Picture 13" descr="logoMTL">
          <a:extLst>
            <a:ext uri="{FF2B5EF4-FFF2-40B4-BE49-F238E27FC236}">
              <a16:creationId xmlns:a16="http://schemas.microsoft.com/office/drawing/2014/main" id="{00000000-0008-0000-1900-00002DE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59950" name="Picture 14" descr="logoMTL">
          <a:extLst>
            <a:ext uri="{FF2B5EF4-FFF2-40B4-BE49-F238E27FC236}">
              <a16:creationId xmlns:a16="http://schemas.microsoft.com/office/drawing/2014/main" id="{00000000-0008-0000-1900-00002EE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59951" name="Picture 15" descr="logoMTL">
          <a:extLst>
            <a:ext uri="{FF2B5EF4-FFF2-40B4-BE49-F238E27FC236}">
              <a16:creationId xmlns:a16="http://schemas.microsoft.com/office/drawing/2014/main" id="{00000000-0008-0000-1900-00002FE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287</xdr:row>
      <xdr:rowOff>0</xdr:rowOff>
    </xdr:from>
    <xdr:to>
      <xdr:col>19</xdr:col>
      <xdr:colOff>1228725</xdr:colOff>
      <xdr:row>288</xdr:row>
      <xdr:rowOff>123825</xdr:rowOff>
    </xdr:to>
    <xdr:pic>
      <xdr:nvPicPr>
        <xdr:cNvPr id="59952" name="Picture 16" descr="logoMTL">
          <a:extLst>
            <a:ext uri="{FF2B5EF4-FFF2-40B4-BE49-F238E27FC236}">
              <a16:creationId xmlns:a16="http://schemas.microsoft.com/office/drawing/2014/main" id="{00000000-0008-0000-1900-000030EA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1215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60801" name="Picture 1" descr="C:\WINDOWS\TEMP\Symbol.gif">
          <a:extLst>
            <a:ext uri="{FF2B5EF4-FFF2-40B4-BE49-F238E27FC236}">
              <a16:creationId xmlns:a16="http://schemas.microsoft.com/office/drawing/2014/main" id="{00000000-0008-0000-1A00-000081E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60802" name="Picture 2" descr="C:\WINDOWS\TEMP\Symbol.gif">
          <a:extLst>
            <a:ext uri="{FF2B5EF4-FFF2-40B4-BE49-F238E27FC236}">
              <a16:creationId xmlns:a16="http://schemas.microsoft.com/office/drawing/2014/main" id="{00000000-0008-0000-1A00-000082E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60803" name="Picture 3" descr="C:\WINDOWS\TEMP\Symbol.gif">
          <a:extLst>
            <a:ext uri="{FF2B5EF4-FFF2-40B4-BE49-F238E27FC236}">
              <a16:creationId xmlns:a16="http://schemas.microsoft.com/office/drawing/2014/main" id="{00000000-0008-0000-1A00-000083E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287</xdr:row>
      <xdr:rowOff>161925</xdr:rowOff>
    </xdr:from>
    <xdr:to>
      <xdr:col>1</xdr:col>
      <xdr:colOff>19050</xdr:colOff>
      <xdr:row>288</xdr:row>
      <xdr:rowOff>200025</xdr:rowOff>
    </xdr:to>
    <xdr:pic>
      <xdr:nvPicPr>
        <xdr:cNvPr id="60804" name="Picture 4" descr="C:\WINDOWS\TEMP\Symbol.gif">
          <a:extLst>
            <a:ext uri="{FF2B5EF4-FFF2-40B4-BE49-F238E27FC236}">
              <a16:creationId xmlns:a16="http://schemas.microsoft.com/office/drawing/2014/main" id="{00000000-0008-0000-1A00-000084ED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2834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287</xdr:row>
      <xdr:rowOff>123825</xdr:rowOff>
    </xdr:from>
    <xdr:to>
      <xdr:col>20</xdr:col>
      <xdr:colOff>1895475</xdr:colOff>
      <xdr:row>288</xdr:row>
      <xdr:rowOff>152400</xdr:rowOff>
    </xdr:to>
    <xdr:pic>
      <xdr:nvPicPr>
        <xdr:cNvPr id="60805" name="Picture 5" descr="C:\WINDOWS\TEMP\~0003946.gif">
          <a:extLst>
            <a:ext uri="{FF2B5EF4-FFF2-40B4-BE49-F238E27FC236}">
              <a16:creationId xmlns:a16="http://schemas.microsoft.com/office/drawing/2014/main" id="{00000000-0008-0000-1A00-000085E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245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60806" name="Picture 6" descr="C:\WINDOWS\TEMP\~0003946.gif">
          <a:extLst>
            <a:ext uri="{FF2B5EF4-FFF2-40B4-BE49-F238E27FC236}">
              <a16:creationId xmlns:a16="http://schemas.microsoft.com/office/drawing/2014/main" id="{00000000-0008-0000-1A00-000086E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60807" name="Picture 7" descr="C:\WINDOWS\TEMP\~0003946.gif">
          <a:extLst>
            <a:ext uri="{FF2B5EF4-FFF2-40B4-BE49-F238E27FC236}">
              <a16:creationId xmlns:a16="http://schemas.microsoft.com/office/drawing/2014/main" id="{00000000-0008-0000-1A00-000087E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60808" name="Picture 8" descr="C:\WINDOWS\TEMP\~0003946.gif">
          <a:extLst>
            <a:ext uri="{FF2B5EF4-FFF2-40B4-BE49-F238E27FC236}">
              <a16:creationId xmlns:a16="http://schemas.microsoft.com/office/drawing/2014/main" id="{00000000-0008-0000-1A00-000088E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60809" name="Picture 9" descr="C:\WINDOWS\TEMP\~0003946.gif">
          <a:extLst>
            <a:ext uri="{FF2B5EF4-FFF2-40B4-BE49-F238E27FC236}">
              <a16:creationId xmlns:a16="http://schemas.microsoft.com/office/drawing/2014/main" id="{00000000-0008-0000-1A00-000089E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60810" name="Picture 10" descr="C:\WINDOWS\TEMP\~0003946.gif">
          <a:extLst>
            <a:ext uri="{FF2B5EF4-FFF2-40B4-BE49-F238E27FC236}">
              <a16:creationId xmlns:a16="http://schemas.microsoft.com/office/drawing/2014/main" id="{00000000-0008-0000-1A00-00008AE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60811" name="Picture 11" descr="C:\WINDOWS\TEMP\~0003946.gif">
          <a:extLst>
            <a:ext uri="{FF2B5EF4-FFF2-40B4-BE49-F238E27FC236}">
              <a16:creationId xmlns:a16="http://schemas.microsoft.com/office/drawing/2014/main" id="{00000000-0008-0000-1A00-00008BE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287</xdr:row>
      <xdr:rowOff>104775</xdr:rowOff>
    </xdr:from>
    <xdr:to>
      <xdr:col>20</xdr:col>
      <xdr:colOff>895350</xdr:colOff>
      <xdr:row>288</xdr:row>
      <xdr:rowOff>133350</xdr:rowOff>
    </xdr:to>
    <xdr:pic>
      <xdr:nvPicPr>
        <xdr:cNvPr id="60812" name="Picture 12" descr="C:\WINDOWS\TEMP\~0003946.gif">
          <a:extLst>
            <a:ext uri="{FF2B5EF4-FFF2-40B4-BE49-F238E27FC236}">
              <a16:creationId xmlns:a16="http://schemas.microsoft.com/office/drawing/2014/main" id="{00000000-0008-0000-1A00-00008CED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822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60813" name="Picture 13" descr="logoMTL">
          <a:extLst>
            <a:ext uri="{FF2B5EF4-FFF2-40B4-BE49-F238E27FC236}">
              <a16:creationId xmlns:a16="http://schemas.microsoft.com/office/drawing/2014/main" id="{00000000-0008-0000-1A00-00008DE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60814" name="Picture 14" descr="logoMTL">
          <a:extLst>
            <a:ext uri="{FF2B5EF4-FFF2-40B4-BE49-F238E27FC236}">
              <a16:creationId xmlns:a16="http://schemas.microsoft.com/office/drawing/2014/main" id="{00000000-0008-0000-1A00-00008EE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60815" name="Picture 15" descr="logoMTL">
          <a:extLst>
            <a:ext uri="{FF2B5EF4-FFF2-40B4-BE49-F238E27FC236}">
              <a16:creationId xmlns:a16="http://schemas.microsoft.com/office/drawing/2014/main" id="{00000000-0008-0000-1A00-00008FE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287</xdr:row>
      <xdr:rowOff>0</xdr:rowOff>
    </xdr:from>
    <xdr:to>
      <xdr:col>19</xdr:col>
      <xdr:colOff>1228725</xdr:colOff>
      <xdr:row>288</xdr:row>
      <xdr:rowOff>123825</xdr:rowOff>
    </xdr:to>
    <xdr:pic>
      <xdr:nvPicPr>
        <xdr:cNvPr id="60816" name="Picture 16" descr="logoMTL">
          <a:extLst>
            <a:ext uri="{FF2B5EF4-FFF2-40B4-BE49-F238E27FC236}">
              <a16:creationId xmlns:a16="http://schemas.microsoft.com/office/drawing/2014/main" id="{00000000-0008-0000-1A00-000090E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1215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62673" name="Picture 1" descr="C:\WINDOWS\TEMP\Symbol.gif">
          <a:extLst>
            <a:ext uri="{FF2B5EF4-FFF2-40B4-BE49-F238E27FC236}">
              <a16:creationId xmlns:a16="http://schemas.microsoft.com/office/drawing/2014/main" id="{00000000-0008-0000-1B00-0000D1F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62674" name="Picture 2" descr="C:\WINDOWS\TEMP\Symbol.gif">
          <a:extLst>
            <a:ext uri="{FF2B5EF4-FFF2-40B4-BE49-F238E27FC236}">
              <a16:creationId xmlns:a16="http://schemas.microsoft.com/office/drawing/2014/main" id="{00000000-0008-0000-1B00-0000D2F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62675" name="Picture 3" descr="C:\WINDOWS\TEMP\Symbol.gif">
          <a:extLst>
            <a:ext uri="{FF2B5EF4-FFF2-40B4-BE49-F238E27FC236}">
              <a16:creationId xmlns:a16="http://schemas.microsoft.com/office/drawing/2014/main" id="{00000000-0008-0000-1B00-0000D3F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287</xdr:row>
      <xdr:rowOff>161925</xdr:rowOff>
    </xdr:from>
    <xdr:to>
      <xdr:col>1</xdr:col>
      <xdr:colOff>19050</xdr:colOff>
      <xdr:row>288</xdr:row>
      <xdr:rowOff>200025</xdr:rowOff>
    </xdr:to>
    <xdr:pic>
      <xdr:nvPicPr>
        <xdr:cNvPr id="62676" name="Picture 4" descr="C:\WINDOWS\TEMP\Symbol.gif">
          <a:extLst>
            <a:ext uri="{FF2B5EF4-FFF2-40B4-BE49-F238E27FC236}">
              <a16:creationId xmlns:a16="http://schemas.microsoft.com/office/drawing/2014/main" id="{00000000-0008-0000-1B00-0000D4F4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2834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287</xdr:row>
      <xdr:rowOff>123825</xdr:rowOff>
    </xdr:from>
    <xdr:to>
      <xdr:col>20</xdr:col>
      <xdr:colOff>1895475</xdr:colOff>
      <xdr:row>288</xdr:row>
      <xdr:rowOff>152400</xdr:rowOff>
    </xdr:to>
    <xdr:pic>
      <xdr:nvPicPr>
        <xdr:cNvPr id="62677" name="Picture 5" descr="C:\WINDOWS\TEMP\~0003946.gif">
          <a:extLst>
            <a:ext uri="{FF2B5EF4-FFF2-40B4-BE49-F238E27FC236}">
              <a16:creationId xmlns:a16="http://schemas.microsoft.com/office/drawing/2014/main" id="{00000000-0008-0000-1B00-0000D5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245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62678" name="Picture 6" descr="C:\WINDOWS\TEMP\~0003946.gif">
          <a:extLst>
            <a:ext uri="{FF2B5EF4-FFF2-40B4-BE49-F238E27FC236}">
              <a16:creationId xmlns:a16="http://schemas.microsoft.com/office/drawing/2014/main" id="{00000000-0008-0000-1B00-0000D6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62679" name="Picture 7" descr="C:\WINDOWS\TEMP\~0003946.gif">
          <a:extLst>
            <a:ext uri="{FF2B5EF4-FFF2-40B4-BE49-F238E27FC236}">
              <a16:creationId xmlns:a16="http://schemas.microsoft.com/office/drawing/2014/main" id="{00000000-0008-0000-1B00-0000D7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62680" name="Picture 8" descr="C:\WINDOWS\TEMP\~0003946.gif">
          <a:extLst>
            <a:ext uri="{FF2B5EF4-FFF2-40B4-BE49-F238E27FC236}">
              <a16:creationId xmlns:a16="http://schemas.microsoft.com/office/drawing/2014/main" id="{00000000-0008-0000-1B00-0000D8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62681" name="Picture 9" descr="C:\WINDOWS\TEMP\~0003946.gif">
          <a:extLst>
            <a:ext uri="{FF2B5EF4-FFF2-40B4-BE49-F238E27FC236}">
              <a16:creationId xmlns:a16="http://schemas.microsoft.com/office/drawing/2014/main" id="{00000000-0008-0000-1B00-0000D9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62682" name="Picture 10" descr="C:\WINDOWS\TEMP\~0003946.gif">
          <a:extLst>
            <a:ext uri="{FF2B5EF4-FFF2-40B4-BE49-F238E27FC236}">
              <a16:creationId xmlns:a16="http://schemas.microsoft.com/office/drawing/2014/main" id="{00000000-0008-0000-1B00-0000DA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62683" name="Picture 11" descr="C:\WINDOWS\TEMP\~0003946.gif">
          <a:extLst>
            <a:ext uri="{FF2B5EF4-FFF2-40B4-BE49-F238E27FC236}">
              <a16:creationId xmlns:a16="http://schemas.microsoft.com/office/drawing/2014/main" id="{00000000-0008-0000-1B00-0000DB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287</xdr:row>
      <xdr:rowOff>104775</xdr:rowOff>
    </xdr:from>
    <xdr:to>
      <xdr:col>20</xdr:col>
      <xdr:colOff>895350</xdr:colOff>
      <xdr:row>288</xdr:row>
      <xdr:rowOff>133350</xdr:rowOff>
    </xdr:to>
    <xdr:pic>
      <xdr:nvPicPr>
        <xdr:cNvPr id="62684" name="Picture 12" descr="C:\WINDOWS\TEMP\~0003946.gif">
          <a:extLst>
            <a:ext uri="{FF2B5EF4-FFF2-40B4-BE49-F238E27FC236}">
              <a16:creationId xmlns:a16="http://schemas.microsoft.com/office/drawing/2014/main" id="{00000000-0008-0000-1B00-0000DCF4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822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62685" name="Picture 13" descr="logoMTL">
          <a:extLst>
            <a:ext uri="{FF2B5EF4-FFF2-40B4-BE49-F238E27FC236}">
              <a16:creationId xmlns:a16="http://schemas.microsoft.com/office/drawing/2014/main" id="{00000000-0008-0000-1B00-0000DDF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62686" name="Picture 14" descr="logoMTL">
          <a:extLst>
            <a:ext uri="{FF2B5EF4-FFF2-40B4-BE49-F238E27FC236}">
              <a16:creationId xmlns:a16="http://schemas.microsoft.com/office/drawing/2014/main" id="{00000000-0008-0000-1B00-0000DEF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62687" name="Picture 15" descr="logoMTL">
          <a:extLst>
            <a:ext uri="{FF2B5EF4-FFF2-40B4-BE49-F238E27FC236}">
              <a16:creationId xmlns:a16="http://schemas.microsoft.com/office/drawing/2014/main" id="{00000000-0008-0000-1B00-0000DFF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287</xdr:row>
      <xdr:rowOff>0</xdr:rowOff>
    </xdr:from>
    <xdr:to>
      <xdr:col>19</xdr:col>
      <xdr:colOff>1228725</xdr:colOff>
      <xdr:row>288</xdr:row>
      <xdr:rowOff>123825</xdr:rowOff>
    </xdr:to>
    <xdr:pic>
      <xdr:nvPicPr>
        <xdr:cNvPr id="62688" name="Picture 16" descr="logoMTL">
          <a:extLst>
            <a:ext uri="{FF2B5EF4-FFF2-40B4-BE49-F238E27FC236}">
              <a16:creationId xmlns:a16="http://schemas.microsoft.com/office/drawing/2014/main" id="{00000000-0008-0000-1B00-0000E0F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1215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31713" name="Picture 1" descr="C:\WINDOWS\TEMP\Symbol.gif">
          <a:extLst>
            <a:ext uri="{FF2B5EF4-FFF2-40B4-BE49-F238E27FC236}">
              <a16:creationId xmlns:a16="http://schemas.microsoft.com/office/drawing/2014/main" id="{00000000-0008-0000-1C00-0000E17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31714" name="Picture 2" descr="C:\WINDOWS\TEMP\Symbol.gif">
          <a:extLst>
            <a:ext uri="{FF2B5EF4-FFF2-40B4-BE49-F238E27FC236}">
              <a16:creationId xmlns:a16="http://schemas.microsoft.com/office/drawing/2014/main" id="{00000000-0008-0000-1C00-0000E27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192</xdr:row>
      <xdr:rowOff>171450</xdr:rowOff>
    </xdr:from>
    <xdr:to>
      <xdr:col>1</xdr:col>
      <xdr:colOff>47625</xdr:colOff>
      <xdr:row>193</xdr:row>
      <xdr:rowOff>209550</xdr:rowOff>
    </xdr:to>
    <xdr:pic>
      <xdr:nvPicPr>
        <xdr:cNvPr id="31715" name="Picture 3" descr="C:\WINDOWS\TEMP\Symbol.gif">
          <a:extLst>
            <a:ext uri="{FF2B5EF4-FFF2-40B4-BE49-F238E27FC236}">
              <a16:creationId xmlns:a16="http://schemas.microsoft.com/office/drawing/2014/main" id="{00000000-0008-0000-1C00-0000E37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20490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287</xdr:row>
      <xdr:rowOff>161925</xdr:rowOff>
    </xdr:from>
    <xdr:to>
      <xdr:col>1</xdr:col>
      <xdr:colOff>19050</xdr:colOff>
      <xdr:row>288</xdr:row>
      <xdr:rowOff>200025</xdr:rowOff>
    </xdr:to>
    <xdr:pic>
      <xdr:nvPicPr>
        <xdr:cNvPr id="31716" name="Picture 4" descr="C:\WINDOWS\TEMP\Symbol.gif">
          <a:extLst>
            <a:ext uri="{FF2B5EF4-FFF2-40B4-BE49-F238E27FC236}">
              <a16:creationId xmlns:a16="http://schemas.microsoft.com/office/drawing/2014/main" id="{00000000-0008-0000-1C00-0000E47B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2834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287</xdr:row>
      <xdr:rowOff>123825</xdr:rowOff>
    </xdr:from>
    <xdr:to>
      <xdr:col>20</xdr:col>
      <xdr:colOff>1895475</xdr:colOff>
      <xdr:row>288</xdr:row>
      <xdr:rowOff>152400</xdr:rowOff>
    </xdr:to>
    <xdr:pic>
      <xdr:nvPicPr>
        <xdr:cNvPr id="31717" name="Picture 5" descr="C:\WINDOWS\TEMP\~0003946.gif">
          <a:extLst>
            <a:ext uri="{FF2B5EF4-FFF2-40B4-BE49-F238E27FC236}">
              <a16:creationId xmlns:a16="http://schemas.microsoft.com/office/drawing/2014/main" id="{00000000-0008-0000-1C00-0000E5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58245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192</xdr:row>
      <xdr:rowOff>152400</xdr:rowOff>
    </xdr:from>
    <xdr:to>
      <xdr:col>20</xdr:col>
      <xdr:colOff>1924050</xdr:colOff>
      <xdr:row>193</xdr:row>
      <xdr:rowOff>180975</xdr:rowOff>
    </xdr:to>
    <xdr:pic>
      <xdr:nvPicPr>
        <xdr:cNvPr id="31718" name="Picture 6" descr="C:\WINDOWS\TEMP\~0003946.gif">
          <a:extLst>
            <a:ext uri="{FF2B5EF4-FFF2-40B4-BE49-F238E27FC236}">
              <a16:creationId xmlns:a16="http://schemas.microsoft.com/office/drawing/2014/main" id="{00000000-0008-0000-1C00-0000E6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391858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31719" name="Picture 7" descr="C:\WINDOWS\TEMP\~0003946.gif">
          <a:extLst>
            <a:ext uri="{FF2B5EF4-FFF2-40B4-BE49-F238E27FC236}">
              <a16:creationId xmlns:a16="http://schemas.microsoft.com/office/drawing/2014/main" id="{00000000-0008-0000-1C00-0000E7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31720" name="Picture 8" descr="C:\WINDOWS\TEMP\~0003946.gif">
          <a:extLst>
            <a:ext uri="{FF2B5EF4-FFF2-40B4-BE49-F238E27FC236}">
              <a16:creationId xmlns:a16="http://schemas.microsoft.com/office/drawing/2014/main" id="{00000000-0008-0000-1C00-0000E8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31721" name="Picture 9" descr="C:\WINDOWS\TEMP\~0003946.gif">
          <a:extLst>
            <a:ext uri="{FF2B5EF4-FFF2-40B4-BE49-F238E27FC236}">
              <a16:creationId xmlns:a16="http://schemas.microsoft.com/office/drawing/2014/main" id="{00000000-0008-0000-1C00-0000E9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31722" name="Picture 10" descr="C:\WINDOWS\TEMP\~0003946.gif">
          <a:extLst>
            <a:ext uri="{FF2B5EF4-FFF2-40B4-BE49-F238E27FC236}">
              <a16:creationId xmlns:a16="http://schemas.microsoft.com/office/drawing/2014/main" id="{00000000-0008-0000-1C00-0000EA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192</xdr:row>
      <xdr:rowOff>104775</xdr:rowOff>
    </xdr:from>
    <xdr:to>
      <xdr:col>20</xdr:col>
      <xdr:colOff>809625</xdr:colOff>
      <xdr:row>193</xdr:row>
      <xdr:rowOff>133350</xdr:rowOff>
    </xdr:to>
    <xdr:pic>
      <xdr:nvPicPr>
        <xdr:cNvPr id="31723" name="Picture 11" descr="C:\WINDOWS\TEMP\~0003946.gif">
          <a:extLst>
            <a:ext uri="{FF2B5EF4-FFF2-40B4-BE49-F238E27FC236}">
              <a16:creationId xmlns:a16="http://schemas.microsoft.com/office/drawing/2014/main" id="{00000000-0008-0000-1C00-0000EB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583775" y="391382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287</xdr:row>
      <xdr:rowOff>104775</xdr:rowOff>
    </xdr:from>
    <xdr:to>
      <xdr:col>20</xdr:col>
      <xdr:colOff>895350</xdr:colOff>
      <xdr:row>288</xdr:row>
      <xdr:rowOff>133350</xdr:rowOff>
    </xdr:to>
    <xdr:pic>
      <xdr:nvPicPr>
        <xdr:cNvPr id="31724" name="Picture 12" descr="C:\WINDOWS\TEMP\~0003946.gif">
          <a:extLst>
            <a:ext uri="{FF2B5EF4-FFF2-40B4-BE49-F238E27FC236}">
              <a16:creationId xmlns:a16="http://schemas.microsoft.com/office/drawing/2014/main" id="{00000000-0008-0000-1C00-0000EC7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2669500" y="5822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31725" name="Picture 13" descr="logoMTL">
          <a:extLst>
            <a:ext uri="{FF2B5EF4-FFF2-40B4-BE49-F238E27FC236}">
              <a16:creationId xmlns:a16="http://schemas.microsoft.com/office/drawing/2014/main" id="{00000000-0008-0000-1C00-0000ED7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31726" name="Picture 14" descr="logoMTL">
          <a:extLst>
            <a:ext uri="{FF2B5EF4-FFF2-40B4-BE49-F238E27FC236}">
              <a16:creationId xmlns:a16="http://schemas.microsoft.com/office/drawing/2014/main" id="{00000000-0008-0000-1C00-0000EE7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192</xdr:row>
      <xdr:rowOff>28575</xdr:rowOff>
    </xdr:from>
    <xdr:to>
      <xdr:col>19</xdr:col>
      <xdr:colOff>1171575</xdr:colOff>
      <xdr:row>193</xdr:row>
      <xdr:rowOff>152400</xdr:rowOff>
    </xdr:to>
    <xdr:pic>
      <xdr:nvPicPr>
        <xdr:cNvPr id="31727" name="Picture 15" descr="logoMTL">
          <a:extLst>
            <a:ext uri="{FF2B5EF4-FFF2-40B4-BE49-F238E27FC236}">
              <a16:creationId xmlns:a16="http://schemas.microsoft.com/office/drawing/2014/main" id="{00000000-0008-0000-1C00-0000EF7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8425" y="390620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287</xdr:row>
      <xdr:rowOff>0</xdr:rowOff>
    </xdr:from>
    <xdr:to>
      <xdr:col>19</xdr:col>
      <xdr:colOff>1228725</xdr:colOff>
      <xdr:row>288</xdr:row>
      <xdr:rowOff>123825</xdr:rowOff>
    </xdr:to>
    <xdr:pic>
      <xdr:nvPicPr>
        <xdr:cNvPr id="31728" name="Picture 16" descr="logoMTL">
          <a:extLst>
            <a:ext uri="{FF2B5EF4-FFF2-40B4-BE49-F238E27FC236}">
              <a16:creationId xmlns:a16="http://schemas.microsoft.com/office/drawing/2014/main" id="{00000000-0008-0000-1C00-0000F07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36050" y="581215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35601" name="Picture 1" descr="C:\WINDOWS\TEMP\Symbol.gif">
          <a:extLst>
            <a:ext uri="{FF2B5EF4-FFF2-40B4-BE49-F238E27FC236}">
              <a16:creationId xmlns:a16="http://schemas.microsoft.com/office/drawing/2014/main" id="{00000000-0008-0000-0200-0000118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5602" name="Picture 2" descr="C:\WINDOWS\TEMP\Symbol.gif">
          <a:extLst>
            <a:ext uri="{FF2B5EF4-FFF2-40B4-BE49-F238E27FC236}">
              <a16:creationId xmlns:a16="http://schemas.microsoft.com/office/drawing/2014/main" id="{00000000-0008-0000-0200-0000128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190</xdr:row>
      <xdr:rowOff>171450</xdr:rowOff>
    </xdr:from>
    <xdr:to>
      <xdr:col>1</xdr:col>
      <xdr:colOff>47625</xdr:colOff>
      <xdr:row>191</xdr:row>
      <xdr:rowOff>209550</xdr:rowOff>
    </xdr:to>
    <xdr:pic>
      <xdr:nvPicPr>
        <xdr:cNvPr id="35603" name="Picture 3" descr="C:\WINDOWS\TEMP\Symbol.gif">
          <a:extLst>
            <a:ext uri="{FF2B5EF4-FFF2-40B4-BE49-F238E27FC236}">
              <a16:creationId xmlns:a16="http://schemas.microsoft.com/office/drawing/2014/main" id="{00000000-0008-0000-0200-0000138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804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272</xdr:row>
      <xdr:rowOff>161925</xdr:rowOff>
    </xdr:from>
    <xdr:to>
      <xdr:col>1</xdr:col>
      <xdr:colOff>19050</xdr:colOff>
      <xdr:row>273</xdr:row>
      <xdr:rowOff>200025</xdr:rowOff>
    </xdr:to>
    <xdr:pic>
      <xdr:nvPicPr>
        <xdr:cNvPr id="35604" name="Picture 4" descr="C:\WINDOWS\TEMP\Symbol.gif">
          <a:extLst>
            <a:ext uri="{FF2B5EF4-FFF2-40B4-BE49-F238E27FC236}">
              <a16:creationId xmlns:a16="http://schemas.microsoft.com/office/drawing/2014/main" id="{00000000-0008-0000-0200-0000148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2831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272</xdr:row>
      <xdr:rowOff>123825</xdr:rowOff>
    </xdr:from>
    <xdr:to>
      <xdr:col>20</xdr:col>
      <xdr:colOff>1895475</xdr:colOff>
      <xdr:row>273</xdr:row>
      <xdr:rowOff>152400</xdr:rowOff>
    </xdr:to>
    <xdr:pic>
      <xdr:nvPicPr>
        <xdr:cNvPr id="35605" name="Picture 5" descr="C:\WINDOWS\TEMP\~0003946.gif">
          <a:extLst>
            <a:ext uri="{FF2B5EF4-FFF2-40B4-BE49-F238E27FC236}">
              <a16:creationId xmlns:a16="http://schemas.microsoft.com/office/drawing/2014/main" id="{00000000-0008-0000-0200-0000158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52450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35606" name="Picture 6" descr="C:\WINDOWS\TEMP\~0003946.gif">
          <a:extLst>
            <a:ext uri="{FF2B5EF4-FFF2-40B4-BE49-F238E27FC236}">
              <a16:creationId xmlns:a16="http://schemas.microsoft.com/office/drawing/2014/main" id="{00000000-0008-0000-0200-0000168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35607" name="Picture 7" descr="C:\WINDOWS\TEMP\~0003946.gif">
          <a:extLst>
            <a:ext uri="{FF2B5EF4-FFF2-40B4-BE49-F238E27FC236}">
              <a16:creationId xmlns:a16="http://schemas.microsoft.com/office/drawing/2014/main" id="{00000000-0008-0000-0200-0000178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35608" name="Picture 8" descr="C:\WINDOWS\TEMP\~0003946.gif">
          <a:extLst>
            <a:ext uri="{FF2B5EF4-FFF2-40B4-BE49-F238E27FC236}">
              <a16:creationId xmlns:a16="http://schemas.microsoft.com/office/drawing/2014/main" id="{00000000-0008-0000-0200-0000188B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35609" name="Picture 9" descr="C:\WINDOWS\TEMP\~0003946.gif">
          <a:extLst>
            <a:ext uri="{FF2B5EF4-FFF2-40B4-BE49-F238E27FC236}">
              <a16:creationId xmlns:a16="http://schemas.microsoft.com/office/drawing/2014/main" id="{00000000-0008-0000-0200-0000198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130</xdr:row>
      <xdr:rowOff>123825</xdr:rowOff>
    </xdr:from>
    <xdr:to>
      <xdr:col>20</xdr:col>
      <xdr:colOff>895350</xdr:colOff>
      <xdr:row>131</xdr:row>
      <xdr:rowOff>152400</xdr:rowOff>
    </xdr:to>
    <xdr:pic>
      <xdr:nvPicPr>
        <xdr:cNvPr id="35610" name="Picture 10" descr="C:\WINDOWS\TEMP\~0003946.gif">
          <a:extLst>
            <a:ext uri="{FF2B5EF4-FFF2-40B4-BE49-F238E27FC236}">
              <a16:creationId xmlns:a16="http://schemas.microsoft.com/office/drawing/2014/main" id="{00000000-0008-0000-0200-00001A8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190</xdr:row>
      <xdr:rowOff>104775</xdr:rowOff>
    </xdr:from>
    <xdr:to>
      <xdr:col>20</xdr:col>
      <xdr:colOff>809625</xdr:colOff>
      <xdr:row>191</xdr:row>
      <xdr:rowOff>133350</xdr:rowOff>
    </xdr:to>
    <xdr:pic>
      <xdr:nvPicPr>
        <xdr:cNvPr id="35611" name="Picture 11" descr="C:\WINDOWS\TEMP\~0003946.gif">
          <a:extLst>
            <a:ext uri="{FF2B5EF4-FFF2-40B4-BE49-F238E27FC236}">
              <a16:creationId xmlns:a16="http://schemas.microsoft.com/office/drawing/2014/main" id="{00000000-0008-0000-0200-00001B8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738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272</xdr:row>
      <xdr:rowOff>104775</xdr:rowOff>
    </xdr:from>
    <xdr:to>
      <xdr:col>20</xdr:col>
      <xdr:colOff>895350</xdr:colOff>
      <xdr:row>273</xdr:row>
      <xdr:rowOff>133350</xdr:rowOff>
    </xdr:to>
    <xdr:pic>
      <xdr:nvPicPr>
        <xdr:cNvPr id="35612" name="Picture 12" descr="C:\WINDOWS\TEMP\~0003946.gif">
          <a:extLst>
            <a:ext uri="{FF2B5EF4-FFF2-40B4-BE49-F238E27FC236}">
              <a16:creationId xmlns:a16="http://schemas.microsoft.com/office/drawing/2014/main" id="{00000000-0008-0000-0200-00001C8B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52259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35613" name="Picture 13" descr="logoMTL">
          <a:extLst>
            <a:ext uri="{FF2B5EF4-FFF2-40B4-BE49-F238E27FC236}">
              <a16:creationId xmlns:a16="http://schemas.microsoft.com/office/drawing/2014/main" id="{00000000-0008-0000-0200-00001D8B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35614" name="Picture 14" descr="logoMTL">
          <a:extLst>
            <a:ext uri="{FF2B5EF4-FFF2-40B4-BE49-F238E27FC236}">
              <a16:creationId xmlns:a16="http://schemas.microsoft.com/office/drawing/2014/main" id="{00000000-0008-0000-0200-00001E8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35615" name="Picture 15" descr="logoMTL">
          <a:extLst>
            <a:ext uri="{FF2B5EF4-FFF2-40B4-BE49-F238E27FC236}">
              <a16:creationId xmlns:a16="http://schemas.microsoft.com/office/drawing/2014/main" id="{00000000-0008-0000-0200-00001F8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272</xdr:row>
      <xdr:rowOff>0</xdr:rowOff>
    </xdr:from>
    <xdr:to>
      <xdr:col>19</xdr:col>
      <xdr:colOff>1228725</xdr:colOff>
      <xdr:row>273</xdr:row>
      <xdr:rowOff>123825</xdr:rowOff>
    </xdr:to>
    <xdr:pic>
      <xdr:nvPicPr>
        <xdr:cNvPr id="35616" name="Picture 16" descr="logoMTL">
          <a:extLst>
            <a:ext uri="{FF2B5EF4-FFF2-40B4-BE49-F238E27FC236}">
              <a16:creationId xmlns:a16="http://schemas.microsoft.com/office/drawing/2014/main" id="{00000000-0008-0000-0200-0000208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51211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32609" name="Picture 1" descr="C:\WINDOWS\TEMP\Symbol.gif">
          <a:extLst>
            <a:ext uri="{FF2B5EF4-FFF2-40B4-BE49-F238E27FC236}">
              <a16:creationId xmlns:a16="http://schemas.microsoft.com/office/drawing/2014/main" id="{00000000-0008-0000-1D00-0000617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2610" name="Picture 2" descr="C:\WINDOWS\TEMP\Symbol.gif">
          <a:extLst>
            <a:ext uri="{FF2B5EF4-FFF2-40B4-BE49-F238E27FC236}">
              <a16:creationId xmlns:a16="http://schemas.microsoft.com/office/drawing/2014/main" id="{00000000-0008-0000-1D00-0000627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32611" name="Picture 3" descr="C:\WINDOWS\TEMP\Symbol.gif">
          <a:extLst>
            <a:ext uri="{FF2B5EF4-FFF2-40B4-BE49-F238E27FC236}">
              <a16:creationId xmlns:a16="http://schemas.microsoft.com/office/drawing/2014/main" id="{00000000-0008-0000-1D00-0000637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32612" name="Picture 4" descr="C:\WINDOWS\TEMP\Symbol.gif">
          <a:extLst>
            <a:ext uri="{FF2B5EF4-FFF2-40B4-BE49-F238E27FC236}">
              <a16:creationId xmlns:a16="http://schemas.microsoft.com/office/drawing/2014/main" id="{00000000-0008-0000-1D00-0000647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288</xdr:row>
      <xdr:rowOff>123825</xdr:rowOff>
    </xdr:from>
    <xdr:to>
      <xdr:col>20</xdr:col>
      <xdr:colOff>1895475</xdr:colOff>
      <xdr:row>289</xdr:row>
      <xdr:rowOff>152400</xdr:rowOff>
    </xdr:to>
    <xdr:pic>
      <xdr:nvPicPr>
        <xdr:cNvPr id="32613" name="Picture 5" descr="C:\WINDOWS\TEMP\~0003946.gif">
          <a:extLst>
            <a:ext uri="{FF2B5EF4-FFF2-40B4-BE49-F238E27FC236}">
              <a16:creationId xmlns:a16="http://schemas.microsoft.com/office/drawing/2014/main" id="{00000000-0008-0000-1D00-0000657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32614" name="Picture 6" descr="C:\WINDOWS\TEMP\~0003946.gif">
          <a:extLst>
            <a:ext uri="{FF2B5EF4-FFF2-40B4-BE49-F238E27FC236}">
              <a16:creationId xmlns:a16="http://schemas.microsoft.com/office/drawing/2014/main" id="{00000000-0008-0000-1D00-0000667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32615" name="Picture 7" descr="C:\WINDOWS\TEMP\~0003946.gif">
          <a:extLst>
            <a:ext uri="{FF2B5EF4-FFF2-40B4-BE49-F238E27FC236}">
              <a16:creationId xmlns:a16="http://schemas.microsoft.com/office/drawing/2014/main" id="{00000000-0008-0000-1D00-0000677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32616" name="Picture 8" descr="C:\WINDOWS\TEMP\~0003946.gif">
          <a:extLst>
            <a:ext uri="{FF2B5EF4-FFF2-40B4-BE49-F238E27FC236}">
              <a16:creationId xmlns:a16="http://schemas.microsoft.com/office/drawing/2014/main" id="{00000000-0008-0000-1D00-0000687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32617" name="Picture 9" descr="C:\WINDOWS\TEMP\~0003946.gif">
          <a:extLst>
            <a:ext uri="{FF2B5EF4-FFF2-40B4-BE49-F238E27FC236}">
              <a16:creationId xmlns:a16="http://schemas.microsoft.com/office/drawing/2014/main" id="{00000000-0008-0000-1D00-0000697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32618" name="Picture 10" descr="C:\WINDOWS\TEMP\~0003946.gif">
          <a:extLst>
            <a:ext uri="{FF2B5EF4-FFF2-40B4-BE49-F238E27FC236}">
              <a16:creationId xmlns:a16="http://schemas.microsoft.com/office/drawing/2014/main" id="{00000000-0008-0000-1D00-00006A7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32619" name="Picture 11" descr="C:\WINDOWS\TEMP\~0003946.gif">
          <a:extLst>
            <a:ext uri="{FF2B5EF4-FFF2-40B4-BE49-F238E27FC236}">
              <a16:creationId xmlns:a16="http://schemas.microsoft.com/office/drawing/2014/main" id="{00000000-0008-0000-1D00-00006B7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288</xdr:row>
      <xdr:rowOff>104775</xdr:rowOff>
    </xdr:from>
    <xdr:to>
      <xdr:col>20</xdr:col>
      <xdr:colOff>895350</xdr:colOff>
      <xdr:row>289</xdr:row>
      <xdr:rowOff>133350</xdr:rowOff>
    </xdr:to>
    <xdr:pic>
      <xdr:nvPicPr>
        <xdr:cNvPr id="32620" name="Picture 12" descr="C:\WINDOWS\TEMP\~0003946.gif">
          <a:extLst>
            <a:ext uri="{FF2B5EF4-FFF2-40B4-BE49-F238E27FC236}">
              <a16:creationId xmlns:a16="http://schemas.microsoft.com/office/drawing/2014/main" id="{00000000-0008-0000-1D00-00006C7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32621" name="Picture 13" descr="logoMTL">
          <a:extLst>
            <a:ext uri="{FF2B5EF4-FFF2-40B4-BE49-F238E27FC236}">
              <a16:creationId xmlns:a16="http://schemas.microsoft.com/office/drawing/2014/main" id="{00000000-0008-0000-1D00-00006D7F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32622" name="Picture 14" descr="logoMTL">
          <a:extLst>
            <a:ext uri="{FF2B5EF4-FFF2-40B4-BE49-F238E27FC236}">
              <a16:creationId xmlns:a16="http://schemas.microsoft.com/office/drawing/2014/main" id="{00000000-0008-0000-1D00-00006E7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32623" name="Picture 15" descr="logoMTL">
          <a:extLst>
            <a:ext uri="{FF2B5EF4-FFF2-40B4-BE49-F238E27FC236}">
              <a16:creationId xmlns:a16="http://schemas.microsoft.com/office/drawing/2014/main" id="{00000000-0008-0000-1D00-00006F7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288</xdr:row>
      <xdr:rowOff>0</xdr:rowOff>
    </xdr:from>
    <xdr:to>
      <xdr:col>19</xdr:col>
      <xdr:colOff>1228725</xdr:colOff>
      <xdr:row>289</xdr:row>
      <xdr:rowOff>123825</xdr:rowOff>
    </xdr:to>
    <xdr:pic>
      <xdr:nvPicPr>
        <xdr:cNvPr id="32624" name="Picture 16" descr="logoMTL">
          <a:extLst>
            <a:ext uri="{FF2B5EF4-FFF2-40B4-BE49-F238E27FC236}">
              <a16:creationId xmlns:a16="http://schemas.microsoft.com/office/drawing/2014/main" id="{00000000-0008-0000-1D00-0000707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58945" name="Picture 1" descr="C:\WINDOWS\TEMP\Symbol.gif">
          <a:extLst>
            <a:ext uri="{FF2B5EF4-FFF2-40B4-BE49-F238E27FC236}">
              <a16:creationId xmlns:a16="http://schemas.microsoft.com/office/drawing/2014/main" id="{00000000-0008-0000-1E00-000041E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58946" name="Picture 2" descr="C:\WINDOWS\TEMP\Symbol.gif">
          <a:extLst>
            <a:ext uri="{FF2B5EF4-FFF2-40B4-BE49-F238E27FC236}">
              <a16:creationId xmlns:a16="http://schemas.microsoft.com/office/drawing/2014/main" id="{00000000-0008-0000-1E00-000042E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58947" name="Picture 3" descr="C:\WINDOWS\TEMP\Symbol.gif">
          <a:extLst>
            <a:ext uri="{FF2B5EF4-FFF2-40B4-BE49-F238E27FC236}">
              <a16:creationId xmlns:a16="http://schemas.microsoft.com/office/drawing/2014/main" id="{00000000-0008-0000-1E00-000043E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8948" name="Picture 4" descr="C:\WINDOWS\TEMP\Symbol.gif">
          <a:extLst>
            <a:ext uri="{FF2B5EF4-FFF2-40B4-BE49-F238E27FC236}">
              <a16:creationId xmlns:a16="http://schemas.microsoft.com/office/drawing/2014/main" id="{00000000-0008-0000-1E00-000044E6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288</xdr:row>
      <xdr:rowOff>123825</xdr:rowOff>
    </xdr:from>
    <xdr:to>
      <xdr:col>20</xdr:col>
      <xdr:colOff>1895475</xdr:colOff>
      <xdr:row>289</xdr:row>
      <xdr:rowOff>152400</xdr:rowOff>
    </xdr:to>
    <xdr:pic>
      <xdr:nvPicPr>
        <xdr:cNvPr id="58949" name="Picture 5" descr="C:\WINDOWS\TEMP\~0003946.gif">
          <a:extLst>
            <a:ext uri="{FF2B5EF4-FFF2-40B4-BE49-F238E27FC236}">
              <a16:creationId xmlns:a16="http://schemas.microsoft.com/office/drawing/2014/main" id="{00000000-0008-0000-1E00-000045E6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58950" name="Picture 6" descr="C:\WINDOWS\TEMP\~0003946.gif">
          <a:extLst>
            <a:ext uri="{FF2B5EF4-FFF2-40B4-BE49-F238E27FC236}">
              <a16:creationId xmlns:a16="http://schemas.microsoft.com/office/drawing/2014/main" id="{00000000-0008-0000-1E00-000046E6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58951" name="Picture 7" descr="C:\WINDOWS\TEMP\~0003946.gif">
          <a:extLst>
            <a:ext uri="{FF2B5EF4-FFF2-40B4-BE49-F238E27FC236}">
              <a16:creationId xmlns:a16="http://schemas.microsoft.com/office/drawing/2014/main" id="{00000000-0008-0000-1E00-000047E6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8952" name="Picture 8" descr="C:\WINDOWS\TEMP\~0003946.gif">
          <a:extLst>
            <a:ext uri="{FF2B5EF4-FFF2-40B4-BE49-F238E27FC236}">
              <a16:creationId xmlns:a16="http://schemas.microsoft.com/office/drawing/2014/main" id="{00000000-0008-0000-1E00-000048E6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58953" name="Picture 9" descr="C:\WINDOWS\TEMP\~0003946.gif">
          <a:extLst>
            <a:ext uri="{FF2B5EF4-FFF2-40B4-BE49-F238E27FC236}">
              <a16:creationId xmlns:a16="http://schemas.microsoft.com/office/drawing/2014/main" id="{00000000-0008-0000-1E00-000049E60000}"/>
            </a:ext>
          </a:extLst>
        </xdr:cNvPr>
        <xdr:cNvPicPr>
          <a:picLocks noChangeAspect="1" noChangeArrowheads="1"/>
        </xdr:cNvPicPr>
      </xdr:nvPicPr>
      <xdr:blipFill>
        <a:blip xmlns:r="http://schemas.openxmlformats.org/officeDocument/2006/relationships" r:embed="rId4" r:link="rId3"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58954" name="Picture 10" descr="C:\WINDOWS\TEMP\~0003946.gif">
          <a:extLst>
            <a:ext uri="{FF2B5EF4-FFF2-40B4-BE49-F238E27FC236}">
              <a16:creationId xmlns:a16="http://schemas.microsoft.com/office/drawing/2014/main" id="{00000000-0008-0000-1E00-00004AE60000}"/>
            </a:ext>
          </a:extLst>
        </xdr:cNvPr>
        <xdr:cNvPicPr>
          <a:picLocks noChangeAspect="1" noChangeArrowheads="1"/>
        </xdr:cNvPicPr>
      </xdr:nvPicPr>
      <xdr:blipFill>
        <a:blip xmlns:r="http://schemas.openxmlformats.org/officeDocument/2006/relationships" r:embed="rId4" r:link="rId3"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58955" name="Picture 11" descr="C:\WINDOWS\TEMP\~0003946.gif">
          <a:extLst>
            <a:ext uri="{FF2B5EF4-FFF2-40B4-BE49-F238E27FC236}">
              <a16:creationId xmlns:a16="http://schemas.microsoft.com/office/drawing/2014/main" id="{00000000-0008-0000-1E00-00004BE60000}"/>
            </a:ext>
          </a:extLst>
        </xdr:cNvPr>
        <xdr:cNvPicPr>
          <a:picLocks noChangeAspect="1" noChangeArrowheads="1"/>
        </xdr:cNvPicPr>
      </xdr:nvPicPr>
      <xdr:blipFill>
        <a:blip xmlns:r="http://schemas.openxmlformats.org/officeDocument/2006/relationships" r:embed="rId4" r:link="rId3"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288</xdr:row>
      <xdr:rowOff>104775</xdr:rowOff>
    </xdr:from>
    <xdr:to>
      <xdr:col>20</xdr:col>
      <xdr:colOff>895350</xdr:colOff>
      <xdr:row>289</xdr:row>
      <xdr:rowOff>133350</xdr:rowOff>
    </xdr:to>
    <xdr:pic>
      <xdr:nvPicPr>
        <xdr:cNvPr id="58956" name="Picture 12" descr="C:\WINDOWS\TEMP\~0003946.gif">
          <a:extLst>
            <a:ext uri="{FF2B5EF4-FFF2-40B4-BE49-F238E27FC236}">
              <a16:creationId xmlns:a16="http://schemas.microsoft.com/office/drawing/2014/main" id="{00000000-0008-0000-1E00-00004CE60000}"/>
            </a:ext>
          </a:extLst>
        </xdr:cNvPr>
        <xdr:cNvPicPr>
          <a:picLocks noChangeAspect="1" noChangeArrowheads="1"/>
        </xdr:cNvPicPr>
      </xdr:nvPicPr>
      <xdr:blipFill>
        <a:blip xmlns:r="http://schemas.openxmlformats.org/officeDocument/2006/relationships" r:embed="rId4" r:link="rId3"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58957" name="Picture 13" descr="logoMTL">
          <a:extLst>
            <a:ext uri="{FF2B5EF4-FFF2-40B4-BE49-F238E27FC236}">
              <a16:creationId xmlns:a16="http://schemas.microsoft.com/office/drawing/2014/main" id="{00000000-0008-0000-1E00-00004DE6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58958" name="Picture 14" descr="logoMTL">
          <a:extLst>
            <a:ext uri="{FF2B5EF4-FFF2-40B4-BE49-F238E27FC236}">
              <a16:creationId xmlns:a16="http://schemas.microsoft.com/office/drawing/2014/main" id="{00000000-0008-0000-1E00-00004EE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58959" name="Picture 15" descr="logoMTL">
          <a:extLst>
            <a:ext uri="{FF2B5EF4-FFF2-40B4-BE49-F238E27FC236}">
              <a16:creationId xmlns:a16="http://schemas.microsoft.com/office/drawing/2014/main" id="{00000000-0008-0000-1E00-00004FE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288</xdr:row>
      <xdr:rowOff>0</xdr:rowOff>
    </xdr:from>
    <xdr:to>
      <xdr:col>19</xdr:col>
      <xdr:colOff>1228725</xdr:colOff>
      <xdr:row>289</xdr:row>
      <xdr:rowOff>123825</xdr:rowOff>
    </xdr:to>
    <xdr:pic>
      <xdr:nvPicPr>
        <xdr:cNvPr id="58960" name="Picture 16" descr="logoMTL">
          <a:extLst>
            <a:ext uri="{FF2B5EF4-FFF2-40B4-BE49-F238E27FC236}">
              <a16:creationId xmlns:a16="http://schemas.microsoft.com/office/drawing/2014/main" id="{00000000-0008-0000-1E00-000050E6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61777" name="Picture 1" descr="C:\WINDOWS\TEMP\Symbol.gif">
          <a:extLst>
            <a:ext uri="{FF2B5EF4-FFF2-40B4-BE49-F238E27FC236}">
              <a16:creationId xmlns:a16="http://schemas.microsoft.com/office/drawing/2014/main" id="{00000000-0008-0000-1F00-000051F1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61778" name="Picture 2" descr="C:\WINDOWS\TEMP\Symbol.gif">
          <a:extLst>
            <a:ext uri="{FF2B5EF4-FFF2-40B4-BE49-F238E27FC236}">
              <a16:creationId xmlns:a16="http://schemas.microsoft.com/office/drawing/2014/main" id="{00000000-0008-0000-1F00-000052F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1779" name="Picture 3" descr="C:\WINDOWS\TEMP\Symbol.gif">
          <a:extLst>
            <a:ext uri="{FF2B5EF4-FFF2-40B4-BE49-F238E27FC236}">
              <a16:creationId xmlns:a16="http://schemas.microsoft.com/office/drawing/2014/main" id="{00000000-0008-0000-1F00-000053F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61780" name="Picture 4" descr="C:\WINDOWS\TEMP\Symbol.gif">
          <a:extLst>
            <a:ext uri="{FF2B5EF4-FFF2-40B4-BE49-F238E27FC236}">
              <a16:creationId xmlns:a16="http://schemas.microsoft.com/office/drawing/2014/main" id="{00000000-0008-0000-1F00-000054F1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288</xdr:row>
      <xdr:rowOff>123825</xdr:rowOff>
    </xdr:from>
    <xdr:to>
      <xdr:col>20</xdr:col>
      <xdr:colOff>1895475</xdr:colOff>
      <xdr:row>289</xdr:row>
      <xdr:rowOff>152400</xdr:rowOff>
    </xdr:to>
    <xdr:pic>
      <xdr:nvPicPr>
        <xdr:cNvPr id="61781" name="Picture 5" descr="C:\WINDOWS\TEMP\~0003946.gif">
          <a:extLst>
            <a:ext uri="{FF2B5EF4-FFF2-40B4-BE49-F238E27FC236}">
              <a16:creationId xmlns:a16="http://schemas.microsoft.com/office/drawing/2014/main" id="{00000000-0008-0000-1F00-000055F1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61782" name="Picture 6" descr="C:\WINDOWS\TEMP\~0003946.gif">
          <a:extLst>
            <a:ext uri="{FF2B5EF4-FFF2-40B4-BE49-F238E27FC236}">
              <a16:creationId xmlns:a16="http://schemas.microsoft.com/office/drawing/2014/main" id="{00000000-0008-0000-1F00-000056F1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61783" name="Picture 7" descr="C:\WINDOWS\TEMP\~0003946.gif">
          <a:extLst>
            <a:ext uri="{FF2B5EF4-FFF2-40B4-BE49-F238E27FC236}">
              <a16:creationId xmlns:a16="http://schemas.microsoft.com/office/drawing/2014/main" id="{00000000-0008-0000-1F00-000057F1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61784" name="Picture 8" descr="C:\WINDOWS\TEMP\~0003946.gif">
          <a:extLst>
            <a:ext uri="{FF2B5EF4-FFF2-40B4-BE49-F238E27FC236}">
              <a16:creationId xmlns:a16="http://schemas.microsoft.com/office/drawing/2014/main" id="{00000000-0008-0000-1F00-000058F1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61785" name="Picture 9" descr="C:\WINDOWS\TEMP\~0003946.gif">
          <a:extLst>
            <a:ext uri="{FF2B5EF4-FFF2-40B4-BE49-F238E27FC236}">
              <a16:creationId xmlns:a16="http://schemas.microsoft.com/office/drawing/2014/main" id="{00000000-0008-0000-1F00-000059F1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61786" name="Picture 10" descr="C:\WINDOWS\TEMP\~0003946.gif">
          <a:extLst>
            <a:ext uri="{FF2B5EF4-FFF2-40B4-BE49-F238E27FC236}">
              <a16:creationId xmlns:a16="http://schemas.microsoft.com/office/drawing/2014/main" id="{00000000-0008-0000-1F00-00005AF1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61787" name="Picture 11" descr="C:\WINDOWS\TEMP\~0003946.gif">
          <a:extLst>
            <a:ext uri="{FF2B5EF4-FFF2-40B4-BE49-F238E27FC236}">
              <a16:creationId xmlns:a16="http://schemas.microsoft.com/office/drawing/2014/main" id="{00000000-0008-0000-1F00-00005BF1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288</xdr:row>
      <xdr:rowOff>104775</xdr:rowOff>
    </xdr:from>
    <xdr:to>
      <xdr:col>20</xdr:col>
      <xdr:colOff>895350</xdr:colOff>
      <xdr:row>289</xdr:row>
      <xdr:rowOff>133350</xdr:rowOff>
    </xdr:to>
    <xdr:pic>
      <xdr:nvPicPr>
        <xdr:cNvPr id="61788" name="Picture 12" descr="C:\WINDOWS\TEMP\~0003946.gif">
          <a:extLst>
            <a:ext uri="{FF2B5EF4-FFF2-40B4-BE49-F238E27FC236}">
              <a16:creationId xmlns:a16="http://schemas.microsoft.com/office/drawing/2014/main" id="{00000000-0008-0000-1F00-00005CF1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61789" name="Picture 13" descr="logoMTL">
          <a:extLst>
            <a:ext uri="{FF2B5EF4-FFF2-40B4-BE49-F238E27FC236}">
              <a16:creationId xmlns:a16="http://schemas.microsoft.com/office/drawing/2014/main" id="{00000000-0008-0000-1F00-00005DF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61790" name="Picture 14" descr="logoMTL">
          <a:extLst>
            <a:ext uri="{FF2B5EF4-FFF2-40B4-BE49-F238E27FC236}">
              <a16:creationId xmlns:a16="http://schemas.microsoft.com/office/drawing/2014/main" id="{00000000-0008-0000-1F00-00005EF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61791" name="Picture 15" descr="logoMTL">
          <a:extLst>
            <a:ext uri="{FF2B5EF4-FFF2-40B4-BE49-F238E27FC236}">
              <a16:creationId xmlns:a16="http://schemas.microsoft.com/office/drawing/2014/main" id="{00000000-0008-0000-1F00-00005FF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288</xdr:row>
      <xdr:rowOff>0</xdr:rowOff>
    </xdr:from>
    <xdr:to>
      <xdr:col>19</xdr:col>
      <xdr:colOff>1228725</xdr:colOff>
      <xdr:row>289</xdr:row>
      <xdr:rowOff>123825</xdr:rowOff>
    </xdr:to>
    <xdr:pic>
      <xdr:nvPicPr>
        <xdr:cNvPr id="61792" name="Picture 16" descr="logoMTL">
          <a:extLst>
            <a:ext uri="{FF2B5EF4-FFF2-40B4-BE49-F238E27FC236}">
              <a16:creationId xmlns:a16="http://schemas.microsoft.com/office/drawing/2014/main" id="{00000000-0008-0000-1F00-000060F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63617" name="Picture 1" descr="C:\WINDOWS\TEMP\Symbol.gif">
          <a:extLst>
            <a:ext uri="{FF2B5EF4-FFF2-40B4-BE49-F238E27FC236}">
              <a16:creationId xmlns:a16="http://schemas.microsoft.com/office/drawing/2014/main" id="{00000000-0008-0000-2000-000081F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63618" name="Picture 2" descr="C:\WINDOWS\TEMP\Symbol.gif">
          <a:extLst>
            <a:ext uri="{FF2B5EF4-FFF2-40B4-BE49-F238E27FC236}">
              <a16:creationId xmlns:a16="http://schemas.microsoft.com/office/drawing/2014/main" id="{00000000-0008-0000-2000-000082F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63619" name="Picture 3" descr="C:\WINDOWS\TEMP\Symbol.gif">
          <a:extLst>
            <a:ext uri="{FF2B5EF4-FFF2-40B4-BE49-F238E27FC236}">
              <a16:creationId xmlns:a16="http://schemas.microsoft.com/office/drawing/2014/main" id="{00000000-0008-0000-2000-000083F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63620" name="Picture 4" descr="C:\WINDOWS\TEMP\Symbol.gif">
          <a:extLst>
            <a:ext uri="{FF2B5EF4-FFF2-40B4-BE49-F238E27FC236}">
              <a16:creationId xmlns:a16="http://schemas.microsoft.com/office/drawing/2014/main" id="{00000000-0008-0000-2000-000084F8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288</xdr:row>
      <xdr:rowOff>123825</xdr:rowOff>
    </xdr:from>
    <xdr:to>
      <xdr:col>20</xdr:col>
      <xdr:colOff>1895475</xdr:colOff>
      <xdr:row>289</xdr:row>
      <xdr:rowOff>152400</xdr:rowOff>
    </xdr:to>
    <xdr:pic>
      <xdr:nvPicPr>
        <xdr:cNvPr id="63621" name="Picture 5" descr="C:\WINDOWS\TEMP\~0003946.gif">
          <a:extLst>
            <a:ext uri="{FF2B5EF4-FFF2-40B4-BE49-F238E27FC236}">
              <a16:creationId xmlns:a16="http://schemas.microsoft.com/office/drawing/2014/main" id="{00000000-0008-0000-2000-000085F8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63622" name="Picture 6" descr="C:\WINDOWS\TEMP\~0003946.gif">
          <a:extLst>
            <a:ext uri="{FF2B5EF4-FFF2-40B4-BE49-F238E27FC236}">
              <a16:creationId xmlns:a16="http://schemas.microsoft.com/office/drawing/2014/main" id="{00000000-0008-0000-2000-000086F8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63623" name="Picture 7" descr="C:\WINDOWS\TEMP\~0003946.gif">
          <a:extLst>
            <a:ext uri="{FF2B5EF4-FFF2-40B4-BE49-F238E27FC236}">
              <a16:creationId xmlns:a16="http://schemas.microsoft.com/office/drawing/2014/main" id="{00000000-0008-0000-2000-000087F8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63624" name="Picture 8" descr="C:\WINDOWS\TEMP\~0003946.gif">
          <a:extLst>
            <a:ext uri="{FF2B5EF4-FFF2-40B4-BE49-F238E27FC236}">
              <a16:creationId xmlns:a16="http://schemas.microsoft.com/office/drawing/2014/main" id="{00000000-0008-0000-2000-000088F8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63625" name="Picture 9" descr="C:\WINDOWS\TEMP\~0003946.gif">
          <a:extLst>
            <a:ext uri="{FF2B5EF4-FFF2-40B4-BE49-F238E27FC236}">
              <a16:creationId xmlns:a16="http://schemas.microsoft.com/office/drawing/2014/main" id="{00000000-0008-0000-2000-000089F8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63626" name="Picture 10" descr="C:\WINDOWS\TEMP\~0003946.gif">
          <a:extLst>
            <a:ext uri="{FF2B5EF4-FFF2-40B4-BE49-F238E27FC236}">
              <a16:creationId xmlns:a16="http://schemas.microsoft.com/office/drawing/2014/main" id="{00000000-0008-0000-2000-00008AF8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63627" name="Picture 11" descr="C:\WINDOWS\TEMP\~0003946.gif">
          <a:extLst>
            <a:ext uri="{FF2B5EF4-FFF2-40B4-BE49-F238E27FC236}">
              <a16:creationId xmlns:a16="http://schemas.microsoft.com/office/drawing/2014/main" id="{00000000-0008-0000-2000-00008BF8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288</xdr:row>
      <xdr:rowOff>104775</xdr:rowOff>
    </xdr:from>
    <xdr:to>
      <xdr:col>20</xdr:col>
      <xdr:colOff>895350</xdr:colOff>
      <xdr:row>289</xdr:row>
      <xdr:rowOff>133350</xdr:rowOff>
    </xdr:to>
    <xdr:pic>
      <xdr:nvPicPr>
        <xdr:cNvPr id="63628" name="Picture 12" descr="C:\WINDOWS\TEMP\~0003946.gif">
          <a:extLst>
            <a:ext uri="{FF2B5EF4-FFF2-40B4-BE49-F238E27FC236}">
              <a16:creationId xmlns:a16="http://schemas.microsoft.com/office/drawing/2014/main" id="{00000000-0008-0000-2000-00008CF8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63629" name="Picture 13" descr="logoMTL">
          <a:extLst>
            <a:ext uri="{FF2B5EF4-FFF2-40B4-BE49-F238E27FC236}">
              <a16:creationId xmlns:a16="http://schemas.microsoft.com/office/drawing/2014/main" id="{00000000-0008-0000-2000-00008DF8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63630" name="Picture 14" descr="logoMTL">
          <a:extLst>
            <a:ext uri="{FF2B5EF4-FFF2-40B4-BE49-F238E27FC236}">
              <a16:creationId xmlns:a16="http://schemas.microsoft.com/office/drawing/2014/main" id="{00000000-0008-0000-2000-00008EF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63631" name="Picture 15" descr="logoMTL">
          <a:extLst>
            <a:ext uri="{FF2B5EF4-FFF2-40B4-BE49-F238E27FC236}">
              <a16:creationId xmlns:a16="http://schemas.microsoft.com/office/drawing/2014/main" id="{00000000-0008-0000-2000-00008FF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288</xdr:row>
      <xdr:rowOff>0</xdr:rowOff>
    </xdr:from>
    <xdr:to>
      <xdr:col>19</xdr:col>
      <xdr:colOff>1228725</xdr:colOff>
      <xdr:row>289</xdr:row>
      <xdr:rowOff>123825</xdr:rowOff>
    </xdr:to>
    <xdr:pic>
      <xdr:nvPicPr>
        <xdr:cNvPr id="63632" name="Picture 16" descr="logoMTL">
          <a:extLst>
            <a:ext uri="{FF2B5EF4-FFF2-40B4-BE49-F238E27FC236}">
              <a16:creationId xmlns:a16="http://schemas.microsoft.com/office/drawing/2014/main" id="{00000000-0008-0000-2000-000090F8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2" name="Picture 1" descr="C:\WINDOWS\TEMP\Symbol.gif">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 name="Picture 2" descr="C:\WINDOWS\TEMP\Symbol.gif">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 name="Picture 3" descr="C:\WINDOWS\TEMP\Symbol.gif">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288</xdr:row>
      <xdr:rowOff>123825</xdr:rowOff>
    </xdr:from>
    <xdr:to>
      <xdr:col>20</xdr:col>
      <xdr:colOff>1895475</xdr:colOff>
      <xdr:row>289</xdr:row>
      <xdr:rowOff>152400</xdr:rowOff>
    </xdr:to>
    <xdr:pic>
      <xdr:nvPicPr>
        <xdr:cNvPr id="6" name="Picture 5" descr="C:\WINDOWS\TEMP\~0003946.gif">
          <a:extLst>
            <a:ext uri="{FF2B5EF4-FFF2-40B4-BE49-F238E27FC236}">
              <a16:creationId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7" name="Picture 6" descr="C:\WINDOWS\TEMP\~0003946.gif">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8" name="Picture 7" descr="C:\WINDOWS\TEMP\~0003946.gif">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9" name="Picture 8" descr="C:\WINDOWS\TEMP\~0003946.gif">
          <a:extLst>
            <a:ext uri="{FF2B5EF4-FFF2-40B4-BE49-F238E27FC236}">
              <a16:creationId xmlns:a16="http://schemas.microsoft.com/office/drawing/2014/main" id="{00000000-0008-0000-21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10" name="Picture 9" descr="C:\WINDOWS\TEMP\~0003946.gif">
          <a:extLst>
            <a:ext uri="{FF2B5EF4-FFF2-40B4-BE49-F238E27FC236}">
              <a16:creationId xmlns:a16="http://schemas.microsoft.com/office/drawing/2014/main" id="{00000000-0008-0000-21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11" name="Picture 10" descr="C:\WINDOWS\TEMP\~0003946.gif">
          <a:extLst>
            <a:ext uri="{FF2B5EF4-FFF2-40B4-BE49-F238E27FC236}">
              <a16:creationId xmlns:a16="http://schemas.microsoft.com/office/drawing/2014/main" id="{00000000-0008-0000-21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12" name="Picture 11" descr="C:\WINDOWS\TEMP\~0003946.gif">
          <a:extLst>
            <a:ext uri="{FF2B5EF4-FFF2-40B4-BE49-F238E27FC236}">
              <a16:creationId xmlns:a16="http://schemas.microsoft.com/office/drawing/2014/main" id="{00000000-0008-0000-21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288</xdr:row>
      <xdr:rowOff>104775</xdr:rowOff>
    </xdr:from>
    <xdr:to>
      <xdr:col>20</xdr:col>
      <xdr:colOff>895350</xdr:colOff>
      <xdr:row>289</xdr:row>
      <xdr:rowOff>133350</xdr:rowOff>
    </xdr:to>
    <xdr:pic>
      <xdr:nvPicPr>
        <xdr:cNvPr id="13" name="Picture 12" descr="C:\WINDOWS\TEMP\~0003946.gif">
          <a:extLst>
            <a:ext uri="{FF2B5EF4-FFF2-40B4-BE49-F238E27FC236}">
              <a16:creationId xmlns:a16="http://schemas.microsoft.com/office/drawing/2014/main" id="{00000000-0008-0000-21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14" name="Picture 13" descr="logoMTL">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15" name="Picture 14" descr="logoMTL">
          <a:extLst>
            <a:ext uri="{FF2B5EF4-FFF2-40B4-BE49-F238E27FC236}">
              <a16:creationId xmlns:a16="http://schemas.microsoft.com/office/drawing/2014/main" id="{00000000-0008-0000-21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16" name="Picture 15" descr="logoMTL">
          <a:extLst>
            <a:ext uri="{FF2B5EF4-FFF2-40B4-BE49-F238E27FC236}">
              <a16:creationId xmlns:a16="http://schemas.microsoft.com/office/drawing/2014/main" id="{00000000-0008-0000-21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288</xdr:row>
      <xdr:rowOff>0</xdr:rowOff>
    </xdr:from>
    <xdr:to>
      <xdr:col>19</xdr:col>
      <xdr:colOff>1228725</xdr:colOff>
      <xdr:row>289</xdr:row>
      <xdr:rowOff>123825</xdr:rowOff>
    </xdr:to>
    <xdr:pic>
      <xdr:nvPicPr>
        <xdr:cNvPr id="17" name="Picture 16" descr="logoMTL">
          <a:extLst>
            <a:ext uri="{FF2B5EF4-FFF2-40B4-BE49-F238E27FC236}">
              <a16:creationId xmlns:a16="http://schemas.microsoft.com/office/drawing/2014/main" id="{00000000-0008-0000-21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2" name="Picture 1" descr="C:\WINDOWS\TEMP\Symbol.gif">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 name="Picture 2" descr="C:\WINDOWS\TEMP\Symbol.gif">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 name="Picture 3" descr="C:\WINDOWS\TEMP\Symbol.gif">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288</xdr:row>
      <xdr:rowOff>123825</xdr:rowOff>
    </xdr:from>
    <xdr:to>
      <xdr:col>20</xdr:col>
      <xdr:colOff>1895475</xdr:colOff>
      <xdr:row>289</xdr:row>
      <xdr:rowOff>152400</xdr:rowOff>
    </xdr:to>
    <xdr:pic>
      <xdr:nvPicPr>
        <xdr:cNvPr id="6" name="Picture 5" descr="C:\WINDOWS\TEMP\~0003946.gif">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7" name="Picture 6" descr="C:\WINDOWS\TEMP\~0003946.gif">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8" name="Picture 7" descr="C:\WINDOWS\TEMP\~0003946.gif">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9" name="Picture 8" descr="C:\WINDOWS\TEMP\~0003946.gif">
          <a:extLst>
            <a:ext uri="{FF2B5EF4-FFF2-40B4-BE49-F238E27FC236}">
              <a16:creationId xmlns:a16="http://schemas.microsoft.com/office/drawing/2014/main" id="{00000000-0008-0000-22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10" name="Picture 9" descr="C:\WINDOWS\TEMP\~0003946.gif">
          <a:extLst>
            <a:ext uri="{FF2B5EF4-FFF2-40B4-BE49-F238E27FC236}">
              <a16:creationId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11" name="Picture 10" descr="C:\WINDOWS\TEMP\~0003946.gif">
          <a:extLst>
            <a:ext uri="{FF2B5EF4-FFF2-40B4-BE49-F238E27FC236}">
              <a16:creationId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12" name="Picture 11" descr="C:\WINDOWS\TEMP\~0003946.gif">
          <a:extLst>
            <a:ext uri="{FF2B5EF4-FFF2-40B4-BE49-F238E27FC236}">
              <a16:creationId xmlns:a16="http://schemas.microsoft.com/office/drawing/2014/main" id="{00000000-0008-0000-22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288</xdr:row>
      <xdr:rowOff>104775</xdr:rowOff>
    </xdr:from>
    <xdr:to>
      <xdr:col>20</xdr:col>
      <xdr:colOff>895350</xdr:colOff>
      <xdr:row>289</xdr:row>
      <xdr:rowOff>133350</xdr:rowOff>
    </xdr:to>
    <xdr:pic>
      <xdr:nvPicPr>
        <xdr:cNvPr id="13" name="Picture 12" descr="C:\WINDOWS\TEMP\~0003946.gif">
          <a:extLst>
            <a:ext uri="{FF2B5EF4-FFF2-40B4-BE49-F238E27FC236}">
              <a16:creationId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14" name="Picture 13" descr="logoMTL">
          <a:extLst>
            <a:ext uri="{FF2B5EF4-FFF2-40B4-BE49-F238E27FC236}">
              <a16:creationId xmlns:a16="http://schemas.microsoft.com/office/drawing/2014/main" id="{00000000-0008-0000-22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15" name="Picture 14" descr="logoMTL">
          <a:extLst>
            <a:ext uri="{FF2B5EF4-FFF2-40B4-BE49-F238E27FC236}">
              <a16:creationId xmlns:a16="http://schemas.microsoft.com/office/drawing/2014/main" id="{00000000-0008-0000-22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16" name="Picture 15" descr="logoMTL">
          <a:extLst>
            <a:ext uri="{FF2B5EF4-FFF2-40B4-BE49-F238E27FC236}">
              <a16:creationId xmlns:a16="http://schemas.microsoft.com/office/drawing/2014/main" id="{00000000-0008-0000-22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288</xdr:row>
      <xdr:rowOff>0</xdr:rowOff>
    </xdr:from>
    <xdr:to>
      <xdr:col>19</xdr:col>
      <xdr:colOff>1228725</xdr:colOff>
      <xdr:row>289</xdr:row>
      <xdr:rowOff>123825</xdr:rowOff>
    </xdr:to>
    <xdr:pic>
      <xdr:nvPicPr>
        <xdr:cNvPr id="17" name="Picture 16" descr="logoMTL">
          <a:extLst>
            <a:ext uri="{FF2B5EF4-FFF2-40B4-BE49-F238E27FC236}">
              <a16:creationId xmlns:a16="http://schemas.microsoft.com/office/drawing/2014/main" id="{00000000-0008-0000-22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2" name="Picture 1" descr="C:\WINDOWS\TEMP\Symbol.gif">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 name="Picture 2" descr="C:\WINDOWS\TEMP\Symbol.gif">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 name="Picture 3" descr="C:\WINDOWS\TEMP\Symbol.gif">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288</xdr:row>
      <xdr:rowOff>123825</xdr:rowOff>
    </xdr:from>
    <xdr:to>
      <xdr:col>20</xdr:col>
      <xdr:colOff>1895475</xdr:colOff>
      <xdr:row>289</xdr:row>
      <xdr:rowOff>152400</xdr:rowOff>
    </xdr:to>
    <xdr:pic>
      <xdr:nvPicPr>
        <xdr:cNvPr id="6" name="Picture 5" descr="C:\WINDOWS\TEMP\~0003946.gif">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7" name="Picture 6" descr="C:\WINDOWS\TEMP\~0003946.gif">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8" name="Picture 7" descr="C:\WINDOWS\TEMP\~0003946.gif">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9" name="Picture 8" descr="C:\WINDOWS\TEMP\~0003946.gif">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10" name="Picture 9" descr="C:\WINDOWS\TEMP\~0003946.gif">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11" name="Picture 10" descr="C:\WINDOWS\TEMP\~0003946.gif">
          <a:extLst>
            <a:ext uri="{FF2B5EF4-FFF2-40B4-BE49-F238E27FC236}">
              <a16:creationId xmlns:a16="http://schemas.microsoft.com/office/drawing/2014/main" id="{00000000-0008-0000-23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12" name="Picture 11" descr="C:\WINDOWS\TEMP\~0003946.gif">
          <a:extLst>
            <a:ext uri="{FF2B5EF4-FFF2-40B4-BE49-F238E27FC236}">
              <a16:creationId xmlns:a16="http://schemas.microsoft.com/office/drawing/2014/main" id="{00000000-0008-0000-23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288</xdr:row>
      <xdr:rowOff>104775</xdr:rowOff>
    </xdr:from>
    <xdr:to>
      <xdr:col>20</xdr:col>
      <xdr:colOff>895350</xdr:colOff>
      <xdr:row>289</xdr:row>
      <xdr:rowOff>133350</xdr:rowOff>
    </xdr:to>
    <xdr:pic>
      <xdr:nvPicPr>
        <xdr:cNvPr id="13" name="Picture 12" descr="C:\WINDOWS\TEMP\~0003946.gif">
          <a:extLst>
            <a:ext uri="{FF2B5EF4-FFF2-40B4-BE49-F238E27FC236}">
              <a16:creationId xmlns:a16="http://schemas.microsoft.com/office/drawing/2014/main" id="{00000000-0008-0000-23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14" name="Picture 13" descr="logoMTL">
          <a:extLst>
            <a:ext uri="{FF2B5EF4-FFF2-40B4-BE49-F238E27FC236}">
              <a16:creationId xmlns:a16="http://schemas.microsoft.com/office/drawing/2014/main" id="{00000000-0008-0000-23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15" name="Picture 14" descr="logoMTL">
          <a:extLst>
            <a:ext uri="{FF2B5EF4-FFF2-40B4-BE49-F238E27FC236}">
              <a16:creationId xmlns:a16="http://schemas.microsoft.com/office/drawing/2014/main" id="{00000000-0008-0000-23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16" name="Picture 15" descr="logoMTL">
          <a:extLst>
            <a:ext uri="{FF2B5EF4-FFF2-40B4-BE49-F238E27FC236}">
              <a16:creationId xmlns:a16="http://schemas.microsoft.com/office/drawing/2014/main" id="{00000000-0008-0000-23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288</xdr:row>
      <xdr:rowOff>0</xdr:rowOff>
    </xdr:from>
    <xdr:to>
      <xdr:col>19</xdr:col>
      <xdr:colOff>1228725</xdr:colOff>
      <xdr:row>289</xdr:row>
      <xdr:rowOff>123825</xdr:rowOff>
    </xdr:to>
    <xdr:pic>
      <xdr:nvPicPr>
        <xdr:cNvPr id="17" name="Picture 16" descr="logoMTL">
          <a:extLst>
            <a:ext uri="{FF2B5EF4-FFF2-40B4-BE49-F238E27FC236}">
              <a16:creationId xmlns:a16="http://schemas.microsoft.com/office/drawing/2014/main" id="{00000000-0008-0000-23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2" name="Picture 1" descr="C:\WINDOWS\TEMP\Symbol.gif">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 name="Picture 2" descr="C:\WINDOWS\TEMP\Symbol.gif">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 name="Picture 3" descr="C:\WINDOWS\TEMP\Symbol.gif">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288</xdr:row>
      <xdr:rowOff>123825</xdr:rowOff>
    </xdr:from>
    <xdr:to>
      <xdr:col>20</xdr:col>
      <xdr:colOff>1895475</xdr:colOff>
      <xdr:row>289</xdr:row>
      <xdr:rowOff>152400</xdr:rowOff>
    </xdr:to>
    <xdr:pic>
      <xdr:nvPicPr>
        <xdr:cNvPr id="6" name="Picture 5" descr="C:\WINDOWS\TEMP\~0003946.gif">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7" name="Picture 6" descr="C:\WINDOWS\TEMP\~0003946.gif">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8" name="Picture 7" descr="C:\WINDOWS\TEMP\~0003946.gif">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9" name="Picture 8" descr="C:\WINDOWS\TEMP\~0003946.gif">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10" name="Picture 9" descr="C:\WINDOWS\TEMP\~0003946.gif">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11" name="Picture 10" descr="C:\WINDOWS\TEMP\~0003946.gif">
          <a:extLst>
            <a:ext uri="{FF2B5EF4-FFF2-40B4-BE49-F238E27FC236}">
              <a16:creationId xmlns:a16="http://schemas.microsoft.com/office/drawing/2014/main" id="{00000000-0008-0000-24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12" name="Picture 11" descr="C:\WINDOWS\TEMP\~0003946.gif">
          <a:extLst>
            <a:ext uri="{FF2B5EF4-FFF2-40B4-BE49-F238E27FC236}">
              <a16:creationId xmlns:a16="http://schemas.microsoft.com/office/drawing/2014/main" id="{00000000-0008-0000-24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288</xdr:row>
      <xdr:rowOff>104775</xdr:rowOff>
    </xdr:from>
    <xdr:to>
      <xdr:col>20</xdr:col>
      <xdr:colOff>895350</xdr:colOff>
      <xdr:row>289</xdr:row>
      <xdr:rowOff>133350</xdr:rowOff>
    </xdr:to>
    <xdr:pic>
      <xdr:nvPicPr>
        <xdr:cNvPr id="13" name="Picture 12" descr="C:\WINDOWS\TEMP\~0003946.gif">
          <a:extLst>
            <a:ext uri="{FF2B5EF4-FFF2-40B4-BE49-F238E27FC236}">
              <a16:creationId xmlns:a16="http://schemas.microsoft.com/office/drawing/2014/main" id="{00000000-0008-0000-24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14" name="Picture 13" descr="logoMTL">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15" name="Picture 14" descr="logoMTL">
          <a:extLst>
            <a:ext uri="{FF2B5EF4-FFF2-40B4-BE49-F238E27FC236}">
              <a16:creationId xmlns:a16="http://schemas.microsoft.com/office/drawing/2014/main" id="{00000000-0008-0000-24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16" name="Picture 15" descr="logoMTL">
          <a:extLst>
            <a:ext uri="{FF2B5EF4-FFF2-40B4-BE49-F238E27FC236}">
              <a16:creationId xmlns:a16="http://schemas.microsoft.com/office/drawing/2014/main" id="{00000000-0008-0000-24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288</xdr:row>
      <xdr:rowOff>0</xdr:rowOff>
    </xdr:from>
    <xdr:to>
      <xdr:col>19</xdr:col>
      <xdr:colOff>1228725</xdr:colOff>
      <xdr:row>289</xdr:row>
      <xdr:rowOff>123825</xdr:rowOff>
    </xdr:to>
    <xdr:pic>
      <xdr:nvPicPr>
        <xdr:cNvPr id="17" name="Picture 16" descr="logoMTL">
          <a:extLst>
            <a:ext uri="{FF2B5EF4-FFF2-40B4-BE49-F238E27FC236}">
              <a16:creationId xmlns:a16="http://schemas.microsoft.com/office/drawing/2014/main" id="{00000000-0008-0000-24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2" name="Picture 1" descr="C:\WINDOWS\TEMP\Symbol.gif">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 name="Picture 2" descr="C:\WINDOWS\TEMP\Symbol.gif">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 name="Picture 3" descr="C:\WINDOWS\TEMP\Symbol.gif">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288</xdr:row>
      <xdr:rowOff>123825</xdr:rowOff>
    </xdr:from>
    <xdr:to>
      <xdr:col>20</xdr:col>
      <xdr:colOff>1895475</xdr:colOff>
      <xdr:row>289</xdr:row>
      <xdr:rowOff>152400</xdr:rowOff>
    </xdr:to>
    <xdr:pic>
      <xdr:nvPicPr>
        <xdr:cNvPr id="6" name="Picture 5" descr="C:\WINDOWS\TEMP\~0003946.gif">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7" name="Picture 6" descr="C:\WINDOWS\TEMP\~0003946.gif">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8" name="Picture 7" descr="C:\WINDOWS\TEMP\~0003946.gif">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9" name="Picture 8" descr="C:\WINDOWS\TEMP\~0003946.gif">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10" name="Picture 9" descr="C:\WINDOWS\TEMP\~0003946.gif">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11" name="Picture 10" descr="C:\WINDOWS\TEMP\~0003946.gif">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12" name="Picture 11" descr="C:\WINDOWS\TEMP\~0003946.gif">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288</xdr:row>
      <xdr:rowOff>104775</xdr:rowOff>
    </xdr:from>
    <xdr:to>
      <xdr:col>20</xdr:col>
      <xdr:colOff>895350</xdr:colOff>
      <xdr:row>289</xdr:row>
      <xdr:rowOff>133350</xdr:rowOff>
    </xdr:to>
    <xdr:pic>
      <xdr:nvPicPr>
        <xdr:cNvPr id="13" name="Picture 12" descr="C:\WINDOWS\TEMP\~0003946.gif">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14" name="Picture 13" descr="logoMTL">
          <a:extLst>
            <a:ext uri="{FF2B5EF4-FFF2-40B4-BE49-F238E27FC236}">
              <a16:creationId xmlns:a16="http://schemas.microsoft.com/office/drawing/2014/main" id="{00000000-0008-0000-25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15" name="Picture 14" descr="logoMTL">
          <a:extLst>
            <a:ext uri="{FF2B5EF4-FFF2-40B4-BE49-F238E27FC236}">
              <a16:creationId xmlns:a16="http://schemas.microsoft.com/office/drawing/2014/main" id="{00000000-0008-0000-25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16" name="Picture 15" descr="logoMTL">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288</xdr:row>
      <xdr:rowOff>0</xdr:rowOff>
    </xdr:from>
    <xdr:to>
      <xdr:col>19</xdr:col>
      <xdr:colOff>1228725</xdr:colOff>
      <xdr:row>289</xdr:row>
      <xdr:rowOff>123825</xdr:rowOff>
    </xdr:to>
    <xdr:pic>
      <xdr:nvPicPr>
        <xdr:cNvPr id="17" name="Picture 16" descr="logoMTL">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2" name="Picture 1" descr="C:\WINDOWS\TEMP\Symbol.gif">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 name="Picture 2" descr="C:\WINDOWS\TEMP\Symbol.gif">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 name="Picture 3" descr="C:\WINDOWS\TEMP\Symbol.gif">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288</xdr:row>
      <xdr:rowOff>123825</xdr:rowOff>
    </xdr:from>
    <xdr:to>
      <xdr:col>20</xdr:col>
      <xdr:colOff>1895475</xdr:colOff>
      <xdr:row>289</xdr:row>
      <xdr:rowOff>152400</xdr:rowOff>
    </xdr:to>
    <xdr:pic>
      <xdr:nvPicPr>
        <xdr:cNvPr id="6" name="Picture 5" descr="C:\WINDOWS\TEMP\~0003946.gif">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7" name="Picture 6" descr="C:\WINDOWS\TEMP\~0003946.gif">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8" name="Picture 7" descr="C:\WINDOWS\TEMP\~0003946.gif">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9" name="Picture 8" descr="C:\WINDOWS\TEMP\~0003946.gif">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10" name="Picture 9" descr="C:\WINDOWS\TEMP\~0003946.gif">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11" name="Picture 10" descr="C:\WINDOWS\TEMP\~0003946.gif">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12" name="Picture 11" descr="C:\WINDOWS\TEMP\~0003946.gif">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288</xdr:row>
      <xdr:rowOff>104775</xdr:rowOff>
    </xdr:from>
    <xdr:to>
      <xdr:col>20</xdr:col>
      <xdr:colOff>895350</xdr:colOff>
      <xdr:row>289</xdr:row>
      <xdr:rowOff>133350</xdr:rowOff>
    </xdr:to>
    <xdr:pic>
      <xdr:nvPicPr>
        <xdr:cNvPr id="13" name="Picture 12" descr="C:\WINDOWS\TEMP\~0003946.gif">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14" name="Picture 13" descr="logoMTL">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15" name="Picture 14" descr="logoMTL">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16" name="Picture 15" descr="logoMTL">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288</xdr:row>
      <xdr:rowOff>0</xdr:rowOff>
    </xdr:from>
    <xdr:to>
      <xdr:col>19</xdr:col>
      <xdr:colOff>1228725</xdr:colOff>
      <xdr:row>289</xdr:row>
      <xdr:rowOff>123825</xdr:rowOff>
    </xdr:to>
    <xdr:pic>
      <xdr:nvPicPr>
        <xdr:cNvPr id="17" name="Picture 16" descr="logoMTL">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36625" name="Picture 1" descr="C:\WINDOWS\TEMP\Symbol.gif">
          <a:extLst>
            <a:ext uri="{FF2B5EF4-FFF2-40B4-BE49-F238E27FC236}">
              <a16:creationId xmlns:a16="http://schemas.microsoft.com/office/drawing/2014/main" id="{00000000-0008-0000-0300-0000118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6626" name="Picture 2" descr="C:\WINDOWS\TEMP\Symbol.gif">
          <a:extLst>
            <a:ext uri="{FF2B5EF4-FFF2-40B4-BE49-F238E27FC236}">
              <a16:creationId xmlns:a16="http://schemas.microsoft.com/office/drawing/2014/main" id="{00000000-0008-0000-0300-0000128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190</xdr:row>
      <xdr:rowOff>171450</xdr:rowOff>
    </xdr:from>
    <xdr:to>
      <xdr:col>1</xdr:col>
      <xdr:colOff>47625</xdr:colOff>
      <xdr:row>191</xdr:row>
      <xdr:rowOff>209550</xdr:rowOff>
    </xdr:to>
    <xdr:pic>
      <xdr:nvPicPr>
        <xdr:cNvPr id="36627" name="Picture 3" descr="C:\WINDOWS\TEMP\Symbol.gif">
          <a:extLst>
            <a:ext uri="{FF2B5EF4-FFF2-40B4-BE49-F238E27FC236}">
              <a16:creationId xmlns:a16="http://schemas.microsoft.com/office/drawing/2014/main" id="{00000000-0008-0000-0300-0000138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804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272</xdr:row>
      <xdr:rowOff>161925</xdr:rowOff>
    </xdr:from>
    <xdr:to>
      <xdr:col>1</xdr:col>
      <xdr:colOff>19050</xdr:colOff>
      <xdr:row>273</xdr:row>
      <xdr:rowOff>200025</xdr:rowOff>
    </xdr:to>
    <xdr:pic>
      <xdr:nvPicPr>
        <xdr:cNvPr id="36628" name="Picture 4" descr="C:\WINDOWS\TEMP\Symbol.gif">
          <a:extLst>
            <a:ext uri="{FF2B5EF4-FFF2-40B4-BE49-F238E27FC236}">
              <a16:creationId xmlns:a16="http://schemas.microsoft.com/office/drawing/2014/main" id="{00000000-0008-0000-0300-0000148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52831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272</xdr:row>
      <xdr:rowOff>123825</xdr:rowOff>
    </xdr:from>
    <xdr:to>
      <xdr:col>20</xdr:col>
      <xdr:colOff>1895475</xdr:colOff>
      <xdr:row>273</xdr:row>
      <xdr:rowOff>152400</xdr:rowOff>
    </xdr:to>
    <xdr:pic>
      <xdr:nvPicPr>
        <xdr:cNvPr id="36629" name="Picture 5" descr="C:\WINDOWS\TEMP\~0003946.gif">
          <a:extLst>
            <a:ext uri="{FF2B5EF4-FFF2-40B4-BE49-F238E27FC236}">
              <a16:creationId xmlns:a16="http://schemas.microsoft.com/office/drawing/2014/main" id="{00000000-0008-0000-0300-0000158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52450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36630" name="Picture 6" descr="C:\WINDOWS\TEMP\~0003946.gif">
          <a:extLst>
            <a:ext uri="{FF2B5EF4-FFF2-40B4-BE49-F238E27FC236}">
              <a16:creationId xmlns:a16="http://schemas.microsoft.com/office/drawing/2014/main" id="{00000000-0008-0000-0300-0000168F0000}"/>
            </a:ext>
          </a:extLst>
        </xdr:cNvPr>
        <xdr:cNvPicPr>
          <a:picLocks noChangeAspect="1" noChangeArrowheads="1"/>
        </xdr:cNvPicPr>
      </xdr:nvPicPr>
      <xdr:blipFill>
        <a:blip xmlns:r="http://schemas.openxmlformats.org/officeDocument/2006/relationships" r:link="rId4">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36631" name="Picture 7" descr="C:\WINDOWS\TEMP\~0003946.gif">
          <a:extLst>
            <a:ext uri="{FF2B5EF4-FFF2-40B4-BE49-F238E27FC236}">
              <a16:creationId xmlns:a16="http://schemas.microsoft.com/office/drawing/2014/main" id="{00000000-0008-0000-0300-0000178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36632" name="Picture 8" descr="C:\WINDOWS\TEMP\~0003946.gif">
          <a:extLst>
            <a:ext uri="{FF2B5EF4-FFF2-40B4-BE49-F238E27FC236}">
              <a16:creationId xmlns:a16="http://schemas.microsoft.com/office/drawing/2014/main" id="{00000000-0008-0000-0300-0000188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36633" name="Picture 9" descr="C:\WINDOWS\TEMP\~0003946.gif">
          <a:extLst>
            <a:ext uri="{FF2B5EF4-FFF2-40B4-BE49-F238E27FC236}">
              <a16:creationId xmlns:a16="http://schemas.microsoft.com/office/drawing/2014/main" id="{00000000-0008-0000-0300-0000198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130</xdr:row>
      <xdr:rowOff>123825</xdr:rowOff>
    </xdr:from>
    <xdr:to>
      <xdr:col>20</xdr:col>
      <xdr:colOff>895350</xdr:colOff>
      <xdr:row>131</xdr:row>
      <xdr:rowOff>152400</xdr:rowOff>
    </xdr:to>
    <xdr:pic>
      <xdr:nvPicPr>
        <xdr:cNvPr id="36634" name="Picture 10" descr="C:\WINDOWS\TEMP\~0003946.gif">
          <a:extLst>
            <a:ext uri="{FF2B5EF4-FFF2-40B4-BE49-F238E27FC236}">
              <a16:creationId xmlns:a16="http://schemas.microsoft.com/office/drawing/2014/main" id="{00000000-0008-0000-0300-00001A8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190</xdr:row>
      <xdr:rowOff>104775</xdr:rowOff>
    </xdr:from>
    <xdr:to>
      <xdr:col>20</xdr:col>
      <xdr:colOff>809625</xdr:colOff>
      <xdr:row>191</xdr:row>
      <xdr:rowOff>133350</xdr:rowOff>
    </xdr:to>
    <xdr:pic>
      <xdr:nvPicPr>
        <xdr:cNvPr id="36635" name="Picture 11" descr="C:\WINDOWS\TEMP\~0003946.gif">
          <a:extLst>
            <a:ext uri="{FF2B5EF4-FFF2-40B4-BE49-F238E27FC236}">
              <a16:creationId xmlns:a16="http://schemas.microsoft.com/office/drawing/2014/main" id="{00000000-0008-0000-0300-00001B8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738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272</xdr:row>
      <xdr:rowOff>104775</xdr:rowOff>
    </xdr:from>
    <xdr:to>
      <xdr:col>20</xdr:col>
      <xdr:colOff>895350</xdr:colOff>
      <xdr:row>273</xdr:row>
      <xdr:rowOff>133350</xdr:rowOff>
    </xdr:to>
    <xdr:pic>
      <xdr:nvPicPr>
        <xdr:cNvPr id="36636" name="Picture 12" descr="C:\WINDOWS\TEMP\~0003946.gif">
          <a:extLst>
            <a:ext uri="{FF2B5EF4-FFF2-40B4-BE49-F238E27FC236}">
              <a16:creationId xmlns:a16="http://schemas.microsoft.com/office/drawing/2014/main" id="{00000000-0008-0000-0300-00001C8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52259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36637" name="Picture 13" descr="logoMTL">
          <a:extLst>
            <a:ext uri="{FF2B5EF4-FFF2-40B4-BE49-F238E27FC236}">
              <a16:creationId xmlns:a16="http://schemas.microsoft.com/office/drawing/2014/main" id="{00000000-0008-0000-0300-00001D8F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36638" name="Picture 14" descr="logoMTL">
          <a:extLst>
            <a:ext uri="{FF2B5EF4-FFF2-40B4-BE49-F238E27FC236}">
              <a16:creationId xmlns:a16="http://schemas.microsoft.com/office/drawing/2014/main" id="{00000000-0008-0000-0300-00001E8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36639" name="Picture 15" descr="logoMTL">
          <a:extLst>
            <a:ext uri="{FF2B5EF4-FFF2-40B4-BE49-F238E27FC236}">
              <a16:creationId xmlns:a16="http://schemas.microsoft.com/office/drawing/2014/main" id="{00000000-0008-0000-0300-00001F8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272</xdr:row>
      <xdr:rowOff>0</xdr:rowOff>
    </xdr:from>
    <xdr:to>
      <xdr:col>19</xdr:col>
      <xdr:colOff>1228725</xdr:colOff>
      <xdr:row>273</xdr:row>
      <xdr:rowOff>123825</xdr:rowOff>
    </xdr:to>
    <xdr:pic>
      <xdr:nvPicPr>
        <xdr:cNvPr id="36640" name="Picture 16" descr="logoMTL">
          <a:extLst>
            <a:ext uri="{FF2B5EF4-FFF2-40B4-BE49-F238E27FC236}">
              <a16:creationId xmlns:a16="http://schemas.microsoft.com/office/drawing/2014/main" id="{00000000-0008-0000-0300-0000208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51211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2" name="Picture 1" descr="C:\WINDOWS\TEMP\Symbol.gif">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 name="Picture 2" descr="C:\WINDOWS\TEMP\Symbol.gif">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 name="Picture 3" descr="C:\WINDOWS\TEMP\Symbol.gif">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288</xdr:row>
      <xdr:rowOff>123825</xdr:rowOff>
    </xdr:from>
    <xdr:to>
      <xdr:col>20</xdr:col>
      <xdr:colOff>1895475</xdr:colOff>
      <xdr:row>289</xdr:row>
      <xdr:rowOff>152400</xdr:rowOff>
    </xdr:to>
    <xdr:pic>
      <xdr:nvPicPr>
        <xdr:cNvPr id="6" name="Picture 5" descr="C:\WINDOWS\TEMP\~0003946.gif">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7" name="Picture 6" descr="C:\WINDOWS\TEMP\~0003946.gif">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8" name="Picture 7" descr="C:\WINDOWS\TEMP\~0003946.gif">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9" name="Picture 8" descr="C:\WINDOWS\TEMP\~0003946.gif">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10" name="Picture 9" descr="C:\WINDOWS\TEMP\~0003946.gif">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11" name="Picture 10" descr="C:\WINDOWS\TEMP\~0003946.gif">
          <a:extLst>
            <a:ext uri="{FF2B5EF4-FFF2-40B4-BE49-F238E27FC236}">
              <a16:creationId xmlns:a16="http://schemas.microsoft.com/office/drawing/2014/main" id="{00000000-0008-0000-27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12" name="Picture 11" descr="C:\WINDOWS\TEMP\~0003946.gif">
          <a:extLst>
            <a:ext uri="{FF2B5EF4-FFF2-40B4-BE49-F238E27FC236}">
              <a16:creationId xmlns:a16="http://schemas.microsoft.com/office/drawing/2014/main" id="{00000000-0008-0000-27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288</xdr:row>
      <xdr:rowOff>104775</xdr:rowOff>
    </xdr:from>
    <xdr:to>
      <xdr:col>20</xdr:col>
      <xdr:colOff>895350</xdr:colOff>
      <xdr:row>289</xdr:row>
      <xdr:rowOff>133350</xdr:rowOff>
    </xdr:to>
    <xdr:pic>
      <xdr:nvPicPr>
        <xdr:cNvPr id="13" name="Picture 12" descr="C:\WINDOWS\TEMP\~0003946.gif">
          <a:extLst>
            <a:ext uri="{FF2B5EF4-FFF2-40B4-BE49-F238E27FC236}">
              <a16:creationId xmlns:a16="http://schemas.microsoft.com/office/drawing/2014/main" id="{00000000-0008-0000-27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14" name="Picture 13" descr="logoMTL">
          <a:extLst>
            <a:ext uri="{FF2B5EF4-FFF2-40B4-BE49-F238E27FC236}">
              <a16:creationId xmlns:a16="http://schemas.microsoft.com/office/drawing/2014/main" id="{00000000-0008-0000-27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15" name="Picture 14" descr="logoMTL">
          <a:extLst>
            <a:ext uri="{FF2B5EF4-FFF2-40B4-BE49-F238E27FC236}">
              <a16:creationId xmlns:a16="http://schemas.microsoft.com/office/drawing/2014/main" id="{00000000-0008-0000-27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16" name="Picture 15" descr="logoMTL">
          <a:extLst>
            <a:ext uri="{FF2B5EF4-FFF2-40B4-BE49-F238E27FC236}">
              <a16:creationId xmlns:a16="http://schemas.microsoft.com/office/drawing/2014/main" id="{00000000-0008-0000-27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288</xdr:row>
      <xdr:rowOff>0</xdr:rowOff>
    </xdr:from>
    <xdr:to>
      <xdr:col>19</xdr:col>
      <xdr:colOff>1228725</xdr:colOff>
      <xdr:row>289</xdr:row>
      <xdr:rowOff>123825</xdr:rowOff>
    </xdr:to>
    <xdr:pic>
      <xdr:nvPicPr>
        <xdr:cNvPr id="17" name="Picture 16" descr="logoMTL">
          <a:extLst>
            <a:ext uri="{FF2B5EF4-FFF2-40B4-BE49-F238E27FC236}">
              <a16:creationId xmlns:a16="http://schemas.microsoft.com/office/drawing/2014/main" id="{00000000-0008-0000-27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2" name="Picture 1" descr="C:\WINDOWS\TEMP\Symbol.gif">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 name="Picture 2" descr="C:\WINDOWS\TEMP\Symbol.gif">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 name="Picture 3" descr="C:\WINDOWS\TEMP\Symbol.gif">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288</xdr:row>
      <xdr:rowOff>123825</xdr:rowOff>
    </xdr:from>
    <xdr:to>
      <xdr:col>20</xdr:col>
      <xdr:colOff>1895475</xdr:colOff>
      <xdr:row>289</xdr:row>
      <xdr:rowOff>152400</xdr:rowOff>
    </xdr:to>
    <xdr:pic>
      <xdr:nvPicPr>
        <xdr:cNvPr id="6" name="Picture 5" descr="C:\WINDOWS\TEMP\~0003946.gif">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7" name="Picture 6" descr="C:\WINDOWS\TEMP\~0003946.gif">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8" name="Picture 7" descr="C:\WINDOWS\TEMP\~0003946.gif">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9" name="Picture 8" descr="C:\WINDOWS\TEMP\~0003946.gif">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10" name="Picture 9" descr="C:\WINDOWS\TEMP\~0003946.gif">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11" name="Picture 10" descr="C:\WINDOWS\TEMP\~0003946.gif">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12" name="Picture 11" descr="C:\WINDOWS\TEMP\~0003946.gif">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288</xdr:row>
      <xdr:rowOff>104775</xdr:rowOff>
    </xdr:from>
    <xdr:to>
      <xdr:col>20</xdr:col>
      <xdr:colOff>895350</xdr:colOff>
      <xdr:row>289</xdr:row>
      <xdr:rowOff>133350</xdr:rowOff>
    </xdr:to>
    <xdr:pic>
      <xdr:nvPicPr>
        <xdr:cNvPr id="13" name="Picture 12" descr="C:\WINDOWS\TEMP\~0003946.gif">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14" name="Picture 13" descr="logoMTL">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15" name="Picture 14" descr="logoMTL">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16" name="Picture 15" descr="logoMTL">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288</xdr:row>
      <xdr:rowOff>0</xdr:rowOff>
    </xdr:from>
    <xdr:to>
      <xdr:col>19</xdr:col>
      <xdr:colOff>1228725</xdr:colOff>
      <xdr:row>289</xdr:row>
      <xdr:rowOff>123825</xdr:rowOff>
    </xdr:to>
    <xdr:pic>
      <xdr:nvPicPr>
        <xdr:cNvPr id="17" name="Picture 16" descr="logoMTL">
          <a:extLst>
            <a:ext uri="{FF2B5EF4-FFF2-40B4-BE49-F238E27FC236}">
              <a16:creationId xmlns:a16="http://schemas.microsoft.com/office/drawing/2014/main" id="{00000000-0008-0000-28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2" name="Picture 1" descr="C:\WINDOWS\TEMP\Symbol.gif">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 name="Picture 2" descr="C:\WINDOWS\TEMP\Symbol.gif">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 name="Picture 3" descr="C:\WINDOWS\TEMP\Symbol.gif">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288</xdr:row>
      <xdr:rowOff>123825</xdr:rowOff>
    </xdr:from>
    <xdr:to>
      <xdr:col>20</xdr:col>
      <xdr:colOff>1895475</xdr:colOff>
      <xdr:row>289</xdr:row>
      <xdr:rowOff>152400</xdr:rowOff>
    </xdr:to>
    <xdr:pic>
      <xdr:nvPicPr>
        <xdr:cNvPr id="6" name="Picture 5" descr="C:\WINDOWS\TEMP\~0003946.gif">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7" name="Picture 6" descr="C:\WINDOWS\TEMP\~0003946.gif">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8" name="Picture 7" descr="C:\WINDOWS\TEMP\~0003946.gif">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9" name="Picture 8" descr="C:\WINDOWS\TEMP\~0003946.gif">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10" name="Picture 9" descr="C:\WINDOWS\TEMP\~0003946.gif">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11" name="Picture 10" descr="C:\WINDOWS\TEMP\~0003946.gif">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12" name="Picture 11" descr="C:\WINDOWS\TEMP\~0003946.gif">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288</xdr:row>
      <xdr:rowOff>104775</xdr:rowOff>
    </xdr:from>
    <xdr:to>
      <xdr:col>20</xdr:col>
      <xdr:colOff>895350</xdr:colOff>
      <xdr:row>289</xdr:row>
      <xdr:rowOff>133350</xdr:rowOff>
    </xdr:to>
    <xdr:pic>
      <xdr:nvPicPr>
        <xdr:cNvPr id="13" name="Picture 12" descr="C:\WINDOWS\TEMP\~0003946.gif">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14" name="Picture 13" descr="logoMTL">
          <a:extLst>
            <a:ext uri="{FF2B5EF4-FFF2-40B4-BE49-F238E27FC236}">
              <a16:creationId xmlns:a16="http://schemas.microsoft.com/office/drawing/2014/main" id="{00000000-0008-0000-29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15" name="Picture 14" descr="logoMTL">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16" name="Picture 15" descr="logoMTL">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288</xdr:row>
      <xdr:rowOff>0</xdr:rowOff>
    </xdr:from>
    <xdr:to>
      <xdr:col>19</xdr:col>
      <xdr:colOff>1228725</xdr:colOff>
      <xdr:row>289</xdr:row>
      <xdr:rowOff>123825</xdr:rowOff>
    </xdr:to>
    <xdr:pic>
      <xdr:nvPicPr>
        <xdr:cNvPr id="17" name="Picture 16" descr="logoMTL">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2" name="Picture 1" descr="C:\WINDOWS\TEMP\Symbol.gif">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 name="Picture 2" descr="C:\WINDOWS\TEMP\Symbol.gif">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 name="Picture 3" descr="C:\WINDOWS\TEMP\Symbol.gif">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288</xdr:row>
      <xdr:rowOff>123825</xdr:rowOff>
    </xdr:from>
    <xdr:to>
      <xdr:col>20</xdr:col>
      <xdr:colOff>1895475</xdr:colOff>
      <xdr:row>289</xdr:row>
      <xdr:rowOff>152400</xdr:rowOff>
    </xdr:to>
    <xdr:pic>
      <xdr:nvPicPr>
        <xdr:cNvPr id="6" name="Picture 5" descr="C:\WINDOWS\TEMP\~0003946.gif">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7" name="Picture 6" descr="C:\WINDOWS\TEMP\~0003946.gif">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8" name="Picture 7" descr="C:\WINDOWS\TEMP\~0003946.gif">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9" name="Picture 8" descr="C:\WINDOWS\TEMP\~0003946.gif">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10" name="Picture 9" descr="C:\WINDOWS\TEMP\~0003946.gif">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11" name="Picture 10" descr="C:\WINDOWS\TEMP\~0003946.gif">
          <a:extLst>
            <a:ext uri="{FF2B5EF4-FFF2-40B4-BE49-F238E27FC236}">
              <a16:creationId xmlns:a16="http://schemas.microsoft.com/office/drawing/2014/main" id="{00000000-0008-0000-2A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12" name="Picture 11" descr="C:\WINDOWS\TEMP\~0003946.gif">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288</xdr:row>
      <xdr:rowOff>104775</xdr:rowOff>
    </xdr:from>
    <xdr:to>
      <xdr:col>20</xdr:col>
      <xdr:colOff>895350</xdr:colOff>
      <xdr:row>289</xdr:row>
      <xdr:rowOff>133350</xdr:rowOff>
    </xdr:to>
    <xdr:pic>
      <xdr:nvPicPr>
        <xdr:cNvPr id="13" name="Picture 12" descr="C:\WINDOWS\TEMP\~0003946.gif">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14" name="Picture 13" descr="logoMTL">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15" name="Picture 14" descr="logoMTL">
          <a:extLst>
            <a:ext uri="{FF2B5EF4-FFF2-40B4-BE49-F238E27FC236}">
              <a16:creationId xmlns:a16="http://schemas.microsoft.com/office/drawing/2014/main" id="{00000000-0008-0000-2A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16" name="Picture 15" descr="logoMTL">
          <a:extLst>
            <a:ext uri="{FF2B5EF4-FFF2-40B4-BE49-F238E27FC236}">
              <a16:creationId xmlns:a16="http://schemas.microsoft.com/office/drawing/2014/main" id="{00000000-0008-0000-2A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288</xdr:row>
      <xdr:rowOff>0</xdr:rowOff>
    </xdr:from>
    <xdr:to>
      <xdr:col>19</xdr:col>
      <xdr:colOff>1228725</xdr:colOff>
      <xdr:row>289</xdr:row>
      <xdr:rowOff>123825</xdr:rowOff>
    </xdr:to>
    <xdr:pic>
      <xdr:nvPicPr>
        <xdr:cNvPr id="17" name="Picture 16" descr="logoMTL">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2" name="Picture 1" descr="C:\WINDOWS\TEMP\Symbol.gif">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 name="Picture 2" descr="C:\WINDOWS\TEMP\Symbol.gif">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 name="Picture 3" descr="C:\WINDOWS\TEMP\Symbol.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288</xdr:row>
      <xdr:rowOff>123825</xdr:rowOff>
    </xdr:from>
    <xdr:to>
      <xdr:col>20</xdr:col>
      <xdr:colOff>1895475</xdr:colOff>
      <xdr:row>289</xdr:row>
      <xdr:rowOff>152400</xdr:rowOff>
    </xdr:to>
    <xdr:pic>
      <xdr:nvPicPr>
        <xdr:cNvPr id="6" name="Picture 5" descr="C:\WINDOWS\TEMP\~0003946.gif">
          <a:extLst>
            <a:ext uri="{FF2B5EF4-FFF2-40B4-BE49-F238E27FC236}">
              <a16:creationId xmlns:a16="http://schemas.microsoft.com/office/drawing/2014/main" id="{00000000-0008-0000-2B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7" name="Picture 6" descr="C:\WINDOWS\TEMP\~0003946.gif">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8" name="Picture 7" descr="C:\WINDOWS\TEMP\~0003946.gif">
          <a:extLst>
            <a:ext uri="{FF2B5EF4-FFF2-40B4-BE49-F238E27FC236}">
              <a16:creationId xmlns:a16="http://schemas.microsoft.com/office/drawing/2014/main" id="{00000000-0008-0000-2B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9" name="Picture 8" descr="C:\WINDOWS\TEMP\~0003946.gif">
          <a:extLst>
            <a:ext uri="{FF2B5EF4-FFF2-40B4-BE49-F238E27FC236}">
              <a16:creationId xmlns:a16="http://schemas.microsoft.com/office/drawing/2014/main" id="{00000000-0008-0000-2B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10" name="Picture 9" descr="C:\WINDOWS\TEMP\~0003946.gif">
          <a:extLst>
            <a:ext uri="{FF2B5EF4-FFF2-40B4-BE49-F238E27FC236}">
              <a16:creationId xmlns:a16="http://schemas.microsoft.com/office/drawing/2014/main" id="{00000000-0008-0000-2B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11" name="Picture 10" descr="C:\WINDOWS\TEMP\~0003946.gif">
          <a:extLst>
            <a:ext uri="{FF2B5EF4-FFF2-40B4-BE49-F238E27FC236}">
              <a16:creationId xmlns:a16="http://schemas.microsoft.com/office/drawing/2014/main" id="{00000000-0008-0000-2B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12" name="Picture 11" descr="C:\WINDOWS\TEMP\~0003946.gif">
          <a:extLst>
            <a:ext uri="{FF2B5EF4-FFF2-40B4-BE49-F238E27FC236}">
              <a16:creationId xmlns:a16="http://schemas.microsoft.com/office/drawing/2014/main" id="{00000000-0008-0000-2B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288</xdr:row>
      <xdr:rowOff>104775</xdr:rowOff>
    </xdr:from>
    <xdr:to>
      <xdr:col>20</xdr:col>
      <xdr:colOff>895350</xdr:colOff>
      <xdr:row>289</xdr:row>
      <xdr:rowOff>133350</xdr:rowOff>
    </xdr:to>
    <xdr:pic>
      <xdr:nvPicPr>
        <xdr:cNvPr id="13" name="Picture 12" descr="C:\WINDOWS\TEMP\~0003946.gif">
          <a:extLst>
            <a:ext uri="{FF2B5EF4-FFF2-40B4-BE49-F238E27FC236}">
              <a16:creationId xmlns:a16="http://schemas.microsoft.com/office/drawing/2014/main" id="{00000000-0008-0000-2B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14" name="Picture 13" descr="logoMTL">
          <a:extLst>
            <a:ext uri="{FF2B5EF4-FFF2-40B4-BE49-F238E27FC236}">
              <a16:creationId xmlns:a16="http://schemas.microsoft.com/office/drawing/2014/main" id="{00000000-0008-0000-2B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15" name="Picture 14" descr="logoMTL">
          <a:extLst>
            <a:ext uri="{FF2B5EF4-FFF2-40B4-BE49-F238E27FC236}">
              <a16:creationId xmlns:a16="http://schemas.microsoft.com/office/drawing/2014/main" id="{00000000-0008-0000-2B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16" name="Picture 15" descr="logoMTL">
          <a:extLst>
            <a:ext uri="{FF2B5EF4-FFF2-40B4-BE49-F238E27FC236}">
              <a16:creationId xmlns:a16="http://schemas.microsoft.com/office/drawing/2014/main" id="{00000000-0008-0000-2B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288</xdr:row>
      <xdr:rowOff>0</xdr:rowOff>
    </xdr:from>
    <xdr:to>
      <xdr:col>19</xdr:col>
      <xdr:colOff>1228725</xdr:colOff>
      <xdr:row>289</xdr:row>
      <xdr:rowOff>123825</xdr:rowOff>
    </xdr:to>
    <xdr:pic>
      <xdr:nvPicPr>
        <xdr:cNvPr id="17" name="Picture 16" descr="logoMTL">
          <a:extLst>
            <a:ext uri="{FF2B5EF4-FFF2-40B4-BE49-F238E27FC236}">
              <a16:creationId xmlns:a16="http://schemas.microsoft.com/office/drawing/2014/main" id="{00000000-0008-0000-2B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2" name="Picture 1" descr="C:\WINDOWS\TEMP\Symbol.gif">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 name="Picture 2" descr="C:\WINDOWS\TEMP\Symbol.gif">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 name="Picture 3" descr="C:\WINDOWS\TEMP\Symbol.gif">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288</xdr:row>
      <xdr:rowOff>161925</xdr:rowOff>
    </xdr:from>
    <xdr:to>
      <xdr:col>1</xdr:col>
      <xdr:colOff>19050</xdr:colOff>
      <xdr:row>289</xdr:row>
      <xdr:rowOff>200025</xdr:rowOff>
    </xdr:to>
    <xdr:pic>
      <xdr:nvPicPr>
        <xdr:cNvPr id="5" name="Picture 4" descr="C:\WINDOWS\TEMP\Symbol.gif">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288</xdr:row>
      <xdr:rowOff>123825</xdr:rowOff>
    </xdr:from>
    <xdr:to>
      <xdr:col>20</xdr:col>
      <xdr:colOff>1895475</xdr:colOff>
      <xdr:row>289</xdr:row>
      <xdr:rowOff>152400</xdr:rowOff>
    </xdr:to>
    <xdr:pic>
      <xdr:nvPicPr>
        <xdr:cNvPr id="6" name="Picture 5" descr="C:\WINDOWS\TEMP\~0003946.gif">
          <a:extLst>
            <a:ext uri="{FF2B5EF4-FFF2-40B4-BE49-F238E27FC236}">
              <a16:creationId xmlns:a16="http://schemas.microsoft.com/office/drawing/2014/main" id="{00000000-0008-0000-2C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7" name="Picture 6" descr="C:\WINDOWS\TEMP\~0003946.gif">
          <a:extLst>
            <a:ext uri="{FF2B5EF4-FFF2-40B4-BE49-F238E27FC236}">
              <a16:creationId xmlns:a16="http://schemas.microsoft.com/office/drawing/2014/main" id="{00000000-0008-0000-2C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8" name="Picture 7" descr="C:\WINDOWS\TEMP\~0003946.gif">
          <a:extLst>
            <a:ext uri="{FF2B5EF4-FFF2-40B4-BE49-F238E27FC236}">
              <a16:creationId xmlns:a16="http://schemas.microsoft.com/office/drawing/2014/main" id="{00000000-0008-0000-2C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9" name="Picture 8" descr="C:\WINDOWS\TEMP\~0003946.gif">
          <a:extLst>
            <a:ext uri="{FF2B5EF4-FFF2-40B4-BE49-F238E27FC236}">
              <a16:creationId xmlns:a16="http://schemas.microsoft.com/office/drawing/2014/main" id="{00000000-0008-0000-2C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10" name="Picture 9" descr="C:\WINDOWS\TEMP\~0003946.gif">
          <a:extLst>
            <a:ext uri="{FF2B5EF4-FFF2-40B4-BE49-F238E27FC236}">
              <a16:creationId xmlns:a16="http://schemas.microsoft.com/office/drawing/2014/main" id="{00000000-0008-0000-2C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11" name="Picture 10" descr="C:\WINDOWS\TEMP\~0003946.gif">
          <a:extLst>
            <a:ext uri="{FF2B5EF4-FFF2-40B4-BE49-F238E27FC236}">
              <a16:creationId xmlns:a16="http://schemas.microsoft.com/office/drawing/2014/main" id="{00000000-0008-0000-2C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12" name="Picture 11" descr="C:\WINDOWS\TEMP\~0003946.gif">
          <a:extLst>
            <a:ext uri="{FF2B5EF4-FFF2-40B4-BE49-F238E27FC236}">
              <a16:creationId xmlns:a16="http://schemas.microsoft.com/office/drawing/2014/main" id="{00000000-0008-0000-2C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288</xdr:row>
      <xdr:rowOff>104775</xdr:rowOff>
    </xdr:from>
    <xdr:to>
      <xdr:col>20</xdr:col>
      <xdr:colOff>895350</xdr:colOff>
      <xdr:row>289</xdr:row>
      <xdr:rowOff>133350</xdr:rowOff>
    </xdr:to>
    <xdr:pic>
      <xdr:nvPicPr>
        <xdr:cNvPr id="13" name="Picture 12" descr="C:\WINDOWS\TEMP\~0003946.gif">
          <a:extLst>
            <a:ext uri="{FF2B5EF4-FFF2-40B4-BE49-F238E27FC236}">
              <a16:creationId xmlns:a16="http://schemas.microsoft.com/office/drawing/2014/main" id="{00000000-0008-0000-2C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14" name="Picture 13" descr="logoMTL">
          <a:extLst>
            <a:ext uri="{FF2B5EF4-FFF2-40B4-BE49-F238E27FC236}">
              <a16:creationId xmlns:a16="http://schemas.microsoft.com/office/drawing/2014/main" id="{00000000-0008-0000-2C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15" name="Picture 14" descr="logoMTL">
          <a:extLst>
            <a:ext uri="{FF2B5EF4-FFF2-40B4-BE49-F238E27FC236}">
              <a16:creationId xmlns:a16="http://schemas.microsoft.com/office/drawing/2014/main" id="{00000000-0008-0000-2C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16" name="Picture 15" descr="logoMTL">
          <a:extLst>
            <a:ext uri="{FF2B5EF4-FFF2-40B4-BE49-F238E27FC236}">
              <a16:creationId xmlns:a16="http://schemas.microsoft.com/office/drawing/2014/main" id="{00000000-0008-0000-2C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288</xdr:row>
      <xdr:rowOff>0</xdr:rowOff>
    </xdr:from>
    <xdr:to>
      <xdr:col>19</xdr:col>
      <xdr:colOff>1228725</xdr:colOff>
      <xdr:row>289</xdr:row>
      <xdr:rowOff>123825</xdr:rowOff>
    </xdr:to>
    <xdr:pic>
      <xdr:nvPicPr>
        <xdr:cNvPr id="17" name="Picture 16" descr="logoMTL">
          <a:extLst>
            <a:ext uri="{FF2B5EF4-FFF2-40B4-BE49-F238E27FC236}">
              <a16:creationId xmlns:a16="http://schemas.microsoft.com/office/drawing/2014/main" id="{00000000-0008-0000-2C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2" name="Picture 1" descr="C:\WINDOWS\TEMP\Symbol.gif">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 name="Picture 2" descr="C:\WINDOWS\TEMP\Symbol.gif">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 name="Picture 3" descr="C:\WINDOWS\TEMP\Symbol.gif">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287</xdr:row>
      <xdr:rowOff>161925</xdr:rowOff>
    </xdr:from>
    <xdr:to>
      <xdr:col>1</xdr:col>
      <xdr:colOff>19050</xdr:colOff>
      <xdr:row>288</xdr:row>
      <xdr:rowOff>200025</xdr:rowOff>
    </xdr:to>
    <xdr:pic>
      <xdr:nvPicPr>
        <xdr:cNvPr id="5" name="Picture 4" descr="C:\WINDOWS\TEMP\Symbol.gif">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4835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287</xdr:row>
      <xdr:rowOff>123825</xdr:rowOff>
    </xdr:from>
    <xdr:to>
      <xdr:col>20</xdr:col>
      <xdr:colOff>1895475</xdr:colOff>
      <xdr:row>288</xdr:row>
      <xdr:rowOff>152400</xdr:rowOff>
    </xdr:to>
    <xdr:pic>
      <xdr:nvPicPr>
        <xdr:cNvPr id="6" name="Picture 5" descr="C:\WINDOWS\TEMP\~0003946.gif">
          <a:extLst>
            <a:ext uri="{FF2B5EF4-FFF2-40B4-BE49-F238E27FC236}">
              <a16:creationId xmlns:a16="http://schemas.microsoft.com/office/drawing/2014/main" id="{00000000-0008-0000-2D00-000006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44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7" name="Picture 6" descr="C:\WINDOWS\TEMP\~0003946.gif">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8" name="Picture 7" descr="C:\WINDOWS\TEMP\~0003946.gif">
          <a:extLst>
            <a:ext uri="{FF2B5EF4-FFF2-40B4-BE49-F238E27FC236}">
              <a16:creationId xmlns:a16="http://schemas.microsoft.com/office/drawing/2014/main" id="{00000000-0008-0000-2D00-000008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9" name="Picture 8" descr="C:\WINDOWS\TEMP\~0003946.gif">
          <a:extLst>
            <a:ext uri="{FF2B5EF4-FFF2-40B4-BE49-F238E27FC236}">
              <a16:creationId xmlns:a16="http://schemas.microsoft.com/office/drawing/2014/main" id="{00000000-0008-0000-2D00-000009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10" name="Picture 9" descr="C:\WINDOWS\TEMP\~0003946.gif">
          <a:extLst>
            <a:ext uri="{FF2B5EF4-FFF2-40B4-BE49-F238E27FC236}">
              <a16:creationId xmlns:a16="http://schemas.microsoft.com/office/drawing/2014/main" id="{00000000-0008-0000-2D00-00000A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11" name="Picture 10" descr="C:\WINDOWS\TEMP\~0003946.gif">
          <a:extLst>
            <a:ext uri="{FF2B5EF4-FFF2-40B4-BE49-F238E27FC236}">
              <a16:creationId xmlns:a16="http://schemas.microsoft.com/office/drawing/2014/main" id="{00000000-0008-0000-2D00-00000B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12" name="Picture 11" descr="C:\WINDOWS\TEMP\~0003946.gif">
          <a:extLst>
            <a:ext uri="{FF2B5EF4-FFF2-40B4-BE49-F238E27FC236}">
              <a16:creationId xmlns:a16="http://schemas.microsoft.com/office/drawing/2014/main" id="{00000000-0008-0000-2D00-00000C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287</xdr:row>
      <xdr:rowOff>104775</xdr:rowOff>
    </xdr:from>
    <xdr:to>
      <xdr:col>20</xdr:col>
      <xdr:colOff>895350</xdr:colOff>
      <xdr:row>288</xdr:row>
      <xdr:rowOff>133350</xdr:rowOff>
    </xdr:to>
    <xdr:pic>
      <xdr:nvPicPr>
        <xdr:cNvPr id="13" name="Picture 12" descr="C:\WINDOWS\TEMP\~0003946.gif">
          <a:extLst>
            <a:ext uri="{FF2B5EF4-FFF2-40B4-BE49-F238E27FC236}">
              <a16:creationId xmlns:a16="http://schemas.microsoft.com/office/drawing/2014/main" id="{00000000-0008-0000-2D00-00000D00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4263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14" name="Picture 13" descr="logoMTL">
          <a:extLst>
            <a:ext uri="{FF2B5EF4-FFF2-40B4-BE49-F238E27FC236}">
              <a16:creationId xmlns:a16="http://schemas.microsoft.com/office/drawing/2014/main" id="{00000000-0008-0000-2D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15" name="Picture 14" descr="logoMTL">
          <a:extLst>
            <a:ext uri="{FF2B5EF4-FFF2-40B4-BE49-F238E27FC236}">
              <a16:creationId xmlns:a16="http://schemas.microsoft.com/office/drawing/2014/main" id="{00000000-0008-0000-2D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16" name="Picture 15" descr="logoMTL">
          <a:extLst>
            <a:ext uri="{FF2B5EF4-FFF2-40B4-BE49-F238E27FC236}">
              <a16:creationId xmlns:a16="http://schemas.microsoft.com/office/drawing/2014/main" id="{00000000-0008-0000-2D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287</xdr:row>
      <xdr:rowOff>0</xdr:rowOff>
    </xdr:from>
    <xdr:to>
      <xdr:col>19</xdr:col>
      <xdr:colOff>1228725</xdr:colOff>
      <xdr:row>288</xdr:row>
      <xdr:rowOff>123825</xdr:rowOff>
    </xdr:to>
    <xdr:pic>
      <xdr:nvPicPr>
        <xdr:cNvPr id="17" name="Picture 16" descr="logoMTL">
          <a:extLst>
            <a:ext uri="{FF2B5EF4-FFF2-40B4-BE49-F238E27FC236}">
              <a16:creationId xmlns:a16="http://schemas.microsoft.com/office/drawing/2014/main" id="{00000000-0008-0000-2D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3215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2" name="Picture 1" descr="C:\WINDOWS\TEMP\Symbol.gif">
          <a:extLst>
            <a:ext uri="{FF2B5EF4-FFF2-40B4-BE49-F238E27FC236}">
              <a16:creationId xmlns:a16="http://schemas.microsoft.com/office/drawing/2014/main" id="{40403634-E9BD-4E04-A4B1-5D53125DE2E7}"/>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 name="Picture 2" descr="C:\WINDOWS\TEMP\Symbol.gif">
          <a:extLst>
            <a:ext uri="{FF2B5EF4-FFF2-40B4-BE49-F238E27FC236}">
              <a16:creationId xmlns:a16="http://schemas.microsoft.com/office/drawing/2014/main" id="{B895A2B8-8E48-4ADF-AF54-331FEC34271C}"/>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 name="Picture 3" descr="C:\WINDOWS\TEMP\Symbol.gif">
          <a:extLst>
            <a:ext uri="{FF2B5EF4-FFF2-40B4-BE49-F238E27FC236}">
              <a16:creationId xmlns:a16="http://schemas.microsoft.com/office/drawing/2014/main" id="{9C56AB9D-E197-4407-A1EF-5E578B06899D}"/>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287</xdr:row>
      <xdr:rowOff>161925</xdr:rowOff>
    </xdr:from>
    <xdr:to>
      <xdr:col>1</xdr:col>
      <xdr:colOff>19050</xdr:colOff>
      <xdr:row>288</xdr:row>
      <xdr:rowOff>200025</xdr:rowOff>
    </xdr:to>
    <xdr:pic>
      <xdr:nvPicPr>
        <xdr:cNvPr id="5" name="Picture 4" descr="C:\WINDOWS\TEMP\Symbol.gif">
          <a:extLst>
            <a:ext uri="{FF2B5EF4-FFF2-40B4-BE49-F238E27FC236}">
              <a16:creationId xmlns:a16="http://schemas.microsoft.com/office/drawing/2014/main" id="{B8C6CEEF-1DDB-4E6B-9CC2-02F73259B4FF}"/>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2834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287</xdr:row>
      <xdr:rowOff>123825</xdr:rowOff>
    </xdr:from>
    <xdr:to>
      <xdr:col>20</xdr:col>
      <xdr:colOff>1895475</xdr:colOff>
      <xdr:row>288</xdr:row>
      <xdr:rowOff>152400</xdr:rowOff>
    </xdr:to>
    <xdr:pic>
      <xdr:nvPicPr>
        <xdr:cNvPr id="6" name="Picture 5" descr="C:\WINDOWS\TEMP\~0003946.gif">
          <a:extLst>
            <a:ext uri="{FF2B5EF4-FFF2-40B4-BE49-F238E27FC236}">
              <a16:creationId xmlns:a16="http://schemas.microsoft.com/office/drawing/2014/main" id="{7E96442C-66BF-45CF-8FD0-8E62EB0826CB}"/>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245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7" name="Picture 6" descr="C:\WINDOWS\TEMP\~0003946.gif">
          <a:extLst>
            <a:ext uri="{FF2B5EF4-FFF2-40B4-BE49-F238E27FC236}">
              <a16:creationId xmlns:a16="http://schemas.microsoft.com/office/drawing/2014/main" id="{30FF507C-6F01-47F5-9FB3-B11AEB79A6D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8" name="Picture 7" descr="C:\WINDOWS\TEMP\~0003946.gif">
          <a:extLst>
            <a:ext uri="{FF2B5EF4-FFF2-40B4-BE49-F238E27FC236}">
              <a16:creationId xmlns:a16="http://schemas.microsoft.com/office/drawing/2014/main" id="{5D677368-A0E2-4B42-86FD-56B431459BEF}"/>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9" name="Picture 8" descr="C:\WINDOWS\TEMP\~0003946.gif">
          <a:extLst>
            <a:ext uri="{FF2B5EF4-FFF2-40B4-BE49-F238E27FC236}">
              <a16:creationId xmlns:a16="http://schemas.microsoft.com/office/drawing/2014/main" id="{2B4D6F14-C113-4CD6-8B1B-F327219F6F06}"/>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10" name="Picture 9" descr="C:\WINDOWS\TEMP\~0003946.gif">
          <a:extLst>
            <a:ext uri="{FF2B5EF4-FFF2-40B4-BE49-F238E27FC236}">
              <a16:creationId xmlns:a16="http://schemas.microsoft.com/office/drawing/2014/main" id="{FCB6C4F9-FF9C-437A-AC5C-E8479D127B8E}"/>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11" name="Picture 10" descr="C:\WINDOWS\TEMP\~0003946.gif">
          <a:extLst>
            <a:ext uri="{FF2B5EF4-FFF2-40B4-BE49-F238E27FC236}">
              <a16:creationId xmlns:a16="http://schemas.microsoft.com/office/drawing/2014/main" id="{169BDEB9-495E-4B66-AF77-672F4E559FBA}"/>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12" name="Picture 11" descr="C:\WINDOWS\TEMP\~0003946.gif">
          <a:extLst>
            <a:ext uri="{FF2B5EF4-FFF2-40B4-BE49-F238E27FC236}">
              <a16:creationId xmlns:a16="http://schemas.microsoft.com/office/drawing/2014/main" id="{4D063654-4925-49DC-9A50-98BA4A791EF5}"/>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287</xdr:row>
      <xdr:rowOff>104775</xdr:rowOff>
    </xdr:from>
    <xdr:to>
      <xdr:col>20</xdr:col>
      <xdr:colOff>895350</xdr:colOff>
      <xdr:row>288</xdr:row>
      <xdr:rowOff>133350</xdr:rowOff>
    </xdr:to>
    <xdr:pic>
      <xdr:nvPicPr>
        <xdr:cNvPr id="13" name="Picture 12" descr="C:\WINDOWS\TEMP\~0003946.gif">
          <a:extLst>
            <a:ext uri="{FF2B5EF4-FFF2-40B4-BE49-F238E27FC236}">
              <a16:creationId xmlns:a16="http://schemas.microsoft.com/office/drawing/2014/main" id="{2B4BE7DF-4870-4BBE-9A28-2B42241FA0BB}"/>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22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14" name="Picture 13" descr="logoMTL">
          <a:extLst>
            <a:ext uri="{FF2B5EF4-FFF2-40B4-BE49-F238E27FC236}">
              <a16:creationId xmlns:a16="http://schemas.microsoft.com/office/drawing/2014/main" id="{8435A25A-988C-44FF-87F8-EFE598449CC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15" name="Picture 14" descr="logoMTL">
          <a:extLst>
            <a:ext uri="{FF2B5EF4-FFF2-40B4-BE49-F238E27FC236}">
              <a16:creationId xmlns:a16="http://schemas.microsoft.com/office/drawing/2014/main" id="{DF694760-9D5A-491D-A83A-7272A00DF0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16" name="Picture 15" descr="logoMTL">
          <a:extLst>
            <a:ext uri="{FF2B5EF4-FFF2-40B4-BE49-F238E27FC236}">
              <a16:creationId xmlns:a16="http://schemas.microsoft.com/office/drawing/2014/main" id="{29EC1464-79F4-4C81-8E98-6BEAD864AC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287</xdr:row>
      <xdr:rowOff>0</xdr:rowOff>
    </xdr:from>
    <xdr:to>
      <xdr:col>19</xdr:col>
      <xdr:colOff>1228725</xdr:colOff>
      <xdr:row>288</xdr:row>
      <xdr:rowOff>123825</xdr:rowOff>
    </xdr:to>
    <xdr:pic>
      <xdr:nvPicPr>
        <xdr:cNvPr id="17" name="Picture 16" descr="logoMTL">
          <a:extLst>
            <a:ext uri="{FF2B5EF4-FFF2-40B4-BE49-F238E27FC236}">
              <a16:creationId xmlns:a16="http://schemas.microsoft.com/office/drawing/2014/main" id="{3A3B39BA-6D3D-41CB-9A93-EF739905528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1215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2" name="Picture 1" descr="C:\WINDOWS\TEMP\Symbol.gif">
          <a:extLst>
            <a:ext uri="{FF2B5EF4-FFF2-40B4-BE49-F238E27FC236}">
              <a16:creationId xmlns:a16="http://schemas.microsoft.com/office/drawing/2014/main" id="{4F323E9C-95E9-4F5E-A8A2-88C460EDA165}"/>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132</xdr:row>
      <xdr:rowOff>161925</xdr:rowOff>
    </xdr:from>
    <xdr:to>
      <xdr:col>1</xdr:col>
      <xdr:colOff>28575</xdr:colOff>
      <xdr:row>133</xdr:row>
      <xdr:rowOff>200025</xdr:rowOff>
    </xdr:to>
    <xdr:pic>
      <xdr:nvPicPr>
        <xdr:cNvPr id="3" name="Picture 2" descr="C:\WINDOWS\TEMP\Symbol.gif">
          <a:extLst>
            <a:ext uri="{FF2B5EF4-FFF2-40B4-BE49-F238E27FC236}">
              <a16:creationId xmlns:a16="http://schemas.microsoft.com/office/drawing/2014/main" id="{32D48EC8-8380-4EFE-AEC7-FC31738D8AA2}"/>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71176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193</xdr:row>
      <xdr:rowOff>171450</xdr:rowOff>
    </xdr:from>
    <xdr:to>
      <xdr:col>1</xdr:col>
      <xdr:colOff>47625</xdr:colOff>
      <xdr:row>194</xdr:row>
      <xdr:rowOff>209550</xdr:rowOff>
    </xdr:to>
    <xdr:pic>
      <xdr:nvPicPr>
        <xdr:cNvPr id="4" name="Picture 3" descr="C:\WINDOWS\TEMP\Symbol.gif">
          <a:extLst>
            <a:ext uri="{FF2B5EF4-FFF2-40B4-BE49-F238E27FC236}">
              <a16:creationId xmlns:a16="http://schemas.microsoft.com/office/drawing/2014/main" id="{EF8A1FE1-812D-4717-B097-062D2FA3C44D}"/>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4049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287</xdr:row>
      <xdr:rowOff>161925</xdr:rowOff>
    </xdr:from>
    <xdr:to>
      <xdr:col>1</xdr:col>
      <xdr:colOff>19050</xdr:colOff>
      <xdr:row>288</xdr:row>
      <xdr:rowOff>200025</xdr:rowOff>
    </xdr:to>
    <xdr:pic>
      <xdr:nvPicPr>
        <xdr:cNvPr id="5" name="Picture 4" descr="C:\WINDOWS\TEMP\Symbol.gif">
          <a:extLst>
            <a:ext uri="{FF2B5EF4-FFF2-40B4-BE49-F238E27FC236}">
              <a16:creationId xmlns:a16="http://schemas.microsoft.com/office/drawing/2014/main" id="{40C75DBE-CE06-4AFC-9CEC-EC77D43DAB63}"/>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828347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287</xdr:row>
      <xdr:rowOff>123825</xdr:rowOff>
    </xdr:from>
    <xdr:to>
      <xdr:col>20</xdr:col>
      <xdr:colOff>1895475</xdr:colOff>
      <xdr:row>288</xdr:row>
      <xdr:rowOff>152400</xdr:rowOff>
    </xdr:to>
    <xdr:pic>
      <xdr:nvPicPr>
        <xdr:cNvPr id="6" name="Picture 5" descr="C:\WINDOWS\TEMP\~0003946.gif">
          <a:extLst>
            <a:ext uri="{FF2B5EF4-FFF2-40B4-BE49-F238E27FC236}">
              <a16:creationId xmlns:a16="http://schemas.microsoft.com/office/drawing/2014/main" id="{1B221197-33AE-440D-BECE-4D37209D77BD}"/>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8245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7" name="Picture 6" descr="C:\WINDOWS\TEMP\~0003946.gif">
          <a:extLst>
            <a:ext uri="{FF2B5EF4-FFF2-40B4-BE49-F238E27FC236}">
              <a16:creationId xmlns:a16="http://schemas.microsoft.com/office/drawing/2014/main" id="{9A710FD7-8271-4EE7-B354-AA9CB59BF8A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8" name="Picture 7" descr="C:\WINDOWS\TEMP\~0003946.gif">
          <a:extLst>
            <a:ext uri="{FF2B5EF4-FFF2-40B4-BE49-F238E27FC236}">
              <a16:creationId xmlns:a16="http://schemas.microsoft.com/office/drawing/2014/main" id="{8208AD05-935B-40D4-B6AA-493DE2244B11}"/>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9" name="Picture 8" descr="C:\WINDOWS\TEMP\~0003946.gif">
          <a:extLst>
            <a:ext uri="{FF2B5EF4-FFF2-40B4-BE49-F238E27FC236}">
              <a16:creationId xmlns:a16="http://schemas.microsoft.com/office/drawing/2014/main" id="{9748C533-028D-47EA-83F8-D5C9FD4D3F58}"/>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10" name="Picture 9" descr="C:\WINDOWS\TEMP\~0003946.gif">
          <a:extLst>
            <a:ext uri="{FF2B5EF4-FFF2-40B4-BE49-F238E27FC236}">
              <a16:creationId xmlns:a16="http://schemas.microsoft.com/office/drawing/2014/main" id="{B3CDA432-4BF3-49BF-A439-77B5A1136654}"/>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132</xdr:row>
      <xdr:rowOff>123825</xdr:rowOff>
    </xdr:from>
    <xdr:to>
      <xdr:col>20</xdr:col>
      <xdr:colOff>895350</xdr:colOff>
      <xdr:row>133</xdr:row>
      <xdr:rowOff>152400</xdr:rowOff>
    </xdr:to>
    <xdr:pic>
      <xdr:nvPicPr>
        <xdr:cNvPr id="11" name="Picture 10" descr="C:\WINDOWS\TEMP\~0003946.gif">
          <a:extLst>
            <a:ext uri="{FF2B5EF4-FFF2-40B4-BE49-F238E27FC236}">
              <a16:creationId xmlns:a16="http://schemas.microsoft.com/office/drawing/2014/main" id="{32B13C69-1D53-4F58-9BB2-7837967951BC}"/>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70795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193</xdr:row>
      <xdr:rowOff>104775</xdr:rowOff>
    </xdr:from>
    <xdr:to>
      <xdr:col>20</xdr:col>
      <xdr:colOff>809625</xdr:colOff>
      <xdr:row>194</xdr:row>
      <xdr:rowOff>133350</xdr:rowOff>
    </xdr:to>
    <xdr:pic>
      <xdr:nvPicPr>
        <xdr:cNvPr id="12" name="Picture 11" descr="C:\WINDOWS\TEMP\~0003946.gif">
          <a:extLst>
            <a:ext uri="{FF2B5EF4-FFF2-40B4-BE49-F238E27FC236}">
              <a16:creationId xmlns:a16="http://schemas.microsoft.com/office/drawing/2014/main" id="{31E34404-DFB8-4B13-9CC6-BED18591DF52}"/>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93382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287</xdr:row>
      <xdr:rowOff>104775</xdr:rowOff>
    </xdr:from>
    <xdr:to>
      <xdr:col>20</xdr:col>
      <xdr:colOff>895350</xdr:colOff>
      <xdr:row>288</xdr:row>
      <xdr:rowOff>133350</xdr:rowOff>
    </xdr:to>
    <xdr:pic>
      <xdr:nvPicPr>
        <xdr:cNvPr id="13" name="Picture 12" descr="C:\WINDOWS\TEMP\~0003946.gif">
          <a:extLst>
            <a:ext uri="{FF2B5EF4-FFF2-40B4-BE49-F238E27FC236}">
              <a16:creationId xmlns:a16="http://schemas.microsoft.com/office/drawing/2014/main" id="{538EF2B8-58C0-4CBE-8981-7FE7B6291CD5}"/>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82263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14" name="Picture 13" descr="logoMTL">
          <a:extLst>
            <a:ext uri="{FF2B5EF4-FFF2-40B4-BE49-F238E27FC236}">
              <a16:creationId xmlns:a16="http://schemas.microsoft.com/office/drawing/2014/main" id="{FD745D52-0CC9-413E-B5C5-0239FAC2E66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132</xdr:row>
      <xdr:rowOff>38100</xdr:rowOff>
    </xdr:from>
    <xdr:to>
      <xdr:col>19</xdr:col>
      <xdr:colOff>1171575</xdr:colOff>
      <xdr:row>133</xdr:row>
      <xdr:rowOff>161925</xdr:rowOff>
    </xdr:to>
    <xdr:pic>
      <xdr:nvPicPr>
        <xdr:cNvPr id="15" name="Picture 14" descr="logoMTL">
          <a:extLst>
            <a:ext uri="{FF2B5EF4-FFF2-40B4-BE49-F238E27FC236}">
              <a16:creationId xmlns:a16="http://schemas.microsoft.com/office/drawing/2014/main" id="{C2941E7E-66B5-42AC-99C6-53BC162EB1A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9938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193</xdr:row>
      <xdr:rowOff>28575</xdr:rowOff>
    </xdr:from>
    <xdr:to>
      <xdr:col>19</xdr:col>
      <xdr:colOff>1171575</xdr:colOff>
      <xdr:row>194</xdr:row>
      <xdr:rowOff>152400</xdr:rowOff>
    </xdr:to>
    <xdr:pic>
      <xdr:nvPicPr>
        <xdr:cNvPr id="16" name="Picture 15" descr="logoMTL">
          <a:extLst>
            <a:ext uri="{FF2B5EF4-FFF2-40B4-BE49-F238E27FC236}">
              <a16:creationId xmlns:a16="http://schemas.microsoft.com/office/drawing/2014/main" id="{8AA5F0B9-C3BE-4024-A952-4FA1CCB2EEA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926205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287</xdr:row>
      <xdr:rowOff>0</xdr:rowOff>
    </xdr:from>
    <xdr:to>
      <xdr:col>19</xdr:col>
      <xdr:colOff>1203325</xdr:colOff>
      <xdr:row>288</xdr:row>
      <xdr:rowOff>123825</xdr:rowOff>
    </xdr:to>
    <xdr:pic>
      <xdr:nvPicPr>
        <xdr:cNvPr id="17" name="Picture 16" descr="logoMTL">
          <a:extLst>
            <a:ext uri="{FF2B5EF4-FFF2-40B4-BE49-F238E27FC236}">
              <a16:creationId xmlns:a16="http://schemas.microsoft.com/office/drawing/2014/main" id="{EEA5F44E-CA55-41E7-85E5-7D92ACD7E6E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81215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1095375</xdr:colOff>
      <xdr:row>287</xdr:row>
      <xdr:rowOff>123825</xdr:rowOff>
    </xdr:from>
    <xdr:to>
      <xdr:col>20</xdr:col>
      <xdr:colOff>1895475</xdr:colOff>
      <xdr:row>288</xdr:row>
      <xdr:rowOff>152400</xdr:rowOff>
    </xdr:to>
    <xdr:pic>
      <xdr:nvPicPr>
        <xdr:cNvPr id="6" name="Picture 5" descr="C:\WINDOWS\TEMP\~0003946.gif">
          <a:extLst>
            <a:ext uri="{FF2B5EF4-FFF2-40B4-BE49-F238E27FC236}">
              <a16:creationId xmlns:a16="http://schemas.microsoft.com/office/drawing/2014/main" id="{A840E658-7A85-477B-AD8A-9C8CAD9D1F6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582453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7" name="Picture 6" descr="C:\WINDOWS\TEMP\~0003946.gif">
          <a:extLst>
            <a:ext uri="{FF2B5EF4-FFF2-40B4-BE49-F238E27FC236}">
              <a16:creationId xmlns:a16="http://schemas.microsoft.com/office/drawing/2014/main" id="{F21EAB34-5053-4E26-B006-37A0D183746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393858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8" name="Picture 7" descr="C:\WINDOWS\TEMP\~0003946.gif">
          <a:extLst>
            <a:ext uri="{FF2B5EF4-FFF2-40B4-BE49-F238E27FC236}">
              <a16:creationId xmlns:a16="http://schemas.microsoft.com/office/drawing/2014/main" id="{EFA8C337-22E6-4C2B-B8F4-7A969CC9A3C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2711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9" name="Picture 8" descr="C:\WINDOWS\TEMP\~0003946.gif">
          <a:extLst>
            <a:ext uri="{FF2B5EF4-FFF2-40B4-BE49-F238E27FC236}">
              <a16:creationId xmlns:a16="http://schemas.microsoft.com/office/drawing/2014/main" id="{F4502214-2645-4700-B1DD-A5B94DB2311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287</xdr:row>
      <xdr:rowOff>149679</xdr:rowOff>
    </xdr:from>
    <xdr:to>
      <xdr:col>0</xdr:col>
      <xdr:colOff>306774</xdr:colOff>
      <xdr:row>288</xdr:row>
      <xdr:rowOff>171144</xdr:rowOff>
    </xdr:to>
    <xdr:pic>
      <xdr:nvPicPr>
        <xdr:cNvPr id="18" name="Picture 17">
          <a:extLst>
            <a:ext uri="{FF2B5EF4-FFF2-40B4-BE49-F238E27FC236}">
              <a16:creationId xmlns:a16="http://schemas.microsoft.com/office/drawing/2014/main" id="{5DB18065-57E6-4C2E-AD3C-1AB964AF0187}"/>
            </a:ext>
          </a:extLst>
        </xdr:cNvPr>
        <xdr:cNvPicPr>
          <a:picLocks noChangeAspect="1"/>
        </xdr:cNvPicPr>
      </xdr:nvPicPr>
      <xdr:blipFill>
        <a:blip xmlns:r="http://schemas.openxmlformats.org/officeDocument/2006/relationships" r:embed="rId3"/>
        <a:stretch>
          <a:fillRect/>
        </a:stretch>
      </xdr:blipFill>
      <xdr:spPr>
        <a:xfrm>
          <a:off x="136071" y="59395179"/>
          <a:ext cx="170703" cy="225572"/>
        </a:xfrm>
        <a:prstGeom prst="rect">
          <a:avLst/>
        </a:prstGeom>
      </xdr:spPr>
    </xdr:pic>
    <xdr:clientData/>
  </xdr:twoCellAnchor>
  <xdr:twoCellAnchor editAs="oneCell">
    <xdr:from>
      <xdr:col>0</xdr:col>
      <xdr:colOff>136071</xdr:colOff>
      <xdr:row>193</xdr:row>
      <xdr:rowOff>108857</xdr:rowOff>
    </xdr:from>
    <xdr:to>
      <xdr:col>0</xdr:col>
      <xdr:colOff>306774</xdr:colOff>
      <xdr:row>194</xdr:row>
      <xdr:rowOff>130322</xdr:rowOff>
    </xdr:to>
    <xdr:pic>
      <xdr:nvPicPr>
        <xdr:cNvPr id="19" name="Picture 18">
          <a:extLst>
            <a:ext uri="{FF2B5EF4-FFF2-40B4-BE49-F238E27FC236}">
              <a16:creationId xmlns:a16="http://schemas.microsoft.com/office/drawing/2014/main" id="{34BB0637-051B-4A93-884F-E0F714028B0A}"/>
            </a:ext>
          </a:extLst>
        </xdr:cNvPr>
        <xdr:cNvPicPr>
          <a:picLocks noChangeAspect="1"/>
        </xdr:cNvPicPr>
      </xdr:nvPicPr>
      <xdr:blipFill>
        <a:blip xmlns:r="http://schemas.openxmlformats.org/officeDocument/2006/relationships" r:embed="rId3"/>
        <a:stretch>
          <a:fillRect/>
        </a:stretch>
      </xdr:blipFill>
      <xdr:spPr>
        <a:xfrm>
          <a:off x="136071" y="40086643"/>
          <a:ext cx="170703" cy="225572"/>
        </a:xfrm>
        <a:prstGeom prst="rect">
          <a:avLst/>
        </a:prstGeom>
      </xdr:spPr>
    </xdr:pic>
    <xdr:clientData/>
  </xdr:twoCellAnchor>
  <xdr:twoCellAnchor editAs="oneCell">
    <xdr:from>
      <xdr:col>0</xdr:col>
      <xdr:colOff>108858</xdr:colOff>
      <xdr:row>132</xdr:row>
      <xdr:rowOff>68036</xdr:rowOff>
    </xdr:from>
    <xdr:to>
      <xdr:col>0</xdr:col>
      <xdr:colOff>279561</xdr:colOff>
      <xdr:row>133</xdr:row>
      <xdr:rowOff>89501</xdr:rowOff>
    </xdr:to>
    <xdr:pic>
      <xdr:nvPicPr>
        <xdr:cNvPr id="20" name="Picture 19">
          <a:extLst>
            <a:ext uri="{FF2B5EF4-FFF2-40B4-BE49-F238E27FC236}">
              <a16:creationId xmlns:a16="http://schemas.microsoft.com/office/drawing/2014/main" id="{A8FD2A80-303F-40C7-B0AF-EADFDD05ECEE}"/>
            </a:ext>
          </a:extLst>
        </xdr:cNvPr>
        <xdr:cNvPicPr>
          <a:picLocks noChangeAspect="1"/>
        </xdr:cNvPicPr>
      </xdr:nvPicPr>
      <xdr:blipFill>
        <a:blip xmlns:r="http://schemas.openxmlformats.org/officeDocument/2006/relationships" r:embed="rId3"/>
        <a:stretch>
          <a:fillRect/>
        </a:stretch>
      </xdr:blipFill>
      <xdr:spPr>
        <a:xfrm>
          <a:off x="108858" y="27554465"/>
          <a:ext cx="170703" cy="225572"/>
        </a:xfrm>
        <a:prstGeom prst="rect">
          <a:avLst/>
        </a:prstGeom>
      </xdr:spPr>
    </xdr:pic>
    <xdr:clientData/>
  </xdr:twoCellAnchor>
  <xdr:twoCellAnchor editAs="oneCell">
    <xdr:from>
      <xdr:col>0</xdr:col>
      <xdr:colOff>136072</xdr:colOff>
      <xdr:row>59</xdr:row>
      <xdr:rowOff>122464</xdr:rowOff>
    </xdr:from>
    <xdr:to>
      <xdr:col>0</xdr:col>
      <xdr:colOff>306775</xdr:colOff>
      <xdr:row>60</xdr:row>
      <xdr:rowOff>143929</xdr:rowOff>
    </xdr:to>
    <xdr:pic>
      <xdr:nvPicPr>
        <xdr:cNvPr id="21" name="Picture 20">
          <a:extLst>
            <a:ext uri="{FF2B5EF4-FFF2-40B4-BE49-F238E27FC236}">
              <a16:creationId xmlns:a16="http://schemas.microsoft.com/office/drawing/2014/main" id="{07FD8B94-CE20-4CCC-9292-94163A5AC72E}"/>
            </a:ext>
          </a:extLst>
        </xdr:cNvPr>
        <xdr:cNvPicPr>
          <a:picLocks noChangeAspect="1"/>
        </xdr:cNvPicPr>
      </xdr:nvPicPr>
      <xdr:blipFill>
        <a:blip xmlns:r="http://schemas.openxmlformats.org/officeDocument/2006/relationships" r:embed="rId3"/>
        <a:stretch>
          <a:fillRect/>
        </a:stretch>
      </xdr:blipFill>
      <xdr:spPr>
        <a:xfrm>
          <a:off x="136072" y="12273643"/>
          <a:ext cx="170703" cy="225572"/>
        </a:xfrm>
        <a:prstGeom prst="rect">
          <a:avLst/>
        </a:prstGeom>
      </xdr:spPr>
    </xdr:pic>
    <xdr:clientData/>
  </xdr:twoCellAnchor>
  <xdr:twoCellAnchor editAs="oneCell">
    <xdr:from>
      <xdr:col>19</xdr:col>
      <xdr:colOff>1238250</xdr:colOff>
      <xdr:row>59</xdr:row>
      <xdr:rowOff>54429</xdr:rowOff>
    </xdr:from>
    <xdr:to>
      <xdr:col>20</xdr:col>
      <xdr:colOff>870390</xdr:colOff>
      <xdr:row>60</xdr:row>
      <xdr:rowOff>155148</xdr:rowOff>
    </xdr:to>
    <xdr:pic>
      <xdr:nvPicPr>
        <xdr:cNvPr id="22" name="Picture 21">
          <a:extLst>
            <a:ext uri="{FF2B5EF4-FFF2-40B4-BE49-F238E27FC236}">
              <a16:creationId xmlns:a16="http://schemas.microsoft.com/office/drawing/2014/main" id="{470FF7C6-046C-42C5-B779-0C39FD329A3A}"/>
            </a:ext>
          </a:extLst>
        </xdr:cNvPr>
        <xdr:cNvPicPr>
          <a:picLocks noChangeAspect="1"/>
        </xdr:cNvPicPr>
      </xdr:nvPicPr>
      <xdr:blipFill>
        <a:blip xmlns:r="http://schemas.openxmlformats.org/officeDocument/2006/relationships" r:embed="rId4"/>
        <a:stretch>
          <a:fillRect/>
        </a:stretch>
      </xdr:blipFill>
      <xdr:spPr>
        <a:xfrm>
          <a:off x="22574250" y="12205608"/>
          <a:ext cx="883997" cy="304826"/>
        </a:xfrm>
        <a:prstGeom prst="rect">
          <a:avLst/>
        </a:prstGeom>
      </xdr:spPr>
    </xdr:pic>
    <xdr:clientData/>
  </xdr:twoCellAnchor>
  <xdr:twoCellAnchor editAs="oneCell">
    <xdr:from>
      <xdr:col>20</xdr:col>
      <xdr:colOff>13607</xdr:colOff>
      <xdr:row>132</xdr:row>
      <xdr:rowOff>40821</xdr:rowOff>
    </xdr:from>
    <xdr:to>
      <xdr:col>20</xdr:col>
      <xdr:colOff>897604</xdr:colOff>
      <xdr:row>133</xdr:row>
      <xdr:rowOff>141540</xdr:rowOff>
    </xdr:to>
    <xdr:pic>
      <xdr:nvPicPr>
        <xdr:cNvPr id="23" name="Picture 22">
          <a:extLst>
            <a:ext uri="{FF2B5EF4-FFF2-40B4-BE49-F238E27FC236}">
              <a16:creationId xmlns:a16="http://schemas.microsoft.com/office/drawing/2014/main" id="{30541E55-939D-4948-9541-524F7A67F99C}"/>
            </a:ext>
          </a:extLst>
        </xdr:cNvPr>
        <xdr:cNvPicPr>
          <a:picLocks noChangeAspect="1"/>
        </xdr:cNvPicPr>
      </xdr:nvPicPr>
      <xdr:blipFill>
        <a:blip xmlns:r="http://schemas.openxmlformats.org/officeDocument/2006/relationships" r:embed="rId4"/>
        <a:stretch>
          <a:fillRect/>
        </a:stretch>
      </xdr:blipFill>
      <xdr:spPr>
        <a:xfrm>
          <a:off x="22601464" y="27527250"/>
          <a:ext cx="883997" cy="304826"/>
        </a:xfrm>
        <a:prstGeom prst="rect">
          <a:avLst/>
        </a:prstGeom>
      </xdr:spPr>
    </xdr:pic>
    <xdr:clientData/>
  </xdr:twoCellAnchor>
  <xdr:twoCellAnchor editAs="oneCell">
    <xdr:from>
      <xdr:col>20</xdr:col>
      <xdr:colOff>0</xdr:colOff>
      <xdr:row>193</xdr:row>
      <xdr:rowOff>0</xdr:rowOff>
    </xdr:from>
    <xdr:to>
      <xdr:col>20</xdr:col>
      <xdr:colOff>883997</xdr:colOff>
      <xdr:row>194</xdr:row>
      <xdr:rowOff>100719</xdr:rowOff>
    </xdr:to>
    <xdr:pic>
      <xdr:nvPicPr>
        <xdr:cNvPr id="24" name="Picture 23">
          <a:extLst>
            <a:ext uri="{FF2B5EF4-FFF2-40B4-BE49-F238E27FC236}">
              <a16:creationId xmlns:a16="http://schemas.microsoft.com/office/drawing/2014/main" id="{CB7F50A2-1B27-4613-87EC-F712C79AE6D9}"/>
            </a:ext>
          </a:extLst>
        </xdr:cNvPr>
        <xdr:cNvPicPr>
          <a:picLocks noChangeAspect="1"/>
        </xdr:cNvPicPr>
      </xdr:nvPicPr>
      <xdr:blipFill>
        <a:blip xmlns:r="http://schemas.openxmlformats.org/officeDocument/2006/relationships" r:embed="rId4"/>
        <a:stretch>
          <a:fillRect/>
        </a:stretch>
      </xdr:blipFill>
      <xdr:spPr>
        <a:xfrm>
          <a:off x="22587857" y="39977786"/>
          <a:ext cx="883997" cy="304826"/>
        </a:xfrm>
        <a:prstGeom prst="rect">
          <a:avLst/>
        </a:prstGeom>
      </xdr:spPr>
    </xdr:pic>
    <xdr:clientData/>
  </xdr:twoCellAnchor>
  <xdr:twoCellAnchor editAs="oneCell">
    <xdr:from>
      <xdr:col>20</xdr:col>
      <xdr:colOff>0</xdr:colOff>
      <xdr:row>287</xdr:row>
      <xdr:rowOff>0</xdr:rowOff>
    </xdr:from>
    <xdr:to>
      <xdr:col>20</xdr:col>
      <xdr:colOff>883997</xdr:colOff>
      <xdr:row>288</xdr:row>
      <xdr:rowOff>100719</xdr:rowOff>
    </xdr:to>
    <xdr:pic>
      <xdr:nvPicPr>
        <xdr:cNvPr id="25" name="Picture 24">
          <a:extLst>
            <a:ext uri="{FF2B5EF4-FFF2-40B4-BE49-F238E27FC236}">
              <a16:creationId xmlns:a16="http://schemas.microsoft.com/office/drawing/2014/main" id="{1555A1A4-1C2A-4FC8-996A-9F4C067B1599}"/>
            </a:ext>
          </a:extLst>
        </xdr:cNvPr>
        <xdr:cNvPicPr>
          <a:picLocks noChangeAspect="1"/>
        </xdr:cNvPicPr>
      </xdr:nvPicPr>
      <xdr:blipFill>
        <a:blip xmlns:r="http://schemas.openxmlformats.org/officeDocument/2006/relationships" r:embed="rId4"/>
        <a:stretch>
          <a:fillRect/>
        </a:stretch>
      </xdr:blipFill>
      <xdr:spPr>
        <a:xfrm>
          <a:off x="22587857" y="59245500"/>
          <a:ext cx="883997" cy="3048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37649" name="Picture 1" descr="C:\WINDOWS\TEMP\Symbol.gif">
          <a:extLst>
            <a:ext uri="{FF2B5EF4-FFF2-40B4-BE49-F238E27FC236}">
              <a16:creationId xmlns:a16="http://schemas.microsoft.com/office/drawing/2014/main" id="{00000000-0008-0000-0400-0000119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130</xdr:row>
      <xdr:rowOff>161925</xdr:rowOff>
    </xdr:from>
    <xdr:to>
      <xdr:col>1</xdr:col>
      <xdr:colOff>28575</xdr:colOff>
      <xdr:row>131</xdr:row>
      <xdr:rowOff>200025</xdr:rowOff>
    </xdr:to>
    <xdr:pic>
      <xdr:nvPicPr>
        <xdr:cNvPr id="37650" name="Picture 2" descr="C:\WINDOWS\TEMP\Symbol.gif">
          <a:extLst>
            <a:ext uri="{FF2B5EF4-FFF2-40B4-BE49-F238E27FC236}">
              <a16:creationId xmlns:a16="http://schemas.microsoft.com/office/drawing/2014/main" id="{00000000-0008-0000-0400-0000129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71762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190</xdr:row>
      <xdr:rowOff>171450</xdr:rowOff>
    </xdr:from>
    <xdr:to>
      <xdr:col>1</xdr:col>
      <xdr:colOff>47625</xdr:colOff>
      <xdr:row>191</xdr:row>
      <xdr:rowOff>209550</xdr:rowOff>
    </xdr:to>
    <xdr:pic>
      <xdr:nvPicPr>
        <xdr:cNvPr id="37651" name="Picture 3" descr="C:\WINDOWS\TEMP\Symbol.gif">
          <a:extLst>
            <a:ext uri="{FF2B5EF4-FFF2-40B4-BE49-F238E27FC236}">
              <a16:creationId xmlns:a16="http://schemas.microsoft.com/office/drawing/2014/main" id="{00000000-0008-0000-0400-0000139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88048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272</xdr:row>
      <xdr:rowOff>161925</xdr:rowOff>
    </xdr:from>
    <xdr:to>
      <xdr:col>1</xdr:col>
      <xdr:colOff>19050</xdr:colOff>
      <xdr:row>273</xdr:row>
      <xdr:rowOff>200025</xdr:rowOff>
    </xdr:to>
    <xdr:pic>
      <xdr:nvPicPr>
        <xdr:cNvPr id="37652" name="Picture 4" descr="C:\WINDOWS\TEMP\Symbol.gif">
          <a:extLst>
            <a:ext uri="{FF2B5EF4-FFF2-40B4-BE49-F238E27FC236}">
              <a16:creationId xmlns:a16="http://schemas.microsoft.com/office/drawing/2014/main" id="{00000000-0008-0000-0400-0000149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528310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272</xdr:row>
      <xdr:rowOff>123825</xdr:rowOff>
    </xdr:from>
    <xdr:to>
      <xdr:col>20</xdr:col>
      <xdr:colOff>1895475</xdr:colOff>
      <xdr:row>273</xdr:row>
      <xdr:rowOff>152400</xdr:rowOff>
    </xdr:to>
    <xdr:pic>
      <xdr:nvPicPr>
        <xdr:cNvPr id="37653" name="Picture 5" descr="C:\WINDOWS\TEMP\~0003946.gif">
          <a:extLst>
            <a:ext uri="{FF2B5EF4-FFF2-40B4-BE49-F238E27FC236}">
              <a16:creationId xmlns:a16="http://schemas.microsoft.com/office/drawing/2014/main" id="{00000000-0008-0000-0400-0000159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3583900" y="552450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190</xdr:row>
      <xdr:rowOff>152400</xdr:rowOff>
    </xdr:from>
    <xdr:to>
      <xdr:col>20</xdr:col>
      <xdr:colOff>1924050</xdr:colOff>
      <xdr:row>191</xdr:row>
      <xdr:rowOff>180975</xdr:rowOff>
    </xdr:to>
    <xdr:pic>
      <xdr:nvPicPr>
        <xdr:cNvPr id="37654" name="Picture 6" descr="C:\WINDOWS\TEMP\~0003946.gif">
          <a:extLst>
            <a:ext uri="{FF2B5EF4-FFF2-40B4-BE49-F238E27FC236}">
              <a16:creationId xmlns:a16="http://schemas.microsoft.com/office/drawing/2014/main" id="{00000000-0008-0000-0400-00001693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3583900" y="387858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130</xdr:row>
      <xdr:rowOff>161925</xdr:rowOff>
    </xdr:from>
    <xdr:to>
      <xdr:col>20</xdr:col>
      <xdr:colOff>1952625</xdr:colOff>
      <xdr:row>131</xdr:row>
      <xdr:rowOff>190500</xdr:rowOff>
    </xdr:to>
    <xdr:pic>
      <xdr:nvPicPr>
        <xdr:cNvPr id="37655" name="Picture 7" descr="C:\WINDOWS\TEMP\~0003946.gif">
          <a:extLst>
            <a:ext uri="{FF2B5EF4-FFF2-40B4-BE49-F238E27FC236}">
              <a16:creationId xmlns:a16="http://schemas.microsoft.com/office/drawing/2014/main" id="{00000000-0008-0000-0400-00001793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3583900" y="26717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37656" name="Picture 8" descr="C:\WINDOWS\TEMP\~0003946.gif">
          <a:extLst>
            <a:ext uri="{FF2B5EF4-FFF2-40B4-BE49-F238E27FC236}">
              <a16:creationId xmlns:a16="http://schemas.microsoft.com/office/drawing/2014/main" id="{00000000-0008-0000-0400-00001893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37657" name="Picture 9" descr="C:\WINDOWS\TEMP\~0003946.gif">
          <a:extLst>
            <a:ext uri="{FF2B5EF4-FFF2-40B4-BE49-F238E27FC236}">
              <a16:creationId xmlns:a16="http://schemas.microsoft.com/office/drawing/2014/main" id="{00000000-0008-0000-0400-00001993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130</xdr:row>
      <xdr:rowOff>123825</xdr:rowOff>
    </xdr:from>
    <xdr:to>
      <xdr:col>20</xdr:col>
      <xdr:colOff>895350</xdr:colOff>
      <xdr:row>131</xdr:row>
      <xdr:rowOff>152400</xdr:rowOff>
    </xdr:to>
    <xdr:pic>
      <xdr:nvPicPr>
        <xdr:cNvPr id="37658" name="Picture 10" descr="C:\WINDOWS\TEMP\~0003946.gif">
          <a:extLst>
            <a:ext uri="{FF2B5EF4-FFF2-40B4-BE49-F238E27FC236}">
              <a16:creationId xmlns:a16="http://schemas.microsoft.com/office/drawing/2014/main" id="{00000000-0008-0000-0400-00001A93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669500" y="2667952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190</xdr:row>
      <xdr:rowOff>104775</xdr:rowOff>
    </xdr:from>
    <xdr:to>
      <xdr:col>20</xdr:col>
      <xdr:colOff>809625</xdr:colOff>
      <xdr:row>191</xdr:row>
      <xdr:rowOff>133350</xdr:rowOff>
    </xdr:to>
    <xdr:pic>
      <xdr:nvPicPr>
        <xdr:cNvPr id="37659" name="Picture 11" descr="C:\WINDOWS\TEMP\~0003946.gif">
          <a:extLst>
            <a:ext uri="{FF2B5EF4-FFF2-40B4-BE49-F238E27FC236}">
              <a16:creationId xmlns:a16="http://schemas.microsoft.com/office/drawing/2014/main" id="{00000000-0008-0000-0400-00001B93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583775" y="387381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272</xdr:row>
      <xdr:rowOff>104775</xdr:rowOff>
    </xdr:from>
    <xdr:to>
      <xdr:col>20</xdr:col>
      <xdr:colOff>895350</xdr:colOff>
      <xdr:row>273</xdr:row>
      <xdr:rowOff>133350</xdr:rowOff>
    </xdr:to>
    <xdr:pic>
      <xdr:nvPicPr>
        <xdr:cNvPr id="37660" name="Picture 12" descr="C:\WINDOWS\TEMP\~0003946.gif">
          <a:extLst>
            <a:ext uri="{FF2B5EF4-FFF2-40B4-BE49-F238E27FC236}">
              <a16:creationId xmlns:a16="http://schemas.microsoft.com/office/drawing/2014/main" id="{00000000-0008-0000-0400-00001C93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669500" y="552259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37661" name="Picture 13" descr="logoMTL">
          <a:extLst>
            <a:ext uri="{FF2B5EF4-FFF2-40B4-BE49-F238E27FC236}">
              <a16:creationId xmlns:a16="http://schemas.microsoft.com/office/drawing/2014/main" id="{00000000-0008-0000-0400-00001D9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130</xdr:row>
      <xdr:rowOff>38100</xdr:rowOff>
    </xdr:from>
    <xdr:to>
      <xdr:col>19</xdr:col>
      <xdr:colOff>1171575</xdr:colOff>
      <xdr:row>131</xdr:row>
      <xdr:rowOff>161925</xdr:rowOff>
    </xdr:to>
    <xdr:pic>
      <xdr:nvPicPr>
        <xdr:cNvPr id="37662" name="Picture 14" descr="logoMTL">
          <a:extLst>
            <a:ext uri="{FF2B5EF4-FFF2-40B4-BE49-F238E27FC236}">
              <a16:creationId xmlns:a16="http://schemas.microsoft.com/office/drawing/2014/main" id="{00000000-0008-0000-0400-00001E9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5938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190</xdr:row>
      <xdr:rowOff>28575</xdr:rowOff>
    </xdr:from>
    <xdr:to>
      <xdr:col>19</xdr:col>
      <xdr:colOff>1171575</xdr:colOff>
      <xdr:row>191</xdr:row>
      <xdr:rowOff>152400</xdr:rowOff>
    </xdr:to>
    <xdr:pic>
      <xdr:nvPicPr>
        <xdr:cNvPr id="37663" name="Picture 15" descr="logoMTL">
          <a:extLst>
            <a:ext uri="{FF2B5EF4-FFF2-40B4-BE49-F238E27FC236}">
              <a16:creationId xmlns:a16="http://schemas.microsoft.com/office/drawing/2014/main" id="{00000000-0008-0000-0400-00001F9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66197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272</xdr:row>
      <xdr:rowOff>0</xdr:rowOff>
    </xdr:from>
    <xdr:to>
      <xdr:col>19</xdr:col>
      <xdr:colOff>1228725</xdr:colOff>
      <xdr:row>273</xdr:row>
      <xdr:rowOff>123825</xdr:rowOff>
    </xdr:to>
    <xdr:pic>
      <xdr:nvPicPr>
        <xdr:cNvPr id="37664" name="Picture 16" descr="logoMTL">
          <a:extLst>
            <a:ext uri="{FF2B5EF4-FFF2-40B4-BE49-F238E27FC236}">
              <a16:creationId xmlns:a16="http://schemas.microsoft.com/office/drawing/2014/main" id="{00000000-0008-0000-0400-0000209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512117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1095375</xdr:colOff>
      <xdr:row>287</xdr:row>
      <xdr:rowOff>123825</xdr:rowOff>
    </xdr:from>
    <xdr:to>
      <xdr:col>20</xdr:col>
      <xdr:colOff>1895475</xdr:colOff>
      <xdr:row>288</xdr:row>
      <xdr:rowOff>152400</xdr:rowOff>
    </xdr:to>
    <xdr:pic>
      <xdr:nvPicPr>
        <xdr:cNvPr id="2" name="Picture 1" descr="C:\WINDOWS\TEMP\~0003946.gif">
          <a:extLst>
            <a:ext uri="{FF2B5EF4-FFF2-40B4-BE49-F238E27FC236}">
              <a16:creationId xmlns:a16="http://schemas.microsoft.com/office/drawing/2014/main" id="{FA1C3FE3-B18E-4CD9-BA2C-73E2B8C5A74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58254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3" name="Picture 2" descr="C:\WINDOWS\TEMP\~0003946.gif">
          <a:extLst>
            <a:ext uri="{FF2B5EF4-FFF2-40B4-BE49-F238E27FC236}">
              <a16:creationId xmlns:a16="http://schemas.microsoft.com/office/drawing/2014/main" id="{4BDB1CAC-D819-4ADE-8A49-21E2E23D3EC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3939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4" name="Picture 3" descr="C:\WINDOWS\TEMP\~0003946.gif">
          <a:extLst>
            <a:ext uri="{FF2B5EF4-FFF2-40B4-BE49-F238E27FC236}">
              <a16:creationId xmlns:a16="http://schemas.microsoft.com/office/drawing/2014/main" id="{56657364-D5AD-4259-9FF4-BEC5A72C1B1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2712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 name="Picture 4" descr="C:\WINDOWS\TEMP\~0003946.gif">
          <a:extLst>
            <a:ext uri="{FF2B5EF4-FFF2-40B4-BE49-F238E27FC236}">
              <a16:creationId xmlns:a16="http://schemas.microsoft.com/office/drawing/2014/main" id="{BF1EB23E-B4DA-4C1E-B943-F7A139446DB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1207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287</xdr:row>
      <xdr:rowOff>149679</xdr:rowOff>
    </xdr:from>
    <xdr:to>
      <xdr:col>0</xdr:col>
      <xdr:colOff>306774</xdr:colOff>
      <xdr:row>288</xdr:row>
      <xdr:rowOff>171144</xdr:rowOff>
    </xdr:to>
    <xdr:pic>
      <xdr:nvPicPr>
        <xdr:cNvPr id="6" name="Picture 5">
          <a:extLst>
            <a:ext uri="{FF2B5EF4-FFF2-40B4-BE49-F238E27FC236}">
              <a16:creationId xmlns:a16="http://schemas.microsoft.com/office/drawing/2014/main" id="{FD3105C7-EA4C-4638-8848-463A2446860A}"/>
            </a:ext>
          </a:extLst>
        </xdr:cNvPr>
        <xdr:cNvPicPr>
          <a:picLocks noChangeAspect="1"/>
        </xdr:cNvPicPr>
      </xdr:nvPicPr>
      <xdr:blipFill>
        <a:blip xmlns:r="http://schemas.openxmlformats.org/officeDocument/2006/relationships" r:embed="rId3"/>
        <a:stretch>
          <a:fillRect/>
        </a:stretch>
      </xdr:blipFill>
      <xdr:spPr>
        <a:xfrm>
          <a:off x="136071" y="58280754"/>
          <a:ext cx="170703" cy="221490"/>
        </a:xfrm>
        <a:prstGeom prst="rect">
          <a:avLst/>
        </a:prstGeom>
      </xdr:spPr>
    </xdr:pic>
    <xdr:clientData/>
  </xdr:twoCellAnchor>
  <xdr:twoCellAnchor editAs="oneCell">
    <xdr:from>
      <xdr:col>0</xdr:col>
      <xdr:colOff>136071</xdr:colOff>
      <xdr:row>193</xdr:row>
      <xdr:rowOff>108857</xdr:rowOff>
    </xdr:from>
    <xdr:to>
      <xdr:col>0</xdr:col>
      <xdr:colOff>306774</xdr:colOff>
      <xdr:row>194</xdr:row>
      <xdr:rowOff>130322</xdr:rowOff>
    </xdr:to>
    <xdr:pic>
      <xdr:nvPicPr>
        <xdr:cNvPr id="7" name="Picture 6">
          <a:extLst>
            <a:ext uri="{FF2B5EF4-FFF2-40B4-BE49-F238E27FC236}">
              <a16:creationId xmlns:a16="http://schemas.microsoft.com/office/drawing/2014/main" id="{89A468F8-F367-4B1D-BE1E-24B79D8179D4}"/>
            </a:ext>
          </a:extLst>
        </xdr:cNvPr>
        <xdr:cNvPicPr>
          <a:picLocks noChangeAspect="1"/>
        </xdr:cNvPicPr>
      </xdr:nvPicPr>
      <xdr:blipFill>
        <a:blip xmlns:r="http://schemas.openxmlformats.org/officeDocument/2006/relationships" r:embed="rId3"/>
        <a:stretch>
          <a:fillRect/>
        </a:stretch>
      </xdr:blipFill>
      <xdr:spPr>
        <a:xfrm>
          <a:off x="136071" y="39351857"/>
          <a:ext cx="170703" cy="221490"/>
        </a:xfrm>
        <a:prstGeom prst="rect">
          <a:avLst/>
        </a:prstGeom>
      </xdr:spPr>
    </xdr:pic>
    <xdr:clientData/>
  </xdr:twoCellAnchor>
  <xdr:twoCellAnchor editAs="oneCell">
    <xdr:from>
      <xdr:col>0</xdr:col>
      <xdr:colOff>108858</xdr:colOff>
      <xdr:row>132</xdr:row>
      <xdr:rowOff>68036</xdr:rowOff>
    </xdr:from>
    <xdr:to>
      <xdr:col>0</xdr:col>
      <xdr:colOff>279561</xdr:colOff>
      <xdr:row>133</xdr:row>
      <xdr:rowOff>89501</xdr:rowOff>
    </xdr:to>
    <xdr:pic>
      <xdr:nvPicPr>
        <xdr:cNvPr id="8" name="Picture 7">
          <a:extLst>
            <a:ext uri="{FF2B5EF4-FFF2-40B4-BE49-F238E27FC236}">
              <a16:creationId xmlns:a16="http://schemas.microsoft.com/office/drawing/2014/main" id="{301392C8-6FCC-46FC-94F1-83CDB59ECC88}"/>
            </a:ext>
          </a:extLst>
        </xdr:cNvPr>
        <xdr:cNvPicPr>
          <a:picLocks noChangeAspect="1"/>
        </xdr:cNvPicPr>
      </xdr:nvPicPr>
      <xdr:blipFill>
        <a:blip xmlns:r="http://schemas.openxmlformats.org/officeDocument/2006/relationships" r:embed="rId3"/>
        <a:stretch>
          <a:fillRect/>
        </a:stretch>
      </xdr:blipFill>
      <xdr:spPr>
        <a:xfrm>
          <a:off x="108858" y="27033311"/>
          <a:ext cx="170703" cy="221490"/>
        </a:xfrm>
        <a:prstGeom prst="rect">
          <a:avLst/>
        </a:prstGeom>
      </xdr:spPr>
    </xdr:pic>
    <xdr:clientData/>
  </xdr:twoCellAnchor>
  <xdr:twoCellAnchor editAs="oneCell">
    <xdr:from>
      <xdr:col>0</xdr:col>
      <xdr:colOff>136072</xdr:colOff>
      <xdr:row>59</xdr:row>
      <xdr:rowOff>122464</xdr:rowOff>
    </xdr:from>
    <xdr:to>
      <xdr:col>0</xdr:col>
      <xdr:colOff>306775</xdr:colOff>
      <xdr:row>60</xdr:row>
      <xdr:rowOff>143929</xdr:rowOff>
    </xdr:to>
    <xdr:pic>
      <xdr:nvPicPr>
        <xdr:cNvPr id="9" name="Picture 8">
          <a:extLst>
            <a:ext uri="{FF2B5EF4-FFF2-40B4-BE49-F238E27FC236}">
              <a16:creationId xmlns:a16="http://schemas.microsoft.com/office/drawing/2014/main" id="{CFB9F6EB-C7DF-4284-AC9B-C71CF83305DD}"/>
            </a:ext>
          </a:extLst>
        </xdr:cNvPr>
        <xdr:cNvPicPr>
          <a:picLocks noChangeAspect="1"/>
        </xdr:cNvPicPr>
      </xdr:nvPicPr>
      <xdr:blipFill>
        <a:blip xmlns:r="http://schemas.openxmlformats.org/officeDocument/2006/relationships" r:embed="rId3"/>
        <a:stretch>
          <a:fillRect/>
        </a:stretch>
      </xdr:blipFill>
      <xdr:spPr>
        <a:xfrm>
          <a:off x="136072" y="12038239"/>
          <a:ext cx="170703" cy="221490"/>
        </a:xfrm>
        <a:prstGeom prst="rect">
          <a:avLst/>
        </a:prstGeom>
      </xdr:spPr>
    </xdr:pic>
    <xdr:clientData/>
  </xdr:twoCellAnchor>
  <xdr:twoCellAnchor editAs="oneCell">
    <xdr:from>
      <xdr:col>19</xdr:col>
      <xdr:colOff>1238250</xdr:colOff>
      <xdr:row>59</xdr:row>
      <xdr:rowOff>54429</xdr:rowOff>
    </xdr:from>
    <xdr:to>
      <xdr:col>20</xdr:col>
      <xdr:colOff>870390</xdr:colOff>
      <xdr:row>60</xdr:row>
      <xdr:rowOff>155148</xdr:rowOff>
    </xdr:to>
    <xdr:pic>
      <xdr:nvPicPr>
        <xdr:cNvPr id="10" name="Picture 9">
          <a:extLst>
            <a:ext uri="{FF2B5EF4-FFF2-40B4-BE49-F238E27FC236}">
              <a16:creationId xmlns:a16="http://schemas.microsoft.com/office/drawing/2014/main" id="{71D58CE6-006C-41B7-8FE9-19E89B5C848A}"/>
            </a:ext>
          </a:extLst>
        </xdr:cNvPr>
        <xdr:cNvPicPr>
          <a:picLocks noChangeAspect="1"/>
        </xdr:cNvPicPr>
      </xdr:nvPicPr>
      <xdr:blipFill>
        <a:blip xmlns:r="http://schemas.openxmlformats.org/officeDocument/2006/relationships" r:embed="rId4"/>
        <a:stretch>
          <a:fillRect/>
        </a:stretch>
      </xdr:blipFill>
      <xdr:spPr>
        <a:xfrm>
          <a:off x="22717125" y="11970204"/>
          <a:ext cx="889440" cy="300744"/>
        </a:xfrm>
        <a:prstGeom prst="rect">
          <a:avLst/>
        </a:prstGeom>
      </xdr:spPr>
    </xdr:pic>
    <xdr:clientData/>
  </xdr:twoCellAnchor>
  <xdr:twoCellAnchor editAs="oneCell">
    <xdr:from>
      <xdr:col>20</xdr:col>
      <xdr:colOff>13607</xdr:colOff>
      <xdr:row>132</xdr:row>
      <xdr:rowOff>40821</xdr:rowOff>
    </xdr:from>
    <xdr:to>
      <xdr:col>20</xdr:col>
      <xdr:colOff>897604</xdr:colOff>
      <xdr:row>133</xdr:row>
      <xdr:rowOff>141540</xdr:rowOff>
    </xdr:to>
    <xdr:pic>
      <xdr:nvPicPr>
        <xdr:cNvPr id="11" name="Picture 10">
          <a:extLst>
            <a:ext uri="{FF2B5EF4-FFF2-40B4-BE49-F238E27FC236}">
              <a16:creationId xmlns:a16="http://schemas.microsoft.com/office/drawing/2014/main" id="{F11EB187-958C-4AA5-9078-8EB1D402BA0D}"/>
            </a:ext>
          </a:extLst>
        </xdr:cNvPr>
        <xdr:cNvPicPr>
          <a:picLocks noChangeAspect="1"/>
        </xdr:cNvPicPr>
      </xdr:nvPicPr>
      <xdr:blipFill>
        <a:blip xmlns:r="http://schemas.openxmlformats.org/officeDocument/2006/relationships" r:embed="rId4"/>
        <a:stretch>
          <a:fillRect/>
        </a:stretch>
      </xdr:blipFill>
      <xdr:spPr>
        <a:xfrm>
          <a:off x="22749782" y="27006096"/>
          <a:ext cx="883997" cy="300744"/>
        </a:xfrm>
        <a:prstGeom prst="rect">
          <a:avLst/>
        </a:prstGeom>
      </xdr:spPr>
    </xdr:pic>
    <xdr:clientData/>
  </xdr:twoCellAnchor>
  <xdr:twoCellAnchor editAs="oneCell">
    <xdr:from>
      <xdr:col>20</xdr:col>
      <xdr:colOff>0</xdr:colOff>
      <xdr:row>193</xdr:row>
      <xdr:rowOff>0</xdr:rowOff>
    </xdr:from>
    <xdr:to>
      <xdr:col>20</xdr:col>
      <xdr:colOff>883997</xdr:colOff>
      <xdr:row>194</xdr:row>
      <xdr:rowOff>100719</xdr:rowOff>
    </xdr:to>
    <xdr:pic>
      <xdr:nvPicPr>
        <xdr:cNvPr id="12" name="Picture 11">
          <a:extLst>
            <a:ext uri="{FF2B5EF4-FFF2-40B4-BE49-F238E27FC236}">
              <a16:creationId xmlns:a16="http://schemas.microsoft.com/office/drawing/2014/main" id="{8EE10B0D-DCE8-439F-8B11-579D7E5D8A8B}"/>
            </a:ext>
          </a:extLst>
        </xdr:cNvPr>
        <xdr:cNvPicPr>
          <a:picLocks noChangeAspect="1"/>
        </xdr:cNvPicPr>
      </xdr:nvPicPr>
      <xdr:blipFill>
        <a:blip xmlns:r="http://schemas.openxmlformats.org/officeDocument/2006/relationships" r:embed="rId4"/>
        <a:stretch>
          <a:fillRect/>
        </a:stretch>
      </xdr:blipFill>
      <xdr:spPr>
        <a:xfrm>
          <a:off x="22736175" y="39243000"/>
          <a:ext cx="883997" cy="300744"/>
        </a:xfrm>
        <a:prstGeom prst="rect">
          <a:avLst/>
        </a:prstGeom>
      </xdr:spPr>
    </xdr:pic>
    <xdr:clientData/>
  </xdr:twoCellAnchor>
  <xdr:twoCellAnchor editAs="oneCell">
    <xdr:from>
      <xdr:col>20</xdr:col>
      <xdr:colOff>0</xdr:colOff>
      <xdr:row>287</xdr:row>
      <xdr:rowOff>0</xdr:rowOff>
    </xdr:from>
    <xdr:to>
      <xdr:col>20</xdr:col>
      <xdr:colOff>883997</xdr:colOff>
      <xdr:row>288</xdr:row>
      <xdr:rowOff>100719</xdr:rowOff>
    </xdr:to>
    <xdr:pic>
      <xdr:nvPicPr>
        <xdr:cNvPr id="13" name="Picture 12">
          <a:extLst>
            <a:ext uri="{FF2B5EF4-FFF2-40B4-BE49-F238E27FC236}">
              <a16:creationId xmlns:a16="http://schemas.microsoft.com/office/drawing/2014/main" id="{2C4495AC-0542-4741-980F-A4B417A166DB}"/>
            </a:ext>
          </a:extLst>
        </xdr:cNvPr>
        <xdr:cNvPicPr>
          <a:picLocks noChangeAspect="1"/>
        </xdr:cNvPicPr>
      </xdr:nvPicPr>
      <xdr:blipFill>
        <a:blip xmlns:r="http://schemas.openxmlformats.org/officeDocument/2006/relationships" r:embed="rId4"/>
        <a:stretch>
          <a:fillRect/>
        </a:stretch>
      </xdr:blipFill>
      <xdr:spPr>
        <a:xfrm>
          <a:off x="22736175" y="58131075"/>
          <a:ext cx="883997" cy="30074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20</xdr:col>
      <xdr:colOff>1095375</xdr:colOff>
      <xdr:row>287</xdr:row>
      <xdr:rowOff>123825</xdr:rowOff>
    </xdr:from>
    <xdr:to>
      <xdr:col>20</xdr:col>
      <xdr:colOff>1895475</xdr:colOff>
      <xdr:row>288</xdr:row>
      <xdr:rowOff>152400</xdr:rowOff>
    </xdr:to>
    <xdr:pic>
      <xdr:nvPicPr>
        <xdr:cNvPr id="2" name="Picture 1" descr="C:\WINDOWS\TEMP\~0003946.gif">
          <a:extLst>
            <a:ext uri="{FF2B5EF4-FFF2-40B4-BE49-F238E27FC236}">
              <a16:creationId xmlns:a16="http://schemas.microsoft.com/office/drawing/2014/main" id="{72F3FB83-0E39-4954-B505-79ED92FCF82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58254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3" name="Picture 2" descr="C:\WINDOWS\TEMP\~0003946.gif">
          <a:extLst>
            <a:ext uri="{FF2B5EF4-FFF2-40B4-BE49-F238E27FC236}">
              <a16:creationId xmlns:a16="http://schemas.microsoft.com/office/drawing/2014/main" id="{13A471D2-8AF1-4209-B785-46FFE12DB03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3939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4" name="Picture 3" descr="C:\WINDOWS\TEMP\~0003946.gif">
          <a:extLst>
            <a:ext uri="{FF2B5EF4-FFF2-40B4-BE49-F238E27FC236}">
              <a16:creationId xmlns:a16="http://schemas.microsoft.com/office/drawing/2014/main" id="{990CBBAA-8BAB-4A3E-80CF-B0A743AA878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2712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 name="Picture 4" descr="C:\WINDOWS\TEMP\~0003946.gif">
          <a:extLst>
            <a:ext uri="{FF2B5EF4-FFF2-40B4-BE49-F238E27FC236}">
              <a16:creationId xmlns:a16="http://schemas.microsoft.com/office/drawing/2014/main" id="{BE182697-D8D4-4D25-879D-7DBB89DED77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1207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287</xdr:row>
      <xdr:rowOff>149679</xdr:rowOff>
    </xdr:from>
    <xdr:to>
      <xdr:col>0</xdr:col>
      <xdr:colOff>306774</xdr:colOff>
      <xdr:row>288</xdr:row>
      <xdr:rowOff>171144</xdr:rowOff>
    </xdr:to>
    <xdr:pic>
      <xdr:nvPicPr>
        <xdr:cNvPr id="6" name="Picture 5">
          <a:extLst>
            <a:ext uri="{FF2B5EF4-FFF2-40B4-BE49-F238E27FC236}">
              <a16:creationId xmlns:a16="http://schemas.microsoft.com/office/drawing/2014/main" id="{E1465320-1455-429C-A816-AADFB0E9E209}"/>
            </a:ext>
          </a:extLst>
        </xdr:cNvPr>
        <xdr:cNvPicPr>
          <a:picLocks noChangeAspect="1"/>
        </xdr:cNvPicPr>
      </xdr:nvPicPr>
      <xdr:blipFill>
        <a:blip xmlns:r="http://schemas.openxmlformats.org/officeDocument/2006/relationships" r:embed="rId3"/>
        <a:stretch>
          <a:fillRect/>
        </a:stretch>
      </xdr:blipFill>
      <xdr:spPr>
        <a:xfrm>
          <a:off x="136071" y="58280754"/>
          <a:ext cx="170703" cy="221490"/>
        </a:xfrm>
        <a:prstGeom prst="rect">
          <a:avLst/>
        </a:prstGeom>
      </xdr:spPr>
    </xdr:pic>
    <xdr:clientData/>
  </xdr:twoCellAnchor>
  <xdr:twoCellAnchor editAs="oneCell">
    <xdr:from>
      <xdr:col>0</xdr:col>
      <xdr:colOff>136071</xdr:colOff>
      <xdr:row>193</xdr:row>
      <xdr:rowOff>108857</xdr:rowOff>
    </xdr:from>
    <xdr:to>
      <xdr:col>0</xdr:col>
      <xdr:colOff>306774</xdr:colOff>
      <xdr:row>194</xdr:row>
      <xdr:rowOff>130322</xdr:rowOff>
    </xdr:to>
    <xdr:pic>
      <xdr:nvPicPr>
        <xdr:cNvPr id="7" name="Picture 6">
          <a:extLst>
            <a:ext uri="{FF2B5EF4-FFF2-40B4-BE49-F238E27FC236}">
              <a16:creationId xmlns:a16="http://schemas.microsoft.com/office/drawing/2014/main" id="{EBCBE936-8FEE-4AAB-A520-BD6C058EE516}"/>
            </a:ext>
          </a:extLst>
        </xdr:cNvPr>
        <xdr:cNvPicPr>
          <a:picLocks noChangeAspect="1"/>
        </xdr:cNvPicPr>
      </xdr:nvPicPr>
      <xdr:blipFill>
        <a:blip xmlns:r="http://schemas.openxmlformats.org/officeDocument/2006/relationships" r:embed="rId3"/>
        <a:stretch>
          <a:fillRect/>
        </a:stretch>
      </xdr:blipFill>
      <xdr:spPr>
        <a:xfrm>
          <a:off x="136071" y="39351857"/>
          <a:ext cx="170703" cy="221490"/>
        </a:xfrm>
        <a:prstGeom prst="rect">
          <a:avLst/>
        </a:prstGeom>
      </xdr:spPr>
    </xdr:pic>
    <xdr:clientData/>
  </xdr:twoCellAnchor>
  <xdr:twoCellAnchor editAs="oneCell">
    <xdr:from>
      <xdr:col>0</xdr:col>
      <xdr:colOff>108858</xdr:colOff>
      <xdr:row>132</xdr:row>
      <xdr:rowOff>68036</xdr:rowOff>
    </xdr:from>
    <xdr:to>
      <xdr:col>0</xdr:col>
      <xdr:colOff>279561</xdr:colOff>
      <xdr:row>133</xdr:row>
      <xdr:rowOff>89501</xdr:rowOff>
    </xdr:to>
    <xdr:pic>
      <xdr:nvPicPr>
        <xdr:cNvPr id="8" name="Picture 7">
          <a:extLst>
            <a:ext uri="{FF2B5EF4-FFF2-40B4-BE49-F238E27FC236}">
              <a16:creationId xmlns:a16="http://schemas.microsoft.com/office/drawing/2014/main" id="{7BC45BC0-B213-4103-8BC5-1D1E2C076056}"/>
            </a:ext>
          </a:extLst>
        </xdr:cNvPr>
        <xdr:cNvPicPr>
          <a:picLocks noChangeAspect="1"/>
        </xdr:cNvPicPr>
      </xdr:nvPicPr>
      <xdr:blipFill>
        <a:blip xmlns:r="http://schemas.openxmlformats.org/officeDocument/2006/relationships" r:embed="rId3"/>
        <a:stretch>
          <a:fillRect/>
        </a:stretch>
      </xdr:blipFill>
      <xdr:spPr>
        <a:xfrm>
          <a:off x="108858" y="27033311"/>
          <a:ext cx="170703" cy="221490"/>
        </a:xfrm>
        <a:prstGeom prst="rect">
          <a:avLst/>
        </a:prstGeom>
      </xdr:spPr>
    </xdr:pic>
    <xdr:clientData/>
  </xdr:twoCellAnchor>
  <xdr:twoCellAnchor editAs="oneCell">
    <xdr:from>
      <xdr:col>0</xdr:col>
      <xdr:colOff>136072</xdr:colOff>
      <xdr:row>59</xdr:row>
      <xdr:rowOff>122464</xdr:rowOff>
    </xdr:from>
    <xdr:to>
      <xdr:col>0</xdr:col>
      <xdr:colOff>306775</xdr:colOff>
      <xdr:row>60</xdr:row>
      <xdr:rowOff>143929</xdr:rowOff>
    </xdr:to>
    <xdr:pic>
      <xdr:nvPicPr>
        <xdr:cNvPr id="9" name="Picture 8">
          <a:extLst>
            <a:ext uri="{FF2B5EF4-FFF2-40B4-BE49-F238E27FC236}">
              <a16:creationId xmlns:a16="http://schemas.microsoft.com/office/drawing/2014/main" id="{2B6C8185-824F-4D7B-8686-7CC0624DFF94}"/>
            </a:ext>
          </a:extLst>
        </xdr:cNvPr>
        <xdr:cNvPicPr>
          <a:picLocks noChangeAspect="1"/>
        </xdr:cNvPicPr>
      </xdr:nvPicPr>
      <xdr:blipFill>
        <a:blip xmlns:r="http://schemas.openxmlformats.org/officeDocument/2006/relationships" r:embed="rId3"/>
        <a:stretch>
          <a:fillRect/>
        </a:stretch>
      </xdr:blipFill>
      <xdr:spPr>
        <a:xfrm>
          <a:off x="136072" y="12038239"/>
          <a:ext cx="170703" cy="221490"/>
        </a:xfrm>
        <a:prstGeom prst="rect">
          <a:avLst/>
        </a:prstGeom>
      </xdr:spPr>
    </xdr:pic>
    <xdr:clientData/>
  </xdr:twoCellAnchor>
  <xdr:twoCellAnchor editAs="oneCell">
    <xdr:from>
      <xdr:col>19</xdr:col>
      <xdr:colOff>1238250</xdr:colOff>
      <xdr:row>59</xdr:row>
      <xdr:rowOff>54429</xdr:rowOff>
    </xdr:from>
    <xdr:to>
      <xdr:col>20</xdr:col>
      <xdr:colOff>870390</xdr:colOff>
      <xdr:row>60</xdr:row>
      <xdr:rowOff>155148</xdr:rowOff>
    </xdr:to>
    <xdr:pic>
      <xdr:nvPicPr>
        <xdr:cNvPr id="10" name="Picture 9">
          <a:extLst>
            <a:ext uri="{FF2B5EF4-FFF2-40B4-BE49-F238E27FC236}">
              <a16:creationId xmlns:a16="http://schemas.microsoft.com/office/drawing/2014/main" id="{96FEDB7B-D766-4CA6-A9A4-9F88CE0F77AD}"/>
            </a:ext>
          </a:extLst>
        </xdr:cNvPr>
        <xdr:cNvPicPr>
          <a:picLocks noChangeAspect="1"/>
        </xdr:cNvPicPr>
      </xdr:nvPicPr>
      <xdr:blipFill>
        <a:blip xmlns:r="http://schemas.openxmlformats.org/officeDocument/2006/relationships" r:embed="rId4"/>
        <a:stretch>
          <a:fillRect/>
        </a:stretch>
      </xdr:blipFill>
      <xdr:spPr>
        <a:xfrm>
          <a:off x="22717125" y="11970204"/>
          <a:ext cx="889440" cy="300744"/>
        </a:xfrm>
        <a:prstGeom prst="rect">
          <a:avLst/>
        </a:prstGeom>
      </xdr:spPr>
    </xdr:pic>
    <xdr:clientData/>
  </xdr:twoCellAnchor>
  <xdr:twoCellAnchor editAs="oneCell">
    <xdr:from>
      <xdr:col>20</xdr:col>
      <xdr:colOff>13607</xdr:colOff>
      <xdr:row>132</xdr:row>
      <xdr:rowOff>40821</xdr:rowOff>
    </xdr:from>
    <xdr:to>
      <xdr:col>20</xdr:col>
      <xdr:colOff>897604</xdr:colOff>
      <xdr:row>133</xdr:row>
      <xdr:rowOff>141540</xdr:rowOff>
    </xdr:to>
    <xdr:pic>
      <xdr:nvPicPr>
        <xdr:cNvPr id="11" name="Picture 10">
          <a:extLst>
            <a:ext uri="{FF2B5EF4-FFF2-40B4-BE49-F238E27FC236}">
              <a16:creationId xmlns:a16="http://schemas.microsoft.com/office/drawing/2014/main" id="{BFDDBD82-9383-4243-9833-9412A68E399B}"/>
            </a:ext>
          </a:extLst>
        </xdr:cNvPr>
        <xdr:cNvPicPr>
          <a:picLocks noChangeAspect="1"/>
        </xdr:cNvPicPr>
      </xdr:nvPicPr>
      <xdr:blipFill>
        <a:blip xmlns:r="http://schemas.openxmlformats.org/officeDocument/2006/relationships" r:embed="rId4"/>
        <a:stretch>
          <a:fillRect/>
        </a:stretch>
      </xdr:blipFill>
      <xdr:spPr>
        <a:xfrm>
          <a:off x="22749782" y="27006096"/>
          <a:ext cx="883997" cy="300744"/>
        </a:xfrm>
        <a:prstGeom prst="rect">
          <a:avLst/>
        </a:prstGeom>
      </xdr:spPr>
    </xdr:pic>
    <xdr:clientData/>
  </xdr:twoCellAnchor>
  <xdr:twoCellAnchor editAs="oneCell">
    <xdr:from>
      <xdr:col>20</xdr:col>
      <xdr:colOff>0</xdr:colOff>
      <xdr:row>193</xdr:row>
      <xdr:rowOff>0</xdr:rowOff>
    </xdr:from>
    <xdr:to>
      <xdr:col>20</xdr:col>
      <xdr:colOff>883997</xdr:colOff>
      <xdr:row>194</xdr:row>
      <xdr:rowOff>100719</xdr:rowOff>
    </xdr:to>
    <xdr:pic>
      <xdr:nvPicPr>
        <xdr:cNvPr id="12" name="Picture 11">
          <a:extLst>
            <a:ext uri="{FF2B5EF4-FFF2-40B4-BE49-F238E27FC236}">
              <a16:creationId xmlns:a16="http://schemas.microsoft.com/office/drawing/2014/main" id="{43BF69AF-4AFA-4DED-8DEA-BDA324AD872A}"/>
            </a:ext>
          </a:extLst>
        </xdr:cNvPr>
        <xdr:cNvPicPr>
          <a:picLocks noChangeAspect="1"/>
        </xdr:cNvPicPr>
      </xdr:nvPicPr>
      <xdr:blipFill>
        <a:blip xmlns:r="http://schemas.openxmlformats.org/officeDocument/2006/relationships" r:embed="rId4"/>
        <a:stretch>
          <a:fillRect/>
        </a:stretch>
      </xdr:blipFill>
      <xdr:spPr>
        <a:xfrm>
          <a:off x="22736175" y="39243000"/>
          <a:ext cx="883997" cy="300744"/>
        </a:xfrm>
        <a:prstGeom prst="rect">
          <a:avLst/>
        </a:prstGeom>
      </xdr:spPr>
    </xdr:pic>
    <xdr:clientData/>
  </xdr:twoCellAnchor>
  <xdr:twoCellAnchor editAs="oneCell">
    <xdr:from>
      <xdr:col>20</xdr:col>
      <xdr:colOff>0</xdr:colOff>
      <xdr:row>287</xdr:row>
      <xdr:rowOff>0</xdr:rowOff>
    </xdr:from>
    <xdr:to>
      <xdr:col>20</xdr:col>
      <xdr:colOff>883997</xdr:colOff>
      <xdr:row>288</xdr:row>
      <xdr:rowOff>100719</xdr:rowOff>
    </xdr:to>
    <xdr:pic>
      <xdr:nvPicPr>
        <xdr:cNvPr id="13" name="Picture 12">
          <a:extLst>
            <a:ext uri="{FF2B5EF4-FFF2-40B4-BE49-F238E27FC236}">
              <a16:creationId xmlns:a16="http://schemas.microsoft.com/office/drawing/2014/main" id="{1F2FD19C-FAB5-4090-84EE-5194E42F86A8}"/>
            </a:ext>
          </a:extLst>
        </xdr:cNvPr>
        <xdr:cNvPicPr>
          <a:picLocks noChangeAspect="1"/>
        </xdr:cNvPicPr>
      </xdr:nvPicPr>
      <xdr:blipFill>
        <a:blip xmlns:r="http://schemas.openxmlformats.org/officeDocument/2006/relationships" r:embed="rId4"/>
        <a:stretch>
          <a:fillRect/>
        </a:stretch>
      </xdr:blipFill>
      <xdr:spPr>
        <a:xfrm>
          <a:off x="22736175" y="58131075"/>
          <a:ext cx="883997" cy="30074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20</xdr:col>
      <xdr:colOff>1095375</xdr:colOff>
      <xdr:row>287</xdr:row>
      <xdr:rowOff>123825</xdr:rowOff>
    </xdr:from>
    <xdr:to>
      <xdr:col>20</xdr:col>
      <xdr:colOff>1895475</xdr:colOff>
      <xdr:row>288</xdr:row>
      <xdr:rowOff>152400</xdr:rowOff>
    </xdr:to>
    <xdr:pic>
      <xdr:nvPicPr>
        <xdr:cNvPr id="2" name="Picture 1" descr="C:\WINDOWS\TEMP\~0003946.gif">
          <a:extLst>
            <a:ext uri="{FF2B5EF4-FFF2-40B4-BE49-F238E27FC236}">
              <a16:creationId xmlns:a16="http://schemas.microsoft.com/office/drawing/2014/main" id="{F9247138-FF12-483F-9256-3EF0752C0FE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58254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3" name="Picture 2" descr="C:\WINDOWS\TEMP\~0003946.gif">
          <a:extLst>
            <a:ext uri="{FF2B5EF4-FFF2-40B4-BE49-F238E27FC236}">
              <a16:creationId xmlns:a16="http://schemas.microsoft.com/office/drawing/2014/main" id="{89C69064-EF28-48E9-A69C-009B6303E4E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3939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4" name="Picture 3" descr="C:\WINDOWS\TEMP\~0003946.gif">
          <a:extLst>
            <a:ext uri="{FF2B5EF4-FFF2-40B4-BE49-F238E27FC236}">
              <a16:creationId xmlns:a16="http://schemas.microsoft.com/office/drawing/2014/main" id="{962ABDEA-3EFB-4894-9200-665B2CFF257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2712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 name="Picture 4" descr="C:\WINDOWS\TEMP\~0003946.gif">
          <a:extLst>
            <a:ext uri="{FF2B5EF4-FFF2-40B4-BE49-F238E27FC236}">
              <a16:creationId xmlns:a16="http://schemas.microsoft.com/office/drawing/2014/main" id="{69C2E376-20FB-45D7-9F64-DE5BE640492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1207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287</xdr:row>
      <xdr:rowOff>149679</xdr:rowOff>
    </xdr:from>
    <xdr:to>
      <xdr:col>0</xdr:col>
      <xdr:colOff>306774</xdr:colOff>
      <xdr:row>288</xdr:row>
      <xdr:rowOff>171144</xdr:rowOff>
    </xdr:to>
    <xdr:pic>
      <xdr:nvPicPr>
        <xdr:cNvPr id="6" name="Picture 5">
          <a:extLst>
            <a:ext uri="{FF2B5EF4-FFF2-40B4-BE49-F238E27FC236}">
              <a16:creationId xmlns:a16="http://schemas.microsoft.com/office/drawing/2014/main" id="{07C95B75-4303-462A-B713-82F0C74717AF}"/>
            </a:ext>
          </a:extLst>
        </xdr:cNvPr>
        <xdr:cNvPicPr>
          <a:picLocks noChangeAspect="1"/>
        </xdr:cNvPicPr>
      </xdr:nvPicPr>
      <xdr:blipFill>
        <a:blip xmlns:r="http://schemas.openxmlformats.org/officeDocument/2006/relationships" r:embed="rId3"/>
        <a:stretch>
          <a:fillRect/>
        </a:stretch>
      </xdr:blipFill>
      <xdr:spPr>
        <a:xfrm>
          <a:off x="136071" y="58280754"/>
          <a:ext cx="170703" cy="221490"/>
        </a:xfrm>
        <a:prstGeom prst="rect">
          <a:avLst/>
        </a:prstGeom>
      </xdr:spPr>
    </xdr:pic>
    <xdr:clientData/>
  </xdr:twoCellAnchor>
  <xdr:twoCellAnchor editAs="oneCell">
    <xdr:from>
      <xdr:col>0</xdr:col>
      <xdr:colOff>136071</xdr:colOff>
      <xdr:row>193</xdr:row>
      <xdr:rowOff>108857</xdr:rowOff>
    </xdr:from>
    <xdr:to>
      <xdr:col>0</xdr:col>
      <xdr:colOff>306774</xdr:colOff>
      <xdr:row>194</xdr:row>
      <xdr:rowOff>130322</xdr:rowOff>
    </xdr:to>
    <xdr:pic>
      <xdr:nvPicPr>
        <xdr:cNvPr id="7" name="Picture 6">
          <a:extLst>
            <a:ext uri="{FF2B5EF4-FFF2-40B4-BE49-F238E27FC236}">
              <a16:creationId xmlns:a16="http://schemas.microsoft.com/office/drawing/2014/main" id="{C275378F-350C-4D67-ACC7-CD2CB4C34BB0}"/>
            </a:ext>
          </a:extLst>
        </xdr:cNvPr>
        <xdr:cNvPicPr>
          <a:picLocks noChangeAspect="1"/>
        </xdr:cNvPicPr>
      </xdr:nvPicPr>
      <xdr:blipFill>
        <a:blip xmlns:r="http://schemas.openxmlformats.org/officeDocument/2006/relationships" r:embed="rId3"/>
        <a:stretch>
          <a:fillRect/>
        </a:stretch>
      </xdr:blipFill>
      <xdr:spPr>
        <a:xfrm>
          <a:off x="136071" y="39351857"/>
          <a:ext cx="170703" cy="221490"/>
        </a:xfrm>
        <a:prstGeom prst="rect">
          <a:avLst/>
        </a:prstGeom>
      </xdr:spPr>
    </xdr:pic>
    <xdr:clientData/>
  </xdr:twoCellAnchor>
  <xdr:twoCellAnchor editAs="oneCell">
    <xdr:from>
      <xdr:col>0</xdr:col>
      <xdr:colOff>108858</xdr:colOff>
      <xdr:row>132</xdr:row>
      <xdr:rowOff>68036</xdr:rowOff>
    </xdr:from>
    <xdr:to>
      <xdr:col>0</xdr:col>
      <xdr:colOff>279561</xdr:colOff>
      <xdr:row>133</xdr:row>
      <xdr:rowOff>89501</xdr:rowOff>
    </xdr:to>
    <xdr:pic>
      <xdr:nvPicPr>
        <xdr:cNvPr id="8" name="Picture 7">
          <a:extLst>
            <a:ext uri="{FF2B5EF4-FFF2-40B4-BE49-F238E27FC236}">
              <a16:creationId xmlns:a16="http://schemas.microsoft.com/office/drawing/2014/main" id="{7F8283EA-E2C4-4CF3-8573-5141B79C70B7}"/>
            </a:ext>
          </a:extLst>
        </xdr:cNvPr>
        <xdr:cNvPicPr>
          <a:picLocks noChangeAspect="1"/>
        </xdr:cNvPicPr>
      </xdr:nvPicPr>
      <xdr:blipFill>
        <a:blip xmlns:r="http://schemas.openxmlformats.org/officeDocument/2006/relationships" r:embed="rId3"/>
        <a:stretch>
          <a:fillRect/>
        </a:stretch>
      </xdr:blipFill>
      <xdr:spPr>
        <a:xfrm>
          <a:off x="108858" y="27033311"/>
          <a:ext cx="170703" cy="221490"/>
        </a:xfrm>
        <a:prstGeom prst="rect">
          <a:avLst/>
        </a:prstGeom>
      </xdr:spPr>
    </xdr:pic>
    <xdr:clientData/>
  </xdr:twoCellAnchor>
  <xdr:twoCellAnchor editAs="oneCell">
    <xdr:from>
      <xdr:col>0</xdr:col>
      <xdr:colOff>136072</xdr:colOff>
      <xdr:row>59</xdr:row>
      <xdr:rowOff>122464</xdr:rowOff>
    </xdr:from>
    <xdr:to>
      <xdr:col>0</xdr:col>
      <xdr:colOff>306775</xdr:colOff>
      <xdr:row>60</xdr:row>
      <xdr:rowOff>143929</xdr:rowOff>
    </xdr:to>
    <xdr:pic>
      <xdr:nvPicPr>
        <xdr:cNvPr id="9" name="Picture 8">
          <a:extLst>
            <a:ext uri="{FF2B5EF4-FFF2-40B4-BE49-F238E27FC236}">
              <a16:creationId xmlns:a16="http://schemas.microsoft.com/office/drawing/2014/main" id="{06C6CDA7-4F1C-44A4-A974-F162C87E617B}"/>
            </a:ext>
          </a:extLst>
        </xdr:cNvPr>
        <xdr:cNvPicPr>
          <a:picLocks noChangeAspect="1"/>
        </xdr:cNvPicPr>
      </xdr:nvPicPr>
      <xdr:blipFill>
        <a:blip xmlns:r="http://schemas.openxmlformats.org/officeDocument/2006/relationships" r:embed="rId3"/>
        <a:stretch>
          <a:fillRect/>
        </a:stretch>
      </xdr:blipFill>
      <xdr:spPr>
        <a:xfrm>
          <a:off x="136072" y="12038239"/>
          <a:ext cx="170703" cy="221490"/>
        </a:xfrm>
        <a:prstGeom prst="rect">
          <a:avLst/>
        </a:prstGeom>
      </xdr:spPr>
    </xdr:pic>
    <xdr:clientData/>
  </xdr:twoCellAnchor>
  <xdr:twoCellAnchor editAs="oneCell">
    <xdr:from>
      <xdr:col>19</xdr:col>
      <xdr:colOff>1238250</xdr:colOff>
      <xdr:row>59</xdr:row>
      <xdr:rowOff>54429</xdr:rowOff>
    </xdr:from>
    <xdr:to>
      <xdr:col>20</xdr:col>
      <xdr:colOff>870390</xdr:colOff>
      <xdr:row>60</xdr:row>
      <xdr:rowOff>155148</xdr:rowOff>
    </xdr:to>
    <xdr:pic>
      <xdr:nvPicPr>
        <xdr:cNvPr id="10" name="Picture 9">
          <a:extLst>
            <a:ext uri="{FF2B5EF4-FFF2-40B4-BE49-F238E27FC236}">
              <a16:creationId xmlns:a16="http://schemas.microsoft.com/office/drawing/2014/main" id="{CE606853-A5A2-470D-9997-89D149CB8493}"/>
            </a:ext>
          </a:extLst>
        </xdr:cNvPr>
        <xdr:cNvPicPr>
          <a:picLocks noChangeAspect="1"/>
        </xdr:cNvPicPr>
      </xdr:nvPicPr>
      <xdr:blipFill>
        <a:blip xmlns:r="http://schemas.openxmlformats.org/officeDocument/2006/relationships" r:embed="rId4"/>
        <a:stretch>
          <a:fillRect/>
        </a:stretch>
      </xdr:blipFill>
      <xdr:spPr>
        <a:xfrm>
          <a:off x="22717125" y="11970204"/>
          <a:ext cx="889440" cy="300744"/>
        </a:xfrm>
        <a:prstGeom prst="rect">
          <a:avLst/>
        </a:prstGeom>
      </xdr:spPr>
    </xdr:pic>
    <xdr:clientData/>
  </xdr:twoCellAnchor>
  <xdr:twoCellAnchor editAs="oneCell">
    <xdr:from>
      <xdr:col>20</xdr:col>
      <xdr:colOff>13607</xdr:colOff>
      <xdr:row>132</xdr:row>
      <xdr:rowOff>40821</xdr:rowOff>
    </xdr:from>
    <xdr:to>
      <xdr:col>20</xdr:col>
      <xdr:colOff>897604</xdr:colOff>
      <xdr:row>133</xdr:row>
      <xdr:rowOff>141540</xdr:rowOff>
    </xdr:to>
    <xdr:pic>
      <xdr:nvPicPr>
        <xdr:cNvPr id="11" name="Picture 10">
          <a:extLst>
            <a:ext uri="{FF2B5EF4-FFF2-40B4-BE49-F238E27FC236}">
              <a16:creationId xmlns:a16="http://schemas.microsoft.com/office/drawing/2014/main" id="{F5A00D06-4D10-4834-A9B4-F7D7F7C0853A}"/>
            </a:ext>
          </a:extLst>
        </xdr:cNvPr>
        <xdr:cNvPicPr>
          <a:picLocks noChangeAspect="1"/>
        </xdr:cNvPicPr>
      </xdr:nvPicPr>
      <xdr:blipFill>
        <a:blip xmlns:r="http://schemas.openxmlformats.org/officeDocument/2006/relationships" r:embed="rId4"/>
        <a:stretch>
          <a:fillRect/>
        </a:stretch>
      </xdr:blipFill>
      <xdr:spPr>
        <a:xfrm>
          <a:off x="22749782" y="27006096"/>
          <a:ext cx="883997" cy="300744"/>
        </a:xfrm>
        <a:prstGeom prst="rect">
          <a:avLst/>
        </a:prstGeom>
      </xdr:spPr>
    </xdr:pic>
    <xdr:clientData/>
  </xdr:twoCellAnchor>
  <xdr:twoCellAnchor editAs="oneCell">
    <xdr:from>
      <xdr:col>20</xdr:col>
      <xdr:colOff>0</xdr:colOff>
      <xdr:row>193</xdr:row>
      <xdr:rowOff>0</xdr:rowOff>
    </xdr:from>
    <xdr:to>
      <xdr:col>20</xdr:col>
      <xdr:colOff>883997</xdr:colOff>
      <xdr:row>194</xdr:row>
      <xdr:rowOff>100719</xdr:rowOff>
    </xdr:to>
    <xdr:pic>
      <xdr:nvPicPr>
        <xdr:cNvPr id="12" name="Picture 11">
          <a:extLst>
            <a:ext uri="{FF2B5EF4-FFF2-40B4-BE49-F238E27FC236}">
              <a16:creationId xmlns:a16="http://schemas.microsoft.com/office/drawing/2014/main" id="{4229461F-D95B-4BC7-BE28-E6BAC2CFD34B}"/>
            </a:ext>
          </a:extLst>
        </xdr:cNvPr>
        <xdr:cNvPicPr>
          <a:picLocks noChangeAspect="1"/>
        </xdr:cNvPicPr>
      </xdr:nvPicPr>
      <xdr:blipFill>
        <a:blip xmlns:r="http://schemas.openxmlformats.org/officeDocument/2006/relationships" r:embed="rId4"/>
        <a:stretch>
          <a:fillRect/>
        </a:stretch>
      </xdr:blipFill>
      <xdr:spPr>
        <a:xfrm>
          <a:off x="22736175" y="39243000"/>
          <a:ext cx="883997" cy="300744"/>
        </a:xfrm>
        <a:prstGeom prst="rect">
          <a:avLst/>
        </a:prstGeom>
      </xdr:spPr>
    </xdr:pic>
    <xdr:clientData/>
  </xdr:twoCellAnchor>
  <xdr:twoCellAnchor editAs="oneCell">
    <xdr:from>
      <xdr:col>20</xdr:col>
      <xdr:colOff>0</xdr:colOff>
      <xdr:row>287</xdr:row>
      <xdr:rowOff>0</xdr:rowOff>
    </xdr:from>
    <xdr:to>
      <xdr:col>20</xdr:col>
      <xdr:colOff>883997</xdr:colOff>
      <xdr:row>288</xdr:row>
      <xdr:rowOff>100719</xdr:rowOff>
    </xdr:to>
    <xdr:pic>
      <xdr:nvPicPr>
        <xdr:cNvPr id="13" name="Picture 12">
          <a:extLst>
            <a:ext uri="{FF2B5EF4-FFF2-40B4-BE49-F238E27FC236}">
              <a16:creationId xmlns:a16="http://schemas.microsoft.com/office/drawing/2014/main" id="{2F15901A-C07B-4505-B1F6-FCDAD0865BAB}"/>
            </a:ext>
          </a:extLst>
        </xdr:cNvPr>
        <xdr:cNvPicPr>
          <a:picLocks noChangeAspect="1"/>
        </xdr:cNvPicPr>
      </xdr:nvPicPr>
      <xdr:blipFill>
        <a:blip xmlns:r="http://schemas.openxmlformats.org/officeDocument/2006/relationships" r:embed="rId4"/>
        <a:stretch>
          <a:fillRect/>
        </a:stretch>
      </xdr:blipFill>
      <xdr:spPr>
        <a:xfrm>
          <a:off x="22736175" y="58131075"/>
          <a:ext cx="883997" cy="30074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20</xdr:col>
      <xdr:colOff>1095375</xdr:colOff>
      <xdr:row>287</xdr:row>
      <xdr:rowOff>123825</xdr:rowOff>
    </xdr:from>
    <xdr:to>
      <xdr:col>20</xdr:col>
      <xdr:colOff>1895475</xdr:colOff>
      <xdr:row>288</xdr:row>
      <xdr:rowOff>152400</xdr:rowOff>
    </xdr:to>
    <xdr:pic>
      <xdr:nvPicPr>
        <xdr:cNvPr id="2" name="Picture 1" descr="C:\WINDOWS\TEMP\~0003946.gif">
          <a:extLst>
            <a:ext uri="{FF2B5EF4-FFF2-40B4-BE49-F238E27FC236}">
              <a16:creationId xmlns:a16="http://schemas.microsoft.com/office/drawing/2014/main" id="{16DD39A3-C8B6-4840-A640-6369408EDEB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58254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3" name="Picture 2" descr="C:\WINDOWS\TEMP\~0003946.gif">
          <a:extLst>
            <a:ext uri="{FF2B5EF4-FFF2-40B4-BE49-F238E27FC236}">
              <a16:creationId xmlns:a16="http://schemas.microsoft.com/office/drawing/2014/main" id="{9DC1DC86-47C6-4F3E-A620-A1097E57847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3939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4" name="Picture 3" descr="C:\WINDOWS\TEMP\~0003946.gif">
          <a:extLst>
            <a:ext uri="{FF2B5EF4-FFF2-40B4-BE49-F238E27FC236}">
              <a16:creationId xmlns:a16="http://schemas.microsoft.com/office/drawing/2014/main" id="{6D5DAAB6-B659-4EE2-86D2-3737C2C7F06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2712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 name="Picture 4" descr="C:\WINDOWS\TEMP\~0003946.gif">
          <a:extLst>
            <a:ext uri="{FF2B5EF4-FFF2-40B4-BE49-F238E27FC236}">
              <a16:creationId xmlns:a16="http://schemas.microsoft.com/office/drawing/2014/main" id="{FCDBC4F9-3D29-4320-8528-2889E8CB4D5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1207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287</xdr:row>
      <xdr:rowOff>149679</xdr:rowOff>
    </xdr:from>
    <xdr:to>
      <xdr:col>0</xdr:col>
      <xdr:colOff>306774</xdr:colOff>
      <xdr:row>288</xdr:row>
      <xdr:rowOff>171144</xdr:rowOff>
    </xdr:to>
    <xdr:pic>
      <xdr:nvPicPr>
        <xdr:cNvPr id="6" name="Picture 5">
          <a:extLst>
            <a:ext uri="{FF2B5EF4-FFF2-40B4-BE49-F238E27FC236}">
              <a16:creationId xmlns:a16="http://schemas.microsoft.com/office/drawing/2014/main" id="{287810AF-C018-49BC-B4AC-0306BDB18C39}"/>
            </a:ext>
          </a:extLst>
        </xdr:cNvPr>
        <xdr:cNvPicPr>
          <a:picLocks noChangeAspect="1"/>
        </xdr:cNvPicPr>
      </xdr:nvPicPr>
      <xdr:blipFill>
        <a:blip xmlns:r="http://schemas.openxmlformats.org/officeDocument/2006/relationships" r:embed="rId3"/>
        <a:stretch>
          <a:fillRect/>
        </a:stretch>
      </xdr:blipFill>
      <xdr:spPr>
        <a:xfrm>
          <a:off x="136071" y="58280754"/>
          <a:ext cx="170703" cy="221490"/>
        </a:xfrm>
        <a:prstGeom prst="rect">
          <a:avLst/>
        </a:prstGeom>
      </xdr:spPr>
    </xdr:pic>
    <xdr:clientData/>
  </xdr:twoCellAnchor>
  <xdr:twoCellAnchor editAs="oneCell">
    <xdr:from>
      <xdr:col>0</xdr:col>
      <xdr:colOff>136071</xdr:colOff>
      <xdr:row>193</xdr:row>
      <xdr:rowOff>108857</xdr:rowOff>
    </xdr:from>
    <xdr:to>
      <xdr:col>0</xdr:col>
      <xdr:colOff>306774</xdr:colOff>
      <xdr:row>194</xdr:row>
      <xdr:rowOff>130322</xdr:rowOff>
    </xdr:to>
    <xdr:pic>
      <xdr:nvPicPr>
        <xdr:cNvPr id="7" name="Picture 6">
          <a:extLst>
            <a:ext uri="{FF2B5EF4-FFF2-40B4-BE49-F238E27FC236}">
              <a16:creationId xmlns:a16="http://schemas.microsoft.com/office/drawing/2014/main" id="{D99590B2-6AAD-47CF-82E9-878611EFC65A}"/>
            </a:ext>
          </a:extLst>
        </xdr:cNvPr>
        <xdr:cNvPicPr>
          <a:picLocks noChangeAspect="1"/>
        </xdr:cNvPicPr>
      </xdr:nvPicPr>
      <xdr:blipFill>
        <a:blip xmlns:r="http://schemas.openxmlformats.org/officeDocument/2006/relationships" r:embed="rId3"/>
        <a:stretch>
          <a:fillRect/>
        </a:stretch>
      </xdr:blipFill>
      <xdr:spPr>
        <a:xfrm>
          <a:off x="136071" y="39351857"/>
          <a:ext cx="170703" cy="221490"/>
        </a:xfrm>
        <a:prstGeom prst="rect">
          <a:avLst/>
        </a:prstGeom>
      </xdr:spPr>
    </xdr:pic>
    <xdr:clientData/>
  </xdr:twoCellAnchor>
  <xdr:twoCellAnchor editAs="oneCell">
    <xdr:from>
      <xdr:col>0</xdr:col>
      <xdr:colOff>108858</xdr:colOff>
      <xdr:row>132</xdr:row>
      <xdr:rowOff>68036</xdr:rowOff>
    </xdr:from>
    <xdr:to>
      <xdr:col>0</xdr:col>
      <xdr:colOff>279561</xdr:colOff>
      <xdr:row>133</xdr:row>
      <xdr:rowOff>89501</xdr:rowOff>
    </xdr:to>
    <xdr:pic>
      <xdr:nvPicPr>
        <xdr:cNvPr id="8" name="Picture 7">
          <a:extLst>
            <a:ext uri="{FF2B5EF4-FFF2-40B4-BE49-F238E27FC236}">
              <a16:creationId xmlns:a16="http://schemas.microsoft.com/office/drawing/2014/main" id="{5C3F9C50-1D51-41EE-B2D9-C51205C30101}"/>
            </a:ext>
          </a:extLst>
        </xdr:cNvPr>
        <xdr:cNvPicPr>
          <a:picLocks noChangeAspect="1"/>
        </xdr:cNvPicPr>
      </xdr:nvPicPr>
      <xdr:blipFill>
        <a:blip xmlns:r="http://schemas.openxmlformats.org/officeDocument/2006/relationships" r:embed="rId3"/>
        <a:stretch>
          <a:fillRect/>
        </a:stretch>
      </xdr:blipFill>
      <xdr:spPr>
        <a:xfrm>
          <a:off x="108858" y="27033311"/>
          <a:ext cx="170703" cy="221490"/>
        </a:xfrm>
        <a:prstGeom prst="rect">
          <a:avLst/>
        </a:prstGeom>
      </xdr:spPr>
    </xdr:pic>
    <xdr:clientData/>
  </xdr:twoCellAnchor>
  <xdr:twoCellAnchor editAs="oneCell">
    <xdr:from>
      <xdr:col>0</xdr:col>
      <xdr:colOff>136072</xdr:colOff>
      <xdr:row>59</xdr:row>
      <xdr:rowOff>122464</xdr:rowOff>
    </xdr:from>
    <xdr:to>
      <xdr:col>0</xdr:col>
      <xdr:colOff>306775</xdr:colOff>
      <xdr:row>60</xdr:row>
      <xdr:rowOff>143929</xdr:rowOff>
    </xdr:to>
    <xdr:pic>
      <xdr:nvPicPr>
        <xdr:cNvPr id="9" name="Picture 8">
          <a:extLst>
            <a:ext uri="{FF2B5EF4-FFF2-40B4-BE49-F238E27FC236}">
              <a16:creationId xmlns:a16="http://schemas.microsoft.com/office/drawing/2014/main" id="{0BE51F28-5042-461D-903D-5273D14176BD}"/>
            </a:ext>
          </a:extLst>
        </xdr:cNvPr>
        <xdr:cNvPicPr>
          <a:picLocks noChangeAspect="1"/>
        </xdr:cNvPicPr>
      </xdr:nvPicPr>
      <xdr:blipFill>
        <a:blip xmlns:r="http://schemas.openxmlformats.org/officeDocument/2006/relationships" r:embed="rId3"/>
        <a:stretch>
          <a:fillRect/>
        </a:stretch>
      </xdr:blipFill>
      <xdr:spPr>
        <a:xfrm>
          <a:off x="136072" y="12038239"/>
          <a:ext cx="170703" cy="221490"/>
        </a:xfrm>
        <a:prstGeom prst="rect">
          <a:avLst/>
        </a:prstGeom>
      </xdr:spPr>
    </xdr:pic>
    <xdr:clientData/>
  </xdr:twoCellAnchor>
  <xdr:twoCellAnchor editAs="oneCell">
    <xdr:from>
      <xdr:col>19</xdr:col>
      <xdr:colOff>1238250</xdr:colOff>
      <xdr:row>59</xdr:row>
      <xdr:rowOff>54429</xdr:rowOff>
    </xdr:from>
    <xdr:to>
      <xdr:col>20</xdr:col>
      <xdr:colOff>870390</xdr:colOff>
      <xdr:row>60</xdr:row>
      <xdr:rowOff>155148</xdr:rowOff>
    </xdr:to>
    <xdr:pic>
      <xdr:nvPicPr>
        <xdr:cNvPr id="10" name="Picture 9">
          <a:extLst>
            <a:ext uri="{FF2B5EF4-FFF2-40B4-BE49-F238E27FC236}">
              <a16:creationId xmlns:a16="http://schemas.microsoft.com/office/drawing/2014/main" id="{B43336E5-055D-433C-B55B-4CF4109C18FB}"/>
            </a:ext>
          </a:extLst>
        </xdr:cNvPr>
        <xdr:cNvPicPr>
          <a:picLocks noChangeAspect="1"/>
        </xdr:cNvPicPr>
      </xdr:nvPicPr>
      <xdr:blipFill>
        <a:blip xmlns:r="http://schemas.openxmlformats.org/officeDocument/2006/relationships" r:embed="rId4"/>
        <a:stretch>
          <a:fillRect/>
        </a:stretch>
      </xdr:blipFill>
      <xdr:spPr>
        <a:xfrm>
          <a:off x="22717125" y="11970204"/>
          <a:ext cx="889440" cy="300744"/>
        </a:xfrm>
        <a:prstGeom prst="rect">
          <a:avLst/>
        </a:prstGeom>
      </xdr:spPr>
    </xdr:pic>
    <xdr:clientData/>
  </xdr:twoCellAnchor>
  <xdr:twoCellAnchor editAs="oneCell">
    <xdr:from>
      <xdr:col>20</xdr:col>
      <xdr:colOff>13607</xdr:colOff>
      <xdr:row>132</xdr:row>
      <xdr:rowOff>40821</xdr:rowOff>
    </xdr:from>
    <xdr:to>
      <xdr:col>20</xdr:col>
      <xdr:colOff>897604</xdr:colOff>
      <xdr:row>133</xdr:row>
      <xdr:rowOff>141540</xdr:rowOff>
    </xdr:to>
    <xdr:pic>
      <xdr:nvPicPr>
        <xdr:cNvPr id="11" name="Picture 10">
          <a:extLst>
            <a:ext uri="{FF2B5EF4-FFF2-40B4-BE49-F238E27FC236}">
              <a16:creationId xmlns:a16="http://schemas.microsoft.com/office/drawing/2014/main" id="{BC8589E9-C3EF-4F91-B55A-E3CADF5E19B4}"/>
            </a:ext>
          </a:extLst>
        </xdr:cNvPr>
        <xdr:cNvPicPr>
          <a:picLocks noChangeAspect="1"/>
        </xdr:cNvPicPr>
      </xdr:nvPicPr>
      <xdr:blipFill>
        <a:blip xmlns:r="http://schemas.openxmlformats.org/officeDocument/2006/relationships" r:embed="rId4"/>
        <a:stretch>
          <a:fillRect/>
        </a:stretch>
      </xdr:blipFill>
      <xdr:spPr>
        <a:xfrm>
          <a:off x="22749782" y="27006096"/>
          <a:ext cx="883997" cy="300744"/>
        </a:xfrm>
        <a:prstGeom prst="rect">
          <a:avLst/>
        </a:prstGeom>
      </xdr:spPr>
    </xdr:pic>
    <xdr:clientData/>
  </xdr:twoCellAnchor>
  <xdr:twoCellAnchor editAs="oneCell">
    <xdr:from>
      <xdr:col>20</xdr:col>
      <xdr:colOff>0</xdr:colOff>
      <xdr:row>193</xdr:row>
      <xdr:rowOff>0</xdr:rowOff>
    </xdr:from>
    <xdr:to>
      <xdr:col>20</xdr:col>
      <xdr:colOff>883997</xdr:colOff>
      <xdr:row>194</xdr:row>
      <xdr:rowOff>100719</xdr:rowOff>
    </xdr:to>
    <xdr:pic>
      <xdr:nvPicPr>
        <xdr:cNvPr id="12" name="Picture 11">
          <a:extLst>
            <a:ext uri="{FF2B5EF4-FFF2-40B4-BE49-F238E27FC236}">
              <a16:creationId xmlns:a16="http://schemas.microsoft.com/office/drawing/2014/main" id="{57CC040E-D750-4C1C-A5D7-7A60DBA0B6AD}"/>
            </a:ext>
          </a:extLst>
        </xdr:cNvPr>
        <xdr:cNvPicPr>
          <a:picLocks noChangeAspect="1"/>
        </xdr:cNvPicPr>
      </xdr:nvPicPr>
      <xdr:blipFill>
        <a:blip xmlns:r="http://schemas.openxmlformats.org/officeDocument/2006/relationships" r:embed="rId4"/>
        <a:stretch>
          <a:fillRect/>
        </a:stretch>
      </xdr:blipFill>
      <xdr:spPr>
        <a:xfrm>
          <a:off x="22736175" y="39243000"/>
          <a:ext cx="883997" cy="300744"/>
        </a:xfrm>
        <a:prstGeom prst="rect">
          <a:avLst/>
        </a:prstGeom>
      </xdr:spPr>
    </xdr:pic>
    <xdr:clientData/>
  </xdr:twoCellAnchor>
  <xdr:twoCellAnchor editAs="oneCell">
    <xdr:from>
      <xdr:col>20</xdr:col>
      <xdr:colOff>0</xdr:colOff>
      <xdr:row>287</xdr:row>
      <xdr:rowOff>0</xdr:rowOff>
    </xdr:from>
    <xdr:to>
      <xdr:col>20</xdr:col>
      <xdr:colOff>883997</xdr:colOff>
      <xdr:row>288</xdr:row>
      <xdr:rowOff>100719</xdr:rowOff>
    </xdr:to>
    <xdr:pic>
      <xdr:nvPicPr>
        <xdr:cNvPr id="13" name="Picture 12">
          <a:extLst>
            <a:ext uri="{FF2B5EF4-FFF2-40B4-BE49-F238E27FC236}">
              <a16:creationId xmlns:a16="http://schemas.microsoft.com/office/drawing/2014/main" id="{868A29A2-8188-47C7-9E84-7CBC9CB711C5}"/>
            </a:ext>
          </a:extLst>
        </xdr:cNvPr>
        <xdr:cNvPicPr>
          <a:picLocks noChangeAspect="1"/>
        </xdr:cNvPicPr>
      </xdr:nvPicPr>
      <xdr:blipFill>
        <a:blip xmlns:r="http://schemas.openxmlformats.org/officeDocument/2006/relationships" r:embed="rId4"/>
        <a:stretch>
          <a:fillRect/>
        </a:stretch>
      </xdr:blipFill>
      <xdr:spPr>
        <a:xfrm>
          <a:off x="22736175" y="58131075"/>
          <a:ext cx="883997" cy="30074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20</xdr:col>
      <xdr:colOff>1095375</xdr:colOff>
      <xdr:row>287</xdr:row>
      <xdr:rowOff>123825</xdr:rowOff>
    </xdr:from>
    <xdr:to>
      <xdr:col>20</xdr:col>
      <xdr:colOff>1895475</xdr:colOff>
      <xdr:row>288</xdr:row>
      <xdr:rowOff>152400</xdr:rowOff>
    </xdr:to>
    <xdr:pic>
      <xdr:nvPicPr>
        <xdr:cNvPr id="2" name="Picture 1" descr="C:\WINDOWS\TEMP\~0003946.gif">
          <a:extLst>
            <a:ext uri="{FF2B5EF4-FFF2-40B4-BE49-F238E27FC236}">
              <a16:creationId xmlns:a16="http://schemas.microsoft.com/office/drawing/2014/main" id="{40055AC6-5ABA-4652-9573-3B9B7676060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58254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3" name="Picture 2" descr="C:\WINDOWS\TEMP\~0003946.gif">
          <a:extLst>
            <a:ext uri="{FF2B5EF4-FFF2-40B4-BE49-F238E27FC236}">
              <a16:creationId xmlns:a16="http://schemas.microsoft.com/office/drawing/2014/main" id="{77E0854A-59B0-4CAE-8929-FA670E508B1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3939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4" name="Picture 3" descr="C:\WINDOWS\TEMP\~0003946.gif">
          <a:extLst>
            <a:ext uri="{FF2B5EF4-FFF2-40B4-BE49-F238E27FC236}">
              <a16:creationId xmlns:a16="http://schemas.microsoft.com/office/drawing/2014/main" id="{7E134724-749E-4E45-8A36-DC008303DA3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2712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 name="Picture 4" descr="C:\WINDOWS\TEMP\~0003946.gif">
          <a:extLst>
            <a:ext uri="{FF2B5EF4-FFF2-40B4-BE49-F238E27FC236}">
              <a16:creationId xmlns:a16="http://schemas.microsoft.com/office/drawing/2014/main" id="{CFECA80D-F5EB-4BA2-9CF3-825EB31384F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1207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287</xdr:row>
      <xdr:rowOff>149679</xdr:rowOff>
    </xdr:from>
    <xdr:to>
      <xdr:col>0</xdr:col>
      <xdr:colOff>306774</xdr:colOff>
      <xdr:row>288</xdr:row>
      <xdr:rowOff>171144</xdr:rowOff>
    </xdr:to>
    <xdr:pic>
      <xdr:nvPicPr>
        <xdr:cNvPr id="6" name="Picture 5">
          <a:extLst>
            <a:ext uri="{FF2B5EF4-FFF2-40B4-BE49-F238E27FC236}">
              <a16:creationId xmlns:a16="http://schemas.microsoft.com/office/drawing/2014/main" id="{C8E65EA0-64B9-4AFF-9145-CC5864649C53}"/>
            </a:ext>
          </a:extLst>
        </xdr:cNvPr>
        <xdr:cNvPicPr>
          <a:picLocks noChangeAspect="1"/>
        </xdr:cNvPicPr>
      </xdr:nvPicPr>
      <xdr:blipFill>
        <a:blip xmlns:r="http://schemas.openxmlformats.org/officeDocument/2006/relationships" r:embed="rId3"/>
        <a:stretch>
          <a:fillRect/>
        </a:stretch>
      </xdr:blipFill>
      <xdr:spPr>
        <a:xfrm>
          <a:off x="136071" y="58280754"/>
          <a:ext cx="170703" cy="221490"/>
        </a:xfrm>
        <a:prstGeom prst="rect">
          <a:avLst/>
        </a:prstGeom>
      </xdr:spPr>
    </xdr:pic>
    <xdr:clientData/>
  </xdr:twoCellAnchor>
  <xdr:twoCellAnchor editAs="oneCell">
    <xdr:from>
      <xdr:col>0</xdr:col>
      <xdr:colOff>136071</xdr:colOff>
      <xdr:row>193</xdr:row>
      <xdr:rowOff>108857</xdr:rowOff>
    </xdr:from>
    <xdr:to>
      <xdr:col>0</xdr:col>
      <xdr:colOff>306774</xdr:colOff>
      <xdr:row>194</xdr:row>
      <xdr:rowOff>130322</xdr:rowOff>
    </xdr:to>
    <xdr:pic>
      <xdr:nvPicPr>
        <xdr:cNvPr id="7" name="Picture 6">
          <a:extLst>
            <a:ext uri="{FF2B5EF4-FFF2-40B4-BE49-F238E27FC236}">
              <a16:creationId xmlns:a16="http://schemas.microsoft.com/office/drawing/2014/main" id="{936310FB-93D0-4E13-88A2-6E60C3A9265D}"/>
            </a:ext>
          </a:extLst>
        </xdr:cNvPr>
        <xdr:cNvPicPr>
          <a:picLocks noChangeAspect="1"/>
        </xdr:cNvPicPr>
      </xdr:nvPicPr>
      <xdr:blipFill>
        <a:blip xmlns:r="http://schemas.openxmlformats.org/officeDocument/2006/relationships" r:embed="rId3"/>
        <a:stretch>
          <a:fillRect/>
        </a:stretch>
      </xdr:blipFill>
      <xdr:spPr>
        <a:xfrm>
          <a:off x="136071" y="39351857"/>
          <a:ext cx="170703" cy="221490"/>
        </a:xfrm>
        <a:prstGeom prst="rect">
          <a:avLst/>
        </a:prstGeom>
      </xdr:spPr>
    </xdr:pic>
    <xdr:clientData/>
  </xdr:twoCellAnchor>
  <xdr:twoCellAnchor editAs="oneCell">
    <xdr:from>
      <xdr:col>0</xdr:col>
      <xdr:colOff>108858</xdr:colOff>
      <xdr:row>132</xdr:row>
      <xdr:rowOff>68036</xdr:rowOff>
    </xdr:from>
    <xdr:to>
      <xdr:col>0</xdr:col>
      <xdr:colOff>279561</xdr:colOff>
      <xdr:row>133</xdr:row>
      <xdr:rowOff>89501</xdr:rowOff>
    </xdr:to>
    <xdr:pic>
      <xdr:nvPicPr>
        <xdr:cNvPr id="8" name="Picture 7">
          <a:extLst>
            <a:ext uri="{FF2B5EF4-FFF2-40B4-BE49-F238E27FC236}">
              <a16:creationId xmlns:a16="http://schemas.microsoft.com/office/drawing/2014/main" id="{F9D8A9BC-04CE-4B9D-BFE4-DA6A66956485}"/>
            </a:ext>
          </a:extLst>
        </xdr:cNvPr>
        <xdr:cNvPicPr>
          <a:picLocks noChangeAspect="1"/>
        </xdr:cNvPicPr>
      </xdr:nvPicPr>
      <xdr:blipFill>
        <a:blip xmlns:r="http://schemas.openxmlformats.org/officeDocument/2006/relationships" r:embed="rId3"/>
        <a:stretch>
          <a:fillRect/>
        </a:stretch>
      </xdr:blipFill>
      <xdr:spPr>
        <a:xfrm>
          <a:off x="108858" y="27033311"/>
          <a:ext cx="170703" cy="221490"/>
        </a:xfrm>
        <a:prstGeom prst="rect">
          <a:avLst/>
        </a:prstGeom>
      </xdr:spPr>
    </xdr:pic>
    <xdr:clientData/>
  </xdr:twoCellAnchor>
  <xdr:twoCellAnchor editAs="oneCell">
    <xdr:from>
      <xdr:col>0</xdr:col>
      <xdr:colOff>136072</xdr:colOff>
      <xdr:row>59</xdr:row>
      <xdr:rowOff>122464</xdr:rowOff>
    </xdr:from>
    <xdr:to>
      <xdr:col>0</xdr:col>
      <xdr:colOff>306775</xdr:colOff>
      <xdr:row>60</xdr:row>
      <xdr:rowOff>143929</xdr:rowOff>
    </xdr:to>
    <xdr:pic>
      <xdr:nvPicPr>
        <xdr:cNvPr id="9" name="Picture 8">
          <a:extLst>
            <a:ext uri="{FF2B5EF4-FFF2-40B4-BE49-F238E27FC236}">
              <a16:creationId xmlns:a16="http://schemas.microsoft.com/office/drawing/2014/main" id="{A8F0EB37-7791-4A2D-9F3A-5B0687AFF484}"/>
            </a:ext>
          </a:extLst>
        </xdr:cNvPr>
        <xdr:cNvPicPr>
          <a:picLocks noChangeAspect="1"/>
        </xdr:cNvPicPr>
      </xdr:nvPicPr>
      <xdr:blipFill>
        <a:blip xmlns:r="http://schemas.openxmlformats.org/officeDocument/2006/relationships" r:embed="rId3"/>
        <a:stretch>
          <a:fillRect/>
        </a:stretch>
      </xdr:blipFill>
      <xdr:spPr>
        <a:xfrm>
          <a:off x="136072" y="12038239"/>
          <a:ext cx="170703" cy="221490"/>
        </a:xfrm>
        <a:prstGeom prst="rect">
          <a:avLst/>
        </a:prstGeom>
      </xdr:spPr>
    </xdr:pic>
    <xdr:clientData/>
  </xdr:twoCellAnchor>
  <xdr:twoCellAnchor editAs="oneCell">
    <xdr:from>
      <xdr:col>19</xdr:col>
      <xdr:colOff>1238250</xdr:colOff>
      <xdr:row>59</xdr:row>
      <xdr:rowOff>54429</xdr:rowOff>
    </xdr:from>
    <xdr:to>
      <xdr:col>20</xdr:col>
      <xdr:colOff>870390</xdr:colOff>
      <xdr:row>60</xdr:row>
      <xdr:rowOff>155148</xdr:rowOff>
    </xdr:to>
    <xdr:pic>
      <xdr:nvPicPr>
        <xdr:cNvPr id="10" name="Picture 9">
          <a:extLst>
            <a:ext uri="{FF2B5EF4-FFF2-40B4-BE49-F238E27FC236}">
              <a16:creationId xmlns:a16="http://schemas.microsoft.com/office/drawing/2014/main" id="{A991E94A-F1BA-41D8-8A5D-B8CB2D437566}"/>
            </a:ext>
          </a:extLst>
        </xdr:cNvPr>
        <xdr:cNvPicPr>
          <a:picLocks noChangeAspect="1"/>
        </xdr:cNvPicPr>
      </xdr:nvPicPr>
      <xdr:blipFill>
        <a:blip xmlns:r="http://schemas.openxmlformats.org/officeDocument/2006/relationships" r:embed="rId4"/>
        <a:stretch>
          <a:fillRect/>
        </a:stretch>
      </xdr:blipFill>
      <xdr:spPr>
        <a:xfrm>
          <a:off x="22717125" y="11970204"/>
          <a:ext cx="889440" cy="300744"/>
        </a:xfrm>
        <a:prstGeom prst="rect">
          <a:avLst/>
        </a:prstGeom>
      </xdr:spPr>
    </xdr:pic>
    <xdr:clientData/>
  </xdr:twoCellAnchor>
  <xdr:twoCellAnchor editAs="oneCell">
    <xdr:from>
      <xdr:col>20</xdr:col>
      <xdr:colOff>13607</xdr:colOff>
      <xdr:row>132</xdr:row>
      <xdr:rowOff>40821</xdr:rowOff>
    </xdr:from>
    <xdr:to>
      <xdr:col>20</xdr:col>
      <xdr:colOff>897604</xdr:colOff>
      <xdr:row>133</xdr:row>
      <xdr:rowOff>141540</xdr:rowOff>
    </xdr:to>
    <xdr:pic>
      <xdr:nvPicPr>
        <xdr:cNvPr id="11" name="Picture 10">
          <a:extLst>
            <a:ext uri="{FF2B5EF4-FFF2-40B4-BE49-F238E27FC236}">
              <a16:creationId xmlns:a16="http://schemas.microsoft.com/office/drawing/2014/main" id="{4E697D62-4F37-4AD6-A044-20C42EDEAEF4}"/>
            </a:ext>
          </a:extLst>
        </xdr:cNvPr>
        <xdr:cNvPicPr>
          <a:picLocks noChangeAspect="1"/>
        </xdr:cNvPicPr>
      </xdr:nvPicPr>
      <xdr:blipFill>
        <a:blip xmlns:r="http://schemas.openxmlformats.org/officeDocument/2006/relationships" r:embed="rId4"/>
        <a:stretch>
          <a:fillRect/>
        </a:stretch>
      </xdr:blipFill>
      <xdr:spPr>
        <a:xfrm>
          <a:off x="22749782" y="27006096"/>
          <a:ext cx="883997" cy="300744"/>
        </a:xfrm>
        <a:prstGeom prst="rect">
          <a:avLst/>
        </a:prstGeom>
      </xdr:spPr>
    </xdr:pic>
    <xdr:clientData/>
  </xdr:twoCellAnchor>
  <xdr:twoCellAnchor editAs="oneCell">
    <xdr:from>
      <xdr:col>20</xdr:col>
      <xdr:colOff>0</xdr:colOff>
      <xdr:row>193</xdr:row>
      <xdr:rowOff>0</xdr:rowOff>
    </xdr:from>
    <xdr:to>
      <xdr:col>20</xdr:col>
      <xdr:colOff>883997</xdr:colOff>
      <xdr:row>194</xdr:row>
      <xdr:rowOff>100719</xdr:rowOff>
    </xdr:to>
    <xdr:pic>
      <xdr:nvPicPr>
        <xdr:cNvPr id="12" name="Picture 11">
          <a:extLst>
            <a:ext uri="{FF2B5EF4-FFF2-40B4-BE49-F238E27FC236}">
              <a16:creationId xmlns:a16="http://schemas.microsoft.com/office/drawing/2014/main" id="{343D5F83-E59B-40FD-9C47-FE8784F20814}"/>
            </a:ext>
          </a:extLst>
        </xdr:cNvPr>
        <xdr:cNvPicPr>
          <a:picLocks noChangeAspect="1"/>
        </xdr:cNvPicPr>
      </xdr:nvPicPr>
      <xdr:blipFill>
        <a:blip xmlns:r="http://schemas.openxmlformats.org/officeDocument/2006/relationships" r:embed="rId4"/>
        <a:stretch>
          <a:fillRect/>
        </a:stretch>
      </xdr:blipFill>
      <xdr:spPr>
        <a:xfrm>
          <a:off x="22736175" y="39243000"/>
          <a:ext cx="883997" cy="300744"/>
        </a:xfrm>
        <a:prstGeom prst="rect">
          <a:avLst/>
        </a:prstGeom>
      </xdr:spPr>
    </xdr:pic>
    <xdr:clientData/>
  </xdr:twoCellAnchor>
  <xdr:twoCellAnchor editAs="oneCell">
    <xdr:from>
      <xdr:col>20</xdr:col>
      <xdr:colOff>0</xdr:colOff>
      <xdr:row>287</xdr:row>
      <xdr:rowOff>0</xdr:rowOff>
    </xdr:from>
    <xdr:to>
      <xdr:col>20</xdr:col>
      <xdr:colOff>883997</xdr:colOff>
      <xdr:row>288</xdr:row>
      <xdr:rowOff>100719</xdr:rowOff>
    </xdr:to>
    <xdr:pic>
      <xdr:nvPicPr>
        <xdr:cNvPr id="13" name="Picture 12">
          <a:extLst>
            <a:ext uri="{FF2B5EF4-FFF2-40B4-BE49-F238E27FC236}">
              <a16:creationId xmlns:a16="http://schemas.microsoft.com/office/drawing/2014/main" id="{E8BEA3A9-DA5E-415E-83AD-0E1AA2EF3B04}"/>
            </a:ext>
          </a:extLst>
        </xdr:cNvPr>
        <xdr:cNvPicPr>
          <a:picLocks noChangeAspect="1"/>
        </xdr:cNvPicPr>
      </xdr:nvPicPr>
      <xdr:blipFill>
        <a:blip xmlns:r="http://schemas.openxmlformats.org/officeDocument/2006/relationships" r:embed="rId4"/>
        <a:stretch>
          <a:fillRect/>
        </a:stretch>
      </xdr:blipFill>
      <xdr:spPr>
        <a:xfrm>
          <a:off x="22736175" y="58131075"/>
          <a:ext cx="883997" cy="30074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20</xdr:col>
      <xdr:colOff>1095375</xdr:colOff>
      <xdr:row>287</xdr:row>
      <xdr:rowOff>123825</xdr:rowOff>
    </xdr:from>
    <xdr:to>
      <xdr:col>20</xdr:col>
      <xdr:colOff>1895475</xdr:colOff>
      <xdr:row>288</xdr:row>
      <xdr:rowOff>152400</xdr:rowOff>
    </xdr:to>
    <xdr:pic>
      <xdr:nvPicPr>
        <xdr:cNvPr id="2" name="Picture 1" descr="C:\WINDOWS\TEMP\~0003946.gif">
          <a:extLst>
            <a:ext uri="{FF2B5EF4-FFF2-40B4-BE49-F238E27FC236}">
              <a16:creationId xmlns:a16="http://schemas.microsoft.com/office/drawing/2014/main" id="{E71C2766-9D7E-446F-B98A-405A2739083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58254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193</xdr:row>
      <xdr:rowOff>152400</xdr:rowOff>
    </xdr:from>
    <xdr:to>
      <xdr:col>20</xdr:col>
      <xdr:colOff>1924050</xdr:colOff>
      <xdr:row>194</xdr:row>
      <xdr:rowOff>180975</xdr:rowOff>
    </xdr:to>
    <xdr:pic>
      <xdr:nvPicPr>
        <xdr:cNvPr id="3" name="Picture 2" descr="C:\WINDOWS\TEMP\~0003946.gif">
          <a:extLst>
            <a:ext uri="{FF2B5EF4-FFF2-40B4-BE49-F238E27FC236}">
              <a16:creationId xmlns:a16="http://schemas.microsoft.com/office/drawing/2014/main" id="{5C923A88-0203-469D-B07E-4E8021D3705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3939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132</xdr:row>
      <xdr:rowOff>161925</xdr:rowOff>
    </xdr:from>
    <xdr:to>
      <xdr:col>20</xdr:col>
      <xdr:colOff>1952625</xdr:colOff>
      <xdr:row>133</xdr:row>
      <xdr:rowOff>190500</xdr:rowOff>
    </xdr:to>
    <xdr:pic>
      <xdr:nvPicPr>
        <xdr:cNvPr id="4" name="Picture 3" descr="C:\WINDOWS\TEMP\~0003946.gif">
          <a:extLst>
            <a:ext uri="{FF2B5EF4-FFF2-40B4-BE49-F238E27FC236}">
              <a16:creationId xmlns:a16="http://schemas.microsoft.com/office/drawing/2014/main" id="{01830B73-4C7A-4EA3-BAD3-8FC862F4A9D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2712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 name="Picture 4" descr="C:\WINDOWS\TEMP\~0003946.gif">
          <a:extLst>
            <a:ext uri="{FF2B5EF4-FFF2-40B4-BE49-F238E27FC236}">
              <a16:creationId xmlns:a16="http://schemas.microsoft.com/office/drawing/2014/main" id="{35BAAF66-2075-44CA-B24F-7BCC53F63AF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1207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287</xdr:row>
      <xdr:rowOff>149679</xdr:rowOff>
    </xdr:from>
    <xdr:to>
      <xdr:col>0</xdr:col>
      <xdr:colOff>306774</xdr:colOff>
      <xdr:row>288</xdr:row>
      <xdr:rowOff>171144</xdr:rowOff>
    </xdr:to>
    <xdr:pic>
      <xdr:nvPicPr>
        <xdr:cNvPr id="6" name="Picture 5">
          <a:extLst>
            <a:ext uri="{FF2B5EF4-FFF2-40B4-BE49-F238E27FC236}">
              <a16:creationId xmlns:a16="http://schemas.microsoft.com/office/drawing/2014/main" id="{F7981C9F-78DB-4BAE-B902-FC1AA7D63DF4}"/>
            </a:ext>
          </a:extLst>
        </xdr:cNvPr>
        <xdr:cNvPicPr>
          <a:picLocks noChangeAspect="1"/>
        </xdr:cNvPicPr>
      </xdr:nvPicPr>
      <xdr:blipFill>
        <a:blip xmlns:r="http://schemas.openxmlformats.org/officeDocument/2006/relationships" r:embed="rId3"/>
        <a:stretch>
          <a:fillRect/>
        </a:stretch>
      </xdr:blipFill>
      <xdr:spPr>
        <a:xfrm>
          <a:off x="136071" y="58280754"/>
          <a:ext cx="170703" cy="221490"/>
        </a:xfrm>
        <a:prstGeom prst="rect">
          <a:avLst/>
        </a:prstGeom>
      </xdr:spPr>
    </xdr:pic>
    <xdr:clientData/>
  </xdr:twoCellAnchor>
  <xdr:twoCellAnchor editAs="oneCell">
    <xdr:from>
      <xdr:col>0</xdr:col>
      <xdr:colOff>136071</xdr:colOff>
      <xdr:row>193</xdr:row>
      <xdr:rowOff>108857</xdr:rowOff>
    </xdr:from>
    <xdr:to>
      <xdr:col>0</xdr:col>
      <xdr:colOff>306774</xdr:colOff>
      <xdr:row>194</xdr:row>
      <xdr:rowOff>130322</xdr:rowOff>
    </xdr:to>
    <xdr:pic>
      <xdr:nvPicPr>
        <xdr:cNvPr id="7" name="Picture 6">
          <a:extLst>
            <a:ext uri="{FF2B5EF4-FFF2-40B4-BE49-F238E27FC236}">
              <a16:creationId xmlns:a16="http://schemas.microsoft.com/office/drawing/2014/main" id="{15AA8955-29AE-47DF-B413-E15EEDEF95C8}"/>
            </a:ext>
          </a:extLst>
        </xdr:cNvPr>
        <xdr:cNvPicPr>
          <a:picLocks noChangeAspect="1"/>
        </xdr:cNvPicPr>
      </xdr:nvPicPr>
      <xdr:blipFill>
        <a:blip xmlns:r="http://schemas.openxmlformats.org/officeDocument/2006/relationships" r:embed="rId3"/>
        <a:stretch>
          <a:fillRect/>
        </a:stretch>
      </xdr:blipFill>
      <xdr:spPr>
        <a:xfrm>
          <a:off x="136071" y="39351857"/>
          <a:ext cx="170703" cy="221490"/>
        </a:xfrm>
        <a:prstGeom prst="rect">
          <a:avLst/>
        </a:prstGeom>
      </xdr:spPr>
    </xdr:pic>
    <xdr:clientData/>
  </xdr:twoCellAnchor>
  <xdr:twoCellAnchor editAs="oneCell">
    <xdr:from>
      <xdr:col>0</xdr:col>
      <xdr:colOff>108858</xdr:colOff>
      <xdr:row>132</xdr:row>
      <xdr:rowOff>68036</xdr:rowOff>
    </xdr:from>
    <xdr:to>
      <xdr:col>0</xdr:col>
      <xdr:colOff>279561</xdr:colOff>
      <xdr:row>133</xdr:row>
      <xdr:rowOff>89501</xdr:rowOff>
    </xdr:to>
    <xdr:pic>
      <xdr:nvPicPr>
        <xdr:cNvPr id="8" name="Picture 7">
          <a:extLst>
            <a:ext uri="{FF2B5EF4-FFF2-40B4-BE49-F238E27FC236}">
              <a16:creationId xmlns:a16="http://schemas.microsoft.com/office/drawing/2014/main" id="{430C9F7C-8131-43C2-9D82-9050F443756A}"/>
            </a:ext>
          </a:extLst>
        </xdr:cNvPr>
        <xdr:cNvPicPr>
          <a:picLocks noChangeAspect="1"/>
        </xdr:cNvPicPr>
      </xdr:nvPicPr>
      <xdr:blipFill>
        <a:blip xmlns:r="http://schemas.openxmlformats.org/officeDocument/2006/relationships" r:embed="rId3"/>
        <a:stretch>
          <a:fillRect/>
        </a:stretch>
      </xdr:blipFill>
      <xdr:spPr>
        <a:xfrm>
          <a:off x="108858" y="27033311"/>
          <a:ext cx="170703" cy="221490"/>
        </a:xfrm>
        <a:prstGeom prst="rect">
          <a:avLst/>
        </a:prstGeom>
      </xdr:spPr>
    </xdr:pic>
    <xdr:clientData/>
  </xdr:twoCellAnchor>
  <xdr:twoCellAnchor editAs="oneCell">
    <xdr:from>
      <xdr:col>0</xdr:col>
      <xdr:colOff>136072</xdr:colOff>
      <xdr:row>59</xdr:row>
      <xdr:rowOff>122464</xdr:rowOff>
    </xdr:from>
    <xdr:to>
      <xdr:col>0</xdr:col>
      <xdr:colOff>306775</xdr:colOff>
      <xdr:row>60</xdr:row>
      <xdr:rowOff>143929</xdr:rowOff>
    </xdr:to>
    <xdr:pic>
      <xdr:nvPicPr>
        <xdr:cNvPr id="9" name="Picture 8">
          <a:extLst>
            <a:ext uri="{FF2B5EF4-FFF2-40B4-BE49-F238E27FC236}">
              <a16:creationId xmlns:a16="http://schemas.microsoft.com/office/drawing/2014/main" id="{C02BF5B1-D895-48F6-8990-53DD18B6A3F2}"/>
            </a:ext>
          </a:extLst>
        </xdr:cNvPr>
        <xdr:cNvPicPr>
          <a:picLocks noChangeAspect="1"/>
        </xdr:cNvPicPr>
      </xdr:nvPicPr>
      <xdr:blipFill>
        <a:blip xmlns:r="http://schemas.openxmlformats.org/officeDocument/2006/relationships" r:embed="rId3"/>
        <a:stretch>
          <a:fillRect/>
        </a:stretch>
      </xdr:blipFill>
      <xdr:spPr>
        <a:xfrm>
          <a:off x="136072" y="12038239"/>
          <a:ext cx="170703" cy="221490"/>
        </a:xfrm>
        <a:prstGeom prst="rect">
          <a:avLst/>
        </a:prstGeom>
      </xdr:spPr>
    </xdr:pic>
    <xdr:clientData/>
  </xdr:twoCellAnchor>
  <xdr:twoCellAnchor editAs="oneCell">
    <xdr:from>
      <xdr:col>19</xdr:col>
      <xdr:colOff>1238250</xdr:colOff>
      <xdr:row>59</xdr:row>
      <xdr:rowOff>54429</xdr:rowOff>
    </xdr:from>
    <xdr:to>
      <xdr:col>20</xdr:col>
      <xdr:colOff>870390</xdr:colOff>
      <xdr:row>60</xdr:row>
      <xdr:rowOff>155148</xdr:rowOff>
    </xdr:to>
    <xdr:pic>
      <xdr:nvPicPr>
        <xdr:cNvPr id="10" name="Picture 9">
          <a:extLst>
            <a:ext uri="{FF2B5EF4-FFF2-40B4-BE49-F238E27FC236}">
              <a16:creationId xmlns:a16="http://schemas.microsoft.com/office/drawing/2014/main" id="{C23E54CF-F373-4921-90DE-2A5598478EA0}"/>
            </a:ext>
          </a:extLst>
        </xdr:cNvPr>
        <xdr:cNvPicPr>
          <a:picLocks noChangeAspect="1"/>
        </xdr:cNvPicPr>
      </xdr:nvPicPr>
      <xdr:blipFill>
        <a:blip xmlns:r="http://schemas.openxmlformats.org/officeDocument/2006/relationships" r:embed="rId4"/>
        <a:stretch>
          <a:fillRect/>
        </a:stretch>
      </xdr:blipFill>
      <xdr:spPr>
        <a:xfrm>
          <a:off x="22717125" y="11970204"/>
          <a:ext cx="889440" cy="300744"/>
        </a:xfrm>
        <a:prstGeom prst="rect">
          <a:avLst/>
        </a:prstGeom>
      </xdr:spPr>
    </xdr:pic>
    <xdr:clientData/>
  </xdr:twoCellAnchor>
  <xdr:twoCellAnchor editAs="oneCell">
    <xdr:from>
      <xdr:col>20</xdr:col>
      <xdr:colOff>13607</xdr:colOff>
      <xdr:row>132</xdr:row>
      <xdr:rowOff>40821</xdr:rowOff>
    </xdr:from>
    <xdr:to>
      <xdr:col>20</xdr:col>
      <xdr:colOff>897604</xdr:colOff>
      <xdr:row>133</xdr:row>
      <xdr:rowOff>141540</xdr:rowOff>
    </xdr:to>
    <xdr:pic>
      <xdr:nvPicPr>
        <xdr:cNvPr id="11" name="Picture 10">
          <a:extLst>
            <a:ext uri="{FF2B5EF4-FFF2-40B4-BE49-F238E27FC236}">
              <a16:creationId xmlns:a16="http://schemas.microsoft.com/office/drawing/2014/main" id="{5716ADE2-C8E8-4051-A7C9-188FC8FC18CA}"/>
            </a:ext>
          </a:extLst>
        </xdr:cNvPr>
        <xdr:cNvPicPr>
          <a:picLocks noChangeAspect="1"/>
        </xdr:cNvPicPr>
      </xdr:nvPicPr>
      <xdr:blipFill>
        <a:blip xmlns:r="http://schemas.openxmlformats.org/officeDocument/2006/relationships" r:embed="rId4"/>
        <a:stretch>
          <a:fillRect/>
        </a:stretch>
      </xdr:blipFill>
      <xdr:spPr>
        <a:xfrm>
          <a:off x="22749782" y="27006096"/>
          <a:ext cx="883997" cy="300744"/>
        </a:xfrm>
        <a:prstGeom prst="rect">
          <a:avLst/>
        </a:prstGeom>
      </xdr:spPr>
    </xdr:pic>
    <xdr:clientData/>
  </xdr:twoCellAnchor>
  <xdr:twoCellAnchor editAs="oneCell">
    <xdr:from>
      <xdr:col>20</xdr:col>
      <xdr:colOff>0</xdr:colOff>
      <xdr:row>193</xdr:row>
      <xdr:rowOff>0</xdr:rowOff>
    </xdr:from>
    <xdr:to>
      <xdr:col>20</xdr:col>
      <xdr:colOff>883997</xdr:colOff>
      <xdr:row>194</xdr:row>
      <xdr:rowOff>100719</xdr:rowOff>
    </xdr:to>
    <xdr:pic>
      <xdr:nvPicPr>
        <xdr:cNvPr id="12" name="Picture 11">
          <a:extLst>
            <a:ext uri="{FF2B5EF4-FFF2-40B4-BE49-F238E27FC236}">
              <a16:creationId xmlns:a16="http://schemas.microsoft.com/office/drawing/2014/main" id="{8083A7A1-57A4-42A5-B10B-4A41DA6B891A}"/>
            </a:ext>
          </a:extLst>
        </xdr:cNvPr>
        <xdr:cNvPicPr>
          <a:picLocks noChangeAspect="1"/>
        </xdr:cNvPicPr>
      </xdr:nvPicPr>
      <xdr:blipFill>
        <a:blip xmlns:r="http://schemas.openxmlformats.org/officeDocument/2006/relationships" r:embed="rId4"/>
        <a:stretch>
          <a:fillRect/>
        </a:stretch>
      </xdr:blipFill>
      <xdr:spPr>
        <a:xfrm>
          <a:off x="22736175" y="39243000"/>
          <a:ext cx="883997" cy="300744"/>
        </a:xfrm>
        <a:prstGeom prst="rect">
          <a:avLst/>
        </a:prstGeom>
      </xdr:spPr>
    </xdr:pic>
    <xdr:clientData/>
  </xdr:twoCellAnchor>
  <xdr:twoCellAnchor editAs="oneCell">
    <xdr:from>
      <xdr:col>20</xdr:col>
      <xdr:colOff>0</xdr:colOff>
      <xdr:row>287</xdr:row>
      <xdr:rowOff>0</xdr:rowOff>
    </xdr:from>
    <xdr:to>
      <xdr:col>20</xdr:col>
      <xdr:colOff>883997</xdr:colOff>
      <xdr:row>288</xdr:row>
      <xdr:rowOff>100719</xdr:rowOff>
    </xdr:to>
    <xdr:pic>
      <xdr:nvPicPr>
        <xdr:cNvPr id="13" name="Picture 12">
          <a:extLst>
            <a:ext uri="{FF2B5EF4-FFF2-40B4-BE49-F238E27FC236}">
              <a16:creationId xmlns:a16="http://schemas.microsoft.com/office/drawing/2014/main" id="{12035675-2CEA-423F-BC45-0877D7FAE57F}"/>
            </a:ext>
          </a:extLst>
        </xdr:cNvPr>
        <xdr:cNvPicPr>
          <a:picLocks noChangeAspect="1"/>
        </xdr:cNvPicPr>
      </xdr:nvPicPr>
      <xdr:blipFill>
        <a:blip xmlns:r="http://schemas.openxmlformats.org/officeDocument/2006/relationships" r:embed="rId4"/>
        <a:stretch>
          <a:fillRect/>
        </a:stretch>
      </xdr:blipFill>
      <xdr:spPr>
        <a:xfrm>
          <a:off x="22736175" y="58131075"/>
          <a:ext cx="883997" cy="30074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20</xdr:col>
      <xdr:colOff>1095375</xdr:colOff>
      <xdr:row>290</xdr:row>
      <xdr:rowOff>123825</xdr:rowOff>
    </xdr:from>
    <xdr:to>
      <xdr:col>20</xdr:col>
      <xdr:colOff>1895475</xdr:colOff>
      <xdr:row>291</xdr:row>
      <xdr:rowOff>152400</xdr:rowOff>
    </xdr:to>
    <xdr:pic>
      <xdr:nvPicPr>
        <xdr:cNvPr id="2" name="Picture 1" descr="C:\WINDOWS\TEMP\~0003946.gif">
          <a:extLst>
            <a:ext uri="{FF2B5EF4-FFF2-40B4-BE49-F238E27FC236}">
              <a16:creationId xmlns:a16="http://schemas.microsoft.com/office/drawing/2014/main" id="{D0FB9208-BBFC-4905-90A4-38853D88559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582549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196</xdr:row>
      <xdr:rowOff>152400</xdr:rowOff>
    </xdr:from>
    <xdr:to>
      <xdr:col>20</xdr:col>
      <xdr:colOff>1924050</xdr:colOff>
      <xdr:row>197</xdr:row>
      <xdr:rowOff>180975</xdr:rowOff>
    </xdr:to>
    <xdr:pic>
      <xdr:nvPicPr>
        <xdr:cNvPr id="3" name="Picture 2" descr="C:\WINDOWS\TEMP\~0003946.gif">
          <a:extLst>
            <a:ext uri="{FF2B5EF4-FFF2-40B4-BE49-F238E27FC236}">
              <a16:creationId xmlns:a16="http://schemas.microsoft.com/office/drawing/2014/main" id="{ACCCB513-9F79-4D32-9042-CD6B099DB14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393954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135</xdr:row>
      <xdr:rowOff>161925</xdr:rowOff>
    </xdr:from>
    <xdr:to>
      <xdr:col>20</xdr:col>
      <xdr:colOff>1952625</xdr:colOff>
      <xdr:row>136</xdr:row>
      <xdr:rowOff>190500</xdr:rowOff>
    </xdr:to>
    <xdr:pic>
      <xdr:nvPicPr>
        <xdr:cNvPr id="4" name="Picture 3" descr="C:\WINDOWS\TEMP\~0003946.gif">
          <a:extLst>
            <a:ext uri="{FF2B5EF4-FFF2-40B4-BE49-F238E27FC236}">
              <a16:creationId xmlns:a16="http://schemas.microsoft.com/office/drawing/2014/main" id="{28735459-6304-4CF7-9313-49E8ECED340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2712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 name="Picture 4" descr="C:\WINDOWS\TEMP\~0003946.gif">
          <a:extLst>
            <a:ext uri="{FF2B5EF4-FFF2-40B4-BE49-F238E27FC236}">
              <a16:creationId xmlns:a16="http://schemas.microsoft.com/office/drawing/2014/main" id="{A0205EE2-D572-4D84-B096-021A4321DA5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1207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290</xdr:row>
      <xdr:rowOff>149679</xdr:rowOff>
    </xdr:from>
    <xdr:to>
      <xdr:col>0</xdr:col>
      <xdr:colOff>306774</xdr:colOff>
      <xdr:row>291</xdr:row>
      <xdr:rowOff>171144</xdr:rowOff>
    </xdr:to>
    <xdr:pic>
      <xdr:nvPicPr>
        <xdr:cNvPr id="6" name="Picture 5">
          <a:extLst>
            <a:ext uri="{FF2B5EF4-FFF2-40B4-BE49-F238E27FC236}">
              <a16:creationId xmlns:a16="http://schemas.microsoft.com/office/drawing/2014/main" id="{E5141349-EBB6-4C02-8E77-FDAD0F8B313F}"/>
            </a:ext>
          </a:extLst>
        </xdr:cNvPr>
        <xdr:cNvPicPr>
          <a:picLocks noChangeAspect="1"/>
        </xdr:cNvPicPr>
      </xdr:nvPicPr>
      <xdr:blipFill>
        <a:blip xmlns:r="http://schemas.openxmlformats.org/officeDocument/2006/relationships" r:embed="rId3"/>
        <a:stretch>
          <a:fillRect/>
        </a:stretch>
      </xdr:blipFill>
      <xdr:spPr>
        <a:xfrm>
          <a:off x="136071" y="58280754"/>
          <a:ext cx="170703" cy="221490"/>
        </a:xfrm>
        <a:prstGeom prst="rect">
          <a:avLst/>
        </a:prstGeom>
      </xdr:spPr>
    </xdr:pic>
    <xdr:clientData/>
  </xdr:twoCellAnchor>
  <xdr:twoCellAnchor editAs="oneCell">
    <xdr:from>
      <xdr:col>0</xdr:col>
      <xdr:colOff>136071</xdr:colOff>
      <xdr:row>196</xdr:row>
      <xdr:rowOff>108857</xdr:rowOff>
    </xdr:from>
    <xdr:to>
      <xdr:col>0</xdr:col>
      <xdr:colOff>306774</xdr:colOff>
      <xdr:row>197</xdr:row>
      <xdr:rowOff>130321</xdr:rowOff>
    </xdr:to>
    <xdr:pic>
      <xdr:nvPicPr>
        <xdr:cNvPr id="7" name="Picture 6">
          <a:extLst>
            <a:ext uri="{FF2B5EF4-FFF2-40B4-BE49-F238E27FC236}">
              <a16:creationId xmlns:a16="http://schemas.microsoft.com/office/drawing/2014/main" id="{CCD4E042-89CC-42B4-A335-CDF572F5AEDA}"/>
            </a:ext>
          </a:extLst>
        </xdr:cNvPr>
        <xdr:cNvPicPr>
          <a:picLocks noChangeAspect="1"/>
        </xdr:cNvPicPr>
      </xdr:nvPicPr>
      <xdr:blipFill>
        <a:blip xmlns:r="http://schemas.openxmlformats.org/officeDocument/2006/relationships" r:embed="rId3"/>
        <a:stretch>
          <a:fillRect/>
        </a:stretch>
      </xdr:blipFill>
      <xdr:spPr>
        <a:xfrm>
          <a:off x="136071" y="39351857"/>
          <a:ext cx="170703" cy="221490"/>
        </a:xfrm>
        <a:prstGeom prst="rect">
          <a:avLst/>
        </a:prstGeom>
      </xdr:spPr>
    </xdr:pic>
    <xdr:clientData/>
  </xdr:twoCellAnchor>
  <xdr:twoCellAnchor editAs="oneCell">
    <xdr:from>
      <xdr:col>0</xdr:col>
      <xdr:colOff>108858</xdr:colOff>
      <xdr:row>135</xdr:row>
      <xdr:rowOff>68036</xdr:rowOff>
    </xdr:from>
    <xdr:to>
      <xdr:col>0</xdr:col>
      <xdr:colOff>279561</xdr:colOff>
      <xdr:row>136</xdr:row>
      <xdr:rowOff>89501</xdr:rowOff>
    </xdr:to>
    <xdr:pic>
      <xdr:nvPicPr>
        <xdr:cNvPr id="8" name="Picture 7">
          <a:extLst>
            <a:ext uri="{FF2B5EF4-FFF2-40B4-BE49-F238E27FC236}">
              <a16:creationId xmlns:a16="http://schemas.microsoft.com/office/drawing/2014/main" id="{178CB1DE-FA60-41CC-83CD-2595C5BF2B60}"/>
            </a:ext>
          </a:extLst>
        </xdr:cNvPr>
        <xdr:cNvPicPr>
          <a:picLocks noChangeAspect="1"/>
        </xdr:cNvPicPr>
      </xdr:nvPicPr>
      <xdr:blipFill>
        <a:blip xmlns:r="http://schemas.openxmlformats.org/officeDocument/2006/relationships" r:embed="rId3"/>
        <a:stretch>
          <a:fillRect/>
        </a:stretch>
      </xdr:blipFill>
      <xdr:spPr>
        <a:xfrm>
          <a:off x="108858" y="27033311"/>
          <a:ext cx="170703" cy="221490"/>
        </a:xfrm>
        <a:prstGeom prst="rect">
          <a:avLst/>
        </a:prstGeom>
      </xdr:spPr>
    </xdr:pic>
    <xdr:clientData/>
  </xdr:twoCellAnchor>
  <xdr:twoCellAnchor editAs="oneCell">
    <xdr:from>
      <xdr:col>0</xdr:col>
      <xdr:colOff>136072</xdr:colOff>
      <xdr:row>59</xdr:row>
      <xdr:rowOff>122464</xdr:rowOff>
    </xdr:from>
    <xdr:to>
      <xdr:col>0</xdr:col>
      <xdr:colOff>306775</xdr:colOff>
      <xdr:row>60</xdr:row>
      <xdr:rowOff>143929</xdr:rowOff>
    </xdr:to>
    <xdr:pic>
      <xdr:nvPicPr>
        <xdr:cNvPr id="9" name="Picture 8">
          <a:extLst>
            <a:ext uri="{FF2B5EF4-FFF2-40B4-BE49-F238E27FC236}">
              <a16:creationId xmlns:a16="http://schemas.microsoft.com/office/drawing/2014/main" id="{BDB7AB4C-888A-4A4C-BF6A-DCEC8E05C910}"/>
            </a:ext>
          </a:extLst>
        </xdr:cNvPr>
        <xdr:cNvPicPr>
          <a:picLocks noChangeAspect="1"/>
        </xdr:cNvPicPr>
      </xdr:nvPicPr>
      <xdr:blipFill>
        <a:blip xmlns:r="http://schemas.openxmlformats.org/officeDocument/2006/relationships" r:embed="rId3"/>
        <a:stretch>
          <a:fillRect/>
        </a:stretch>
      </xdr:blipFill>
      <xdr:spPr>
        <a:xfrm>
          <a:off x="136072" y="12038239"/>
          <a:ext cx="170703" cy="221490"/>
        </a:xfrm>
        <a:prstGeom prst="rect">
          <a:avLst/>
        </a:prstGeom>
      </xdr:spPr>
    </xdr:pic>
    <xdr:clientData/>
  </xdr:twoCellAnchor>
  <xdr:twoCellAnchor editAs="oneCell">
    <xdr:from>
      <xdr:col>19</xdr:col>
      <xdr:colOff>1238250</xdr:colOff>
      <xdr:row>59</xdr:row>
      <xdr:rowOff>54429</xdr:rowOff>
    </xdr:from>
    <xdr:to>
      <xdr:col>20</xdr:col>
      <xdr:colOff>870390</xdr:colOff>
      <xdr:row>60</xdr:row>
      <xdr:rowOff>155148</xdr:rowOff>
    </xdr:to>
    <xdr:pic>
      <xdr:nvPicPr>
        <xdr:cNvPr id="10" name="Picture 9">
          <a:extLst>
            <a:ext uri="{FF2B5EF4-FFF2-40B4-BE49-F238E27FC236}">
              <a16:creationId xmlns:a16="http://schemas.microsoft.com/office/drawing/2014/main" id="{D6C0DA14-F0A3-48E5-9BEE-15C78FB0BE12}"/>
            </a:ext>
          </a:extLst>
        </xdr:cNvPr>
        <xdr:cNvPicPr>
          <a:picLocks noChangeAspect="1"/>
        </xdr:cNvPicPr>
      </xdr:nvPicPr>
      <xdr:blipFill>
        <a:blip xmlns:r="http://schemas.openxmlformats.org/officeDocument/2006/relationships" r:embed="rId4"/>
        <a:stretch>
          <a:fillRect/>
        </a:stretch>
      </xdr:blipFill>
      <xdr:spPr>
        <a:xfrm>
          <a:off x="22717125" y="11970204"/>
          <a:ext cx="889440" cy="300744"/>
        </a:xfrm>
        <a:prstGeom prst="rect">
          <a:avLst/>
        </a:prstGeom>
      </xdr:spPr>
    </xdr:pic>
    <xdr:clientData/>
  </xdr:twoCellAnchor>
  <xdr:twoCellAnchor editAs="oneCell">
    <xdr:from>
      <xdr:col>20</xdr:col>
      <xdr:colOff>13607</xdr:colOff>
      <xdr:row>135</xdr:row>
      <xdr:rowOff>40821</xdr:rowOff>
    </xdr:from>
    <xdr:to>
      <xdr:col>20</xdr:col>
      <xdr:colOff>897604</xdr:colOff>
      <xdr:row>136</xdr:row>
      <xdr:rowOff>141540</xdr:rowOff>
    </xdr:to>
    <xdr:pic>
      <xdr:nvPicPr>
        <xdr:cNvPr id="11" name="Picture 10">
          <a:extLst>
            <a:ext uri="{FF2B5EF4-FFF2-40B4-BE49-F238E27FC236}">
              <a16:creationId xmlns:a16="http://schemas.microsoft.com/office/drawing/2014/main" id="{8F69BC86-1683-414F-AAA3-FBA5F06E01E0}"/>
            </a:ext>
          </a:extLst>
        </xdr:cNvPr>
        <xdr:cNvPicPr>
          <a:picLocks noChangeAspect="1"/>
        </xdr:cNvPicPr>
      </xdr:nvPicPr>
      <xdr:blipFill>
        <a:blip xmlns:r="http://schemas.openxmlformats.org/officeDocument/2006/relationships" r:embed="rId4"/>
        <a:stretch>
          <a:fillRect/>
        </a:stretch>
      </xdr:blipFill>
      <xdr:spPr>
        <a:xfrm>
          <a:off x="22749782" y="27006096"/>
          <a:ext cx="883997" cy="300744"/>
        </a:xfrm>
        <a:prstGeom prst="rect">
          <a:avLst/>
        </a:prstGeom>
      </xdr:spPr>
    </xdr:pic>
    <xdr:clientData/>
  </xdr:twoCellAnchor>
  <xdr:twoCellAnchor editAs="oneCell">
    <xdr:from>
      <xdr:col>20</xdr:col>
      <xdr:colOff>0</xdr:colOff>
      <xdr:row>196</xdr:row>
      <xdr:rowOff>0</xdr:rowOff>
    </xdr:from>
    <xdr:to>
      <xdr:col>20</xdr:col>
      <xdr:colOff>883997</xdr:colOff>
      <xdr:row>197</xdr:row>
      <xdr:rowOff>100718</xdr:rowOff>
    </xdr:to>
    <xdr:pic>
      <xdr:nvPicPr>
        <xdr:cNvPr id="12" name="Picture 11">
          <a:extLst>
            <a:ext uri="{FF2B5EF4-FFF2-40B4-BE49-F238E27FC236}">
              <a16:creationId xmlns:a16="http://schemas.microsoft.com/office/drawing/2014/main" id="{A8F54391-1971-4438-8A2C-C9D03191BC9F}"/>
            </a:ext>
          </a:extLst>
        </xdr:cNvPr>
        <xdr:cNvPicPr>
          <a:picLocks noChangeAspect="1"/>
        </xdr:cNvPicPr>
      </xdr:nvPicPr>
      <xdr:blipFill>
        <a:blip xmlns:r="http://schemas.openxmlformats.org/officeDocument/2006/relationships" r:embed="rId4"/>
        <a:stretch>
          <a:fillRect/>
        </a:stretch>
      </xdr:blipFill>
      <xdr:spPr>
        <a:xfrm>
          <a:off x="22736175" y="39243000"/>
          <a:ext cx="883997" cy="300744"/>
        </a:xfrm>
        <a:prstGeom prst="rect">
          <a:avLst/>
        </a:prstGeom>
      </xdr:spPr>
    </xdr:pic>
    <xdr:clientData/>
  </xdr:twoCellAnchor>
  <xdr:twoCellAnchor editAs="oneCell">
    <xdr:from>
      <xdr:col>20</xdr:col>
      <xdr:colOff>0</xdr:colOff>
      <xdr:row>290</xdr:row>
      <xdr:rowOff>0</xdr:rowOff>
    </xdr:from>
    <xdr:to>
      <xdr:col>20</xdr:col>
      <xdr:colOff>883997</xdr:colOff>
      <xdr:row>291</xdr:row>
      <xdr:rowOff>100719</xdr:rowOff>
    </xdr:to>
    <xdr:pic>
      <xdr:nvPicPr>
        <xdr:cNvPr id="13" name="Picture 12">
          <a:extLst>
            <a:ext uri="{FF2B5EF4-FFF2-40B4-BE49-F238E27FC236}">
              <a16:creationId xmlns:a16="http://schemas.microsoft.com/office/drawing/2014/main" id="{0E9260E3-AA87-480B-BC35-7D65DE6470D9}"/>
            </a:ext>
          </a:extLst>
        </xdr:cNvPr>
        <xdr:cNvPicPr>
          <a:picLocks noChangeAspect="1"/>
        </xdr:cNvPicPr>
      </xdr:nvPicPr>
      <xdr:blipFill>
        <a:blip xmlns:r="http://schemas.openxmlformats.org/officeDocument/2006/relationships" r:embed="rId4"/>
        <a:stretch>
          <a:fillRect/>
        </a:stretch>
      </xdr:blipFill>
      <xdr:spPr>
        <a:xfrm>
          <a:off x="22736175" y="58131075"/>
          <a:ext cx="883997" cy="30074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20</xdr:col>
      <xdr:colOff>1095375</xdr:colOff>
      <xdr:row>290</xdr:row>
      <xdr:rowOff>123825</xdr:rowOff>
    </xdr:from>
    <xdr:to>
      <xdr:col>20</xdr:col>
      <xdr:colOff>1895475</xdr:colOff>
      <xdr:row>291</xdr:row>
      <xdr:rowOff>152400</xdr:rowOff>
    </xdr:to>
    <xdr:pic>
      <xdr:nvPicPr>
        <xdr:cNvPr id="2" name="Picture 1" descr="C:\WINDOWS\TEMP\~0003946.gif">
          <a:extLst>
            <a:ext uri="{FF2B5EF4-FFF2-40B4-BE49-F238E27FC236}">
              <a16:creationId xmlns:a16="http://schemas.microsoft.com/office/drawing/2014/main" id="{9178DCCB-0FEE-47DD-A645-46091C5F530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588549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196</xdr:row>
      <xdr:rowOff>152400</xdr:rowOff>
    </xdr:from>
    <xdr:to>
      <xdr:col>20</xdr:col>
      <xdr:colOff>1924050</xdr:colOff>
      <xdr:row>197</xdr:row>
      <xdr:rowOff>180975</xdr:rowOff>
    </xdr:to>
    <xdr:pic>
      <xdr:nvPicPr>
        <xdr:cNvPr id="3" name="Picture 2" descr="C:\WINDOWS\TEMP\~0003946.gif">
          <a:extLst>
            <a:ext uri="{FF2B5EF4-FFF2-40B4-BE49-F238E27FC236}">
              <a16:creationId xmlns:a16="http://schemas.microsoft.com/office/drawing/2014/main" id="{7AC5848D-9C87-4729-810B-1298D2B4CE2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3999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135</xdr:row>
      <xdr:rowOff>161925</xdr:rowOff>
    </xdr:from>
    <xdr:to>
      <xdr:col>20</xdr:col>
      <xdr:colOff>1952625</xdr:colOff>
      <xdr:row>136</xdr:row>
      <xdr:rowOff>190500</xdr:rowOff>
    </xdr:to>
    <xdr:pic>
      <xdr:nvPicPr>
        <xdr:cNvPr id="4" name="Picture 3" descr="C:\WINDOWS\TEMP\~0003946.gif">
          <a:extLst>
            <a:ext uri="{FF2B5EF4-FFF2-40B4-BE49-F238E27FC236}">
              <a16:creationId xmlns:a16="http://schemas.microsoft.com/office/drawing/2014/main" id="{777F96E5-643A-460C-B4C4-71AF732B054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 name="Picture 4" descr="C:\WINDOWS\TEMP\~0003946.gif">
          <a:extLst>
            <a:ext uri="{FF2B5EF4-FFF2-40B4-BE49-F238E27FC236}">
              <a16:creationId xmlns:a16="http://schemas.microsoft.com/office/drawing/2014/main" id="{0D6CD722-7922-4AE1-B9D8-3ABBAFED3BC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1207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290</xdr:row>
      <xdr:rowOff>149679</xdr:rowOff>
    </xdr:from>
    <xdr:to>
      <xdr:col>0</xdr:col>
      <xdr:colOff>306774</xdr:colOff>
      <xdr:row>291</xdr:row>
      <xdr:rowOff>171144</xdr:rowOff>
    </xdr:to>
    <xdr:pic>
      <xdr:nvPicPr>
        <xdr:cNvPr id="6" name="Picture 5">
          <a:extLst>
            <a:ext uri="{FF2B5EF4-FFF2-40B4-BE49-F238E27FC236}">
              <a16:creationId xmlns:a16="http://schemas.microsoft.com/office/drawing/2014/main" id="{D197ECA4-1812-4F49-BBBD-05C0647CC7FF}"/>
            </a:ext>
          </a:extLst>
        </xdr:cNvPr>
        <xdr:cNvPicPr>
          <a:picLocks noChangeAspect="1"/>
        </xdr:cNvPicPr>
      </xdr:nvPicPr>
      <xdr:blipFill>
        <a:blip xmlns:r="http://schemas.openxmlformats.org/officeDocument/2006/relationships" r:embed="rId3"/>
        <a:stretch>
          <a:fillRect/>
        </a:stretch>
      </xdr:blipFill>
      <xdr:spPr>
        <a:xfrm>
          <a:off x="136071" y="58880829"/>
          <a:ext cx="170703" cy="221490"/>
        </a:xfrm>
        <a:prstGeom prst="rect">
          <a:avLst/>
        </a:prstGeom>
      </xdr:spPr>
    </xdr:pic>
    <xdr:clientData/>
  </xdr:twoCellAnchor>
  <xdr:twoCellAnchor editAs="oneCell">
    <xdr:from>
      <xdr:col>0</xdr:col>
      <xdr:colOff>136071</xdr:colOff>
      <xdr:row>196</xdr:row>
      <xdr:rowOff>108857</xdr:rowOff>
    </xdr:from>
    <xdr:to>
      <xdr:col>0</xdr:col>
      <xdr:colOff>306774</xdr:colOff>
      <xdr:row>197</xdr:row>
      <xdr:rowOff>130321</xdr:rowOff>
    </xdr:to>
    <xdr:pic>
      <xdr:nvPicPr>
        <xdr:cNvPr id="7" name="Picture 6">
          <a:extLst>
            <a:ext uri="{FF2B5EF4-FFF2-40B4-BE49-F238E27FC236}">
              <a16:creationId xmlns:a16="http://schemas.microsoft.com/office/drawing/2014/main" id="{8950DED1-39C8-4C60-90BD-63BE9C0120A2}"/>
            </a:ext>
          </a:extLst>
        </xdr:cNvPr>
        <xdr:cNvPicPr>
          <a:picLocks noChangeAspect="1"/>
        </xdr:cNvPicPr>
      </xdr:nvPicPr>
      <xdr:blipFill>
        <a:blip xmlns:r="http://schemas.openxmlformats.org/officeDocument/2006/relationships" r:embed="rId3"/>
        <a:stretch>
          <a:fillRect/>
        </a:stretch>
      </xdr:blipFill>
      <xdr:spPr>
        <a:xfrm>
          <a:off x="136071" y="39951932"/>
          <a:ext cx="170703" cy="221489"/>
        </a:xfrm>
        <a:prstGeom prst="rect">
          <a:avLst/>
        </a:prstGeom>
      </xdr:spPr>
    </xdr:pic>
    <xdr:clientData/>
  </xdr:twoCellAnchor>
  <xdr:twoCellAnchor editAs="oneCell">
    <xdr:from>
      <xdr:col>0</xdr:col>
      <xdr:colOff>108858</xdr:colOff>
      <xdr:row>135</xdr:row>
      <xdr:rowOff>68036</xdr:rowOff>
    </xdr:from>
    <xdr:to>
      <xdr:col>0</xdr:col>
      <xdr:colOff>279561</xdr:colOff>
      <xdr:row>136</xdr:row>
      <xdr:rowOff>89501</xdr:rowOff>
    </xdr:to>
    <xdr:pic>
      <xdr:nvPicPr>
        <xdr:cNvPr id="8" name="Picture 7">
          <a:extLst>
            <a:ext uri="{FF2B5EF4-FFF2-40B4-BE49-F238E27FC236}">
              <a16:creationId xmlns:a16="http://schemas.microsoft.com/office/drawing/2014/main" id="{7A15C7CB-EB27-4B70-BECB-E0423AAB6E0F}"/>
            </a:ext>
          </a:extLst>
        </xdr:cNvPr>
        <xdr:cNvPicPr>
          <a:picLocks noChangeAspect="1"/>
        </xdr:cNvPicPr>
      </xdr:nvPicPr>
      <xdr:blipFill>
        <a:blip xmlns:r="http://schemas.openxmlformats.org/officeDocument/2006/relationships" r:embed="rId3"/>
        <a:stretch>
          <a:fillRect/>
        </a:stretch>
      </xdr:blipFill>
      <xdr:spPr>
        <a:xfrm>
          <a:off x="108858" y="27633386"/>
          <a:ext cx="170703" cy="221490"/>
        </a:xfrm>
        <a:prstGeom prst="rect">
          <a:avLst/>
        </a:prstGeom>
      </xdr:spPr>
    </xdr:pic>
    <xdr:clientData/>
  </xdr:twoCellAnchor>
  <xdr:twoCellAnchor editAs="oneCell">
    <xdr:from>
      <xdr:col>0</xdr:col>
      <xdr:colOff>136072</xdr:colOff>
      <xdr:row>59</xdr:row>
      <xdr:rowOff>122464</xdr:rowOff>
    </xdr:from>
    <xdr:to>
      <xdr:col>0</xdr:col>
      <xdr:colOff>306775</xdr:colOff>
      <xdr:row>60</xdr:row>
      <xdr:rowOff>143929</xdr:rowOff>
    </xdr:to>
    <xdr:pic>
      <xdr:nvPicPr>
        <xdr:cNvPr id="9" name="Picture 8">
          <a:extLst>
            <a:ext uri="{FF2B5EF4-FFF2-40B4-BE49-F238E27FC236}">
              <a16:creationId xmlns:a16="http://schemas.microsoft.com/office/drawing/2014/main" id="{C458158E-D760-4510-82C3-77F53F48A854}"/>
            </a:ext>
          </a:extLst>
        </xdr:cNvPr>
        <xdr:cNvPicPr>
          <a:picLocks noChangeAspect="1"/>
        </xdr:cNvPicPr>
      </xdr:nvPicPr>
      <xdr:blipFill>
        <a:blip xmlns:r="http://schemas.openxmlformats.org/officeDocument/2006/relationships" r:embed="rId3"/>
        <a:stretch>
          <a:fillRect/>
        </a:stretch>
      </xdr:blipFill>
      <xdr:spPr>
        <a:xfrm>
          <a:off x="136072" y="12038239"/>
          <a:ext cx="170703" cy="221490"/>
        </a:xfrm>
        <a:prstGeom prst="rect">
          <a:avLst/>
        </a:prstGeom>
      </xdr:spPr>
    </xdr:pic>
    <xdr:clientData/>
  </xdr:twoCellAnchor>
  <xdr:twoCellAnchor editAs="oneCell">
    <xdr:from>
      <xdr:col>19</xdr:col>
      <xdr:colOff>1238250</xdr:colOff>
      <xdr:row>59</xdr:row>
      <xdr:rowOff>54429</xdr:rowOff>
    </xdr:from>
    <xdr:to>
      <xdr:col>20</xdr:col>
      <xdr:colOff>870390</xdr:colOff>
      <xdr:row>60</xdr:row>
      <xdr:rowOff>155148</xdr:rowOff>
    </xdr:to>
    <xdr:pic>
      <xdr:nvPicPr>
        <xdr:cNvPr id="10" name="Picture 9">
          <a:extLst>
            <a:ext uri="{FF2B5EF4-FFF2-40B4-BE49-F238E27FC236}">
              <a16:creationId xmlns:a16="http://schemas.microsoft.com/office/drawing/2014/main" id="{36F4B778-4AA9-4887-BD0E-F0157B295127}"/>
            </a:ext>
          </a:extLst>
        </xdr:cNvPr>
        <xdr:cNvPicPr>
          <a:picLocks noChangeAspect="1"/>
        </xdr:cNvPicPr>
      </xdr:nvPicPr>
      <xdr:blipFill>
        <a:blip xmlns:r="http://schemas.openxmlformats.org/officeDocument/2006/relationships" r:embed="rId4"/>
        <a:stretch>
          <a:fillRect/>
        </a:stretch>
      </xdr:blipFill>
      <xdr:spPr>
        <a:xfrm>
          <a:off x="22717125" y="11970204"/>
          <a:ext cx="889440" cy="300744"/>
        </a:xfrm>
        <a:prstGeom prst="rect">
          <a:avLst/>
        </a:prstGeom>
      </xdr:spPr>
    </xdr:pic>
    <xdr:clientData/>
  </xdr:twoCellAnchor>
  <xdr:twoCellAnchor editAs="oneCell">
    <xdr:from>
      <xdr:col>20</xdr:col>
      <xdr:colOff>13607</xdr:colOff>
      <xdr:row>135</xdr:row>
      <xdr:rowOff>40821</xdr:rowOff>
    </xdr:from>
    <xdr:to>
      <xdr:col>20</xdr:col>
      <xdr:colOff>897604</xdr:colOff>
      <xdr:row>136</xdr:row>
      <xdr:rowOff>141540</xdr:rowOff>
    </xdr:to>
    <xdr:pic>
      <xdr:nvPicPr>
        <xdr:cNvPr id="11" name="Picture 10">
          <a:extLst>
            <a:ext uri="{FF2B5EF4-FFF2-40B4-BE49-F238E27FC236}">
              <a16:creationId xmlns:a16="http://schemas.microsoft.com/office/drawing/2014/main" id="{A87120D5-45E2-439D-8581-76379A7A81DE}"/>
            </a:ext>
          </a:extLst>
        </xdr:cNvPr>
        <xdr:cNvPicPr>
          <a:picLocks noChangeAspect="1"/>
        </xdr:cNvPicPr>
      </xdr:nvPicPr>
      <xdr:blipFill>
        <a:blip xmlns:r="http://schemas.openxmlformats.org/officeDocument/2006/relationships" r:embed="rId4"/>
        <a:stretch>
          <a:fillRect/>
        </a:stretch>
      </xdr:blipFill>
      <xdr:spPr>
        <a:xfrm>
          <a:off x="22749782" y="27606171"/>
          <a:ext cx="883997" cy="300744"/>
        </a:xfrm>
        <a:prstGeom prst="rect">
          <a:avLst/>
        </a:prstGeom>
      </xdr:spPr>
    </xdr:pic>
    <xdr:clientData/>
  </xdr:twoCellAnchor>
  <xdr:twoCellAnchor editAs="oneCell">
    <xdr:from>
      <xdr:col>20</xdr:col>
      <xdr:colOff>0</xdr:colOff>
      <xdr:row>196</xdr:row>
      <xdr:rowOff>0</xdr:rowOff>
    </xdr:from>
    <xdr:to>
      <xdr:col>20</xdr:col>
      <xdr:colOff>883997</xdr:colOff>
      <xdr:row>197</xdr:row>
      <xdr:rowOff>100718</xdr:rowOff>
    </xdr:to>
    <xdr:pic>
      <xdr:nvPicPr>
        <xdr:cNvPr id="12" name="Picture 11">
          <a:extLst>
            <a:ext uri="{FF2B5EF4-FFF2-40B4-BE49-F238E27FC236}">
              <a16:creationId xmlns:a16="http://schemas.microsoft.com/office/drawing/2014/main" id="{63794D5D-024E-4BB6-83F2-4C75C4602316}"/>
            </a:ext>
          </a:extLst>
        </xdr:cNvPr>
        <xdr:cNvPicPr>
          <a:picLocks noChangeAspect="1"/>
        </xdr:cNvPicPr>
      </xdr:nvPicPr>
      <xdr:blipFill>
        <a:blip xmlns:r="http://schemas.openxmlformats.org/officeDocument/2006/relationships" r:embed="rId4"/>
        <a:stretch>
          <a:fillRect/>
        </a:stretch>
      </xdr:blipFill>
      <xdr:spPr>
        <a:xfrm>
          <a:off x="22736175" y="39843075"/>
          <a:ext cx="883997" cy="300743"/>
        </a:xfrm>
        <a:prstGeom prst="rect">
          <a:avLst/>
        </a:prstGeom>
      </xdr:spPr>
    </xdr:pic>
    <xdr:clientData/>
  </xdr:twoCellAnchor>
  <xdr:twoCellAnchor editAs="oneCell">
    <xdr:from>
      <xdr:col>20</xdr:col>
      <xdr:colOff>0</xdr:colOff>
      <xdr:row>290</xdr:row>
      <xdr:rowOff>0</xdr:rowOff>
    </xdr:from>
    <xdr:to>
      <xdr:col>20</xdr:col>
      <xdr:colOff>883997</xdr:colOff>
      <xdr:row>291</xdr:row>
      <xdr:rowOff>100719</xdr:rowOff>
    </xdr:to>
    <xdr:pic>
      <xdr:nvPicPr>
        <xdr:cNvPr id="13" name="Picture 12">
          <a:extLst>
            <a:ext uri="{FF2B5EF4-FFF2-40B4-BE49-F238E27FC236}">
              <a16:creationId xmlns:a16="http://schemas.microsoft.com/office/drawing/2014/main" id="{80375817-98C1-42D8-9D11-CE6FAED57ADE}"/>
            </a:ext>
          </a:extLst>
        </xdr:cNvPr>
        <xdr:cNvPicPr>
          <a:picLocks noChangeAspect="1"/>
        </xdr:cNvPicPr>
      </xdr:nvPicPr>
      <xdr:blipFill>
        <a:blip xmlns:r="http://schemas.openxmlformats.org/officeDocument/2006/relationships" r:embed="rId4"/>
        <a:stretch>
          <a:fillRect/>
        </a:stretch>
      </xdr:blipFill>
      <xdr:spPr>
        <a:xfrm>
          <a:off x="22736175" y="58731150"/>
          <a:ext cx="883997" cy="30074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20</xdr:col>
      <xdr:colOff>1095375</xdr:colOff>
      <xdr:row>291</xdr:row>
      <xdr:rowOff>123825</xdr:rowOff>
    </xdr:from>
    <xdr:to>
      <xdr:col>20</xdr:col>
      <xdr:colOff>1895475</xdr:colOff>
      <xdr:row>292</xdr:row>
      <xdr:rowOff>152400</xdr:rowOff>
    </xdr:to>
    <xdr:pic>
      <xdr:nvPicPr>
        <xdr:cNvPr id="2" name="Picture 1" descr="C:\WINDOWS\TEMP\~0003946.gif">
          <a:extLst>
            <a:ext uri="{FF2B5EF4-FFF2-40B4-BE49-F238E27FC236}">
              <a16:creationId xmlns:a16="http://schemas.microsoft.com/office/drawing/2014/main" id="{6D9FA91A-8069-4357-86A0-3E66A13A9F9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588549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197</xdr:row>
      <xdr:rowOff>152400</xdr:rowOff>
    </xdr:from>
    <xdr:to>
      <xdr:col>20</xdr:col>
      <xdr:colOff>1924050</xdr:colOff>
      <xdr:row>198</xdr:row>
      <xdr:rowOff>180975</xdr:rowOff>
    </xdr:to>
    <xdr:pic>
      <xdr:nvPicPr>
        <xdr:cNvPr id="3" name="Picture 2" descr="C:\WINDOWS\TEMP\~0003946.gif">
          <a:extLst>
            <a:ext uri="{FF2B5EF4-FFF2-40B4-BE49-F238E27FC236}">
              <a16:creationId xmlns:a16="http://schemas.microsoft.com/office/drawing/2014/main" id="{F1138C2C-6326-4124-B147-82EAEC9D827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399954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136</xdr:row>
      <xdr:rowOff>161925</xdr:rowOff>
    </xdr:from>
    <xdr:to>
      <xdr:col>20</xdr:col>
      <xdr:colOff>1952625</xdr:colOff>
      <xdr:row>137</xdr:row>
      <xdr:rowOff>190500</xdr:rowOff>
    </xdr:to>
    <xdr:pic>
      <xdr:nvPicPr>
        <xdr:cNvPr id="4" name="Picture 3" descr="C:\WINDOWS\TEMP\~0003946.gif">
          <a:extLst>
            <a:ext uri="{FF2B5EF4-FFF2-40B4-BE49-F238E27FC236}">
              <a16:creationId xmlns:a16="http://schemas.microsoft.com/office/drawing/2014/main" id="{08116B1E-7C38-44E5-B310-6A429746B29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5" name="Picture 4" descr="C:\WINDOWS\TEMP\~0003946.gif">
          <a:extLst>
            <a:ext uri="{FF2B5EF4-FFF2-40B4-BE49-F238E27FC236}">
              <a16:creationId xmlns:a16="http://schemas.microsoft.com/office/drawing/2014/main" id="{7C394851-B093-4E39-8897-1618E887F32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45825" y="120777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291</xdr:row>
      <xdr:rowOff>149679</xdr:rowOff>
    </xdr:from>
    <xdr:to>
      <xdr:col>0</xdr:col>
      <xdr:colOff>306774</xdr:colOff>
      <xdr:row>292</xdr:row>
      <xdr:rowOff>171145</xdr:rowOff>
    </xdr:to>
    <xdr:pic>
      <xdr:nvPicPr>
        <xdr:cNvPr id="6" name="Picture 5">
          <a:extLst>
            <a:ext uri="{FF2B5EF4-FFF2-40B4-BE49-F238E27FC236}">
              <a16:creationId xmlns:a16="http://schemas.microsoft.com/office/drawing/2014/main" id="{15951426-431B-4DB1-B2D7-8ED200B77F3F}"/>
            </a:ext>
          </a:extLst>
        </xdr:cNvPr>
        <xdr:cNvPicPr>
          <a:picLocks noChangeAspect="1"/>
        </xdr:cNvPicPr>
      </xdr:nvPicPr>
      <xdr:blipFill>
        <a:blip xmlns:r="http://schemas.openxmlformats.org/officeDocument/2006/relationships" r:embed="rId3"/>
        <a:stretch>
          <a:fillRect/>
        </a:stretch>
      </xdr:blipFill>
      <xdr:spPr>
        <a:xfrm>
          <a:off x="136071" y="58880829"/>
          <a:ext cx="170703" cy="221490"/>
        </a:xfrm>
        <a:prstGeom prst="rect">
          <a:avLst/>
        </a:prstGeom>
      </xdr:spPr>
    </xdr:pic>
    <xdr:clientData/>
  </xdr:twoCellAnchor>
  <xdr:twoCellAnchor editAs="oneCell">
    <xdr:from>
      <xdr:col>0</xdr:col>
      <xdr:colOff>136071</xdr:colOff>
      <xdr:row>197</xdr:row>
      <xdr:rowOff>108857</xdr:rowOff>
    </xdr:from>
    <xdr:to>
      <xdr:col>0</xdr:col>
      <xdr:colOff>306774</xdr:colOff>
      <xdr:row>198</xdr:row>
      <xdr:rowOff>130321</xdr:rowOff>
    </xdr:to>
    <xdr:pic>
      <xdr:nvPicPr>
        <xdr:cNvPr id="7" name="Picture 6">
          <a:extLst>
            <a:ext uri="{FF2B5EF4-FFF2-40B4-BE49-F238E27FC236}">
              <a16:creationId xmlns:a16="http://schemas.microsoft.com/office/drawing/2014/main" id="{3E9CCF21-D8E9-4B41-88AB-EE356DE2CC39}"/>
            </a:ext>
          </a:extLst>
        </xdr:cNvPr>
        <xdr:cNvPicPr>
          <a:picLocks noChangeAspect="1"/>
        </xdr:cNvPicPr>
      </xdr:nvPicPr>
      <xdr:blipFill>
        <a:blip xmlns:r="http://schemas.openxmlformats.org/officeDocument/2006/relationships" r:embed="rId3"/>
        <a:stretch>
          <a:fillRect/>
        </a:stretch>
      </xdr:blipFill>
      <xdr:spPr>
        <a:xfrm>
          <a:off x="136071" y="39951932"/>
          <a:ext cx="170703" cy="221489"/>
        </a:xfrm>
        <a:prstGeom prst="rect">
          <a:avLst/>
        </a:prstGeom>
      </xdr:spPr>
    </xdr:pic>
    <xdr:clientData/>
  </xdr:twoCellAnchor>
  <xdr:twoCellAnchor editAs="oneCell">
    <xdr:from>
      <xdr:col>0</xdr:col>
      <xdr:colOff>108858</xdr:colOff>
      <xdr:row>136</xdr:row>
      <xdr:rowOff>68036</xdr:rowOff>
    </xdr:from>
    <xdr:to>
      <xdr:col>0</xdr:col>
      <xdr:colOff>279561</xdr:colOff>
      <xdr:row>137</xdr:row>
      <xdr:rowOff>89501</xdr:rowOff>
    </xdr:to>
    <xdr:pic>
      <xdr:nvPicPr>
        <xdr:cNvPr id="8" name="Picture 7">
          <a:extLst>
            <a:ext uri="{FF2B5EF4-FFF2-40B4-BE49-F238E27FC236}">
              <a16:creationId xmlns:a16="http://schemas.microsoft.com/office/drawing/2014/main" id="{DDEE0511-DDE9-4022-AF1F-C80B91CEC7D9}"/>
            </a:ext>
          </a:extLst>
        </xdr:cNvPr>
        <xdr:cNvPicPr>
          <a:picLocks noChangeAspect="1"/>
        </xdr:cNvPicPr>
      </xdr:nvPicPr>
      <xdr:blipFill>
        <a:blip xmlns:r="http://schemas.openxmlformats.org/officeDocument/2006/relationships" r:embed="rId3"/>
        <a:stretch>
          <a:fillRect/>
        </a:stretch>
      </xdr:blipFill>
      <xdr:spPr>
        <a:xfrm>
          <a:off x="108858" y="27633386"/>
          <a:ext cx="170703" cy="221490"/>
        </a:xfrm>
        <a:prstGeom prst="rect">
          <a:avLst/>
        </a:prstGeom>
      </xdr:spPr>
    </xdr:pic>
    <xdr:clientData/>
  </xdr:twoCellAnchor>
  <xdr:twoCellAnchor editAs="oneCell">
    <xdr:from>
      <xdr:col>0</xdr:col>
      <xdr:colOff>136072</xdr:colOff>
      <xdr:row>59</xdr:row>
      <xdr:rowOff>122464</xdr:rowOff>
    </xdr:from>
    <xdr:to>
      <xdr:col>0</xdr:col>
      <xdr:colOff>306775</xdr:colOff>
      <xdr:row>60</xdr:row>
      <xdr:rowOff>143929</xdr:rowOff>
    </xdr:to>
    <xdr:pic>
      <xdr:nvPicPr>
        <xdr:cNvPr id="9" name="Picture 8">
          <a:extLst>
            <a:ext uri="{FF2B5EF4-FFF2-40B4-BE49-F238E27FC236}">
              <a16:creationId xmlns:a16="http://schemas.microsoft.com/office/drawing/2014/main" id="{043ACE55-4201-4FC5-88E0-F4236AB731F0}"/>
            </a:ext>
          </a:extLst>
        </xdr:cNvPr>
        <xdr:cNvPicPr>
          <a:picLocks noChangeAspect="1"/>
        </xdr:cNvPicPr>
      </xdr:nvPicPr>
      <xdr:blipFill>
        <a:blip xmlns:r="http://schemas.openxmlformats.org/officeDocument/2006/relationships" r:embed="rId3"/>
        <a:stretch>
          <a:fillRect/>
        </a:stretch>
      </xdr:blipFill>
      <xdr:spPr>
        <a:xfrm>
          <a:off x="136072" y="12038239"/>
          <a:ext cx="170703" cy="221490"/>
        </a:xfrm>
        <a:prstGeom prst="rect">
          <a:avLst/>
        </a:prstGeom>
      </xdr:spPr>
    </xdr:pic>
    <xdr:clientData/>
  </xdr:twoCellAnchor>
  <xdr:twoCellAnchor editAs="oneCell">
    <xdr:from>
      <xdr:col>19</xdr:col>
      <xdr:colOff>1238250</xdr:colOff>
      <xdr:row>59</xdr:row>
      <xdr:rowOff>54429</xdr:rowOff>
    </xdr:from>
    <xdr:to>
      <xdr:col>20</xdr:col>
      <xdr:colOff>870390</xdr:colOff>
      <xdr:row>60</xdr:row>
      <xdr:rowOff>155148</xdr:rowOff>
    </xdr:to>
    <xdr:pic>
      <xdr:nvPicPr>
        <xdr:cNvPr id="10" name="Picture 9">
          <a:extLst>
            <a:ext uri="{FF2B5EF4-FFF2-40B4-BE49-F238E27FC236}">
              <a16:creationId xmlns:a16="http://schemas.microsoft.com/office/drawing/2014/main" id="{76597870-DD9E-4CCD-965A-034B6178EA8B}"/>
            </a:ext>
          </a:extLst>
        </xdr:cNvPr>
        <xdr:cNvPicPr>
          <a:picLocks noChangeAspect="1"/>
        </xdr:cNvPicPr>
      </xdr:nvPicPr>
      <xdr:blipFill>
        <a:blip xmlns:r="http://schemas.openxmlformats.org/officeDocument/2006/relationships" r:embed="rId4"/>
        <a:stretch>
          <a:fillRect/>
        </a:stretch>
      </xdr:blipFill>
      <xdr:spPr>
        <a:xfrm>
          <a:off x="22717125" y="11970204"/>
          <a:ext cx="889440" cy="300744"/>
        </a:xfrm>
        <a:prstGeom prst="rect">
          <a:avLst/>
        </a:prstGeom>
      </xdr:spPr>
    </xdr:pic>
    <xdr:clientData/>
  </xdr:twoCellAnchor>
  <xdr:twoCellAnchor editAs="oneCell">
    <xdr:from>
      <xdr:col>20</xdr:col>
      <xdr:colOff>13607</xdr:colOff>
      <xdr:row>136</xdr:row>
      <xdr:rowOff>40821</xdr:rowOff>
    </xdr:from>
    <xdr:to>
      <xdr:col>20</xdr:col>
      <xdr:colOff>897604</xdr:colOff>
      <xdr:row>137</xdr:row>
      <xdr:rowOff>141540</xdr:rowOff>
    </xdr:to>
    <xdr:pic>
      <xdr:nvPicPr>
        <xdr:cNvPr id="11" name="Picture 10">
          <a:extLst>
            <a:ext uri="{FF2B5EF4-FFF2-40B4-BE49-F238E27FC236}">
              <a16:creationId xmlns:a16="http://schemas.microsoft.com/office/drawing/2014/main" id="{29C93159-335A-404C-997A-0DB185D33690}"/>
            </a:ext>
          </a:extLst>
        </xdr:cNvPr>
        <xdr:cNvPicPr>
          <a:picLocks noChangeAspect="1"/>
        </xdr:cNvPicPr>
      </xdr:nvPicPr>
      <xdr:blipFill>
        <a:blip xmlns:r="http://schemas.openxmlformats.org/officeDocument/2006/relationships" r:embed="rId4"/>
        <a:stretch>
          <a:fillRect/>
        </a:stretch>
      </xdr:blipFill>
      <xdr:spPr>
        <a:xfrm>
          <a:off x="22749782" y="27606171"/>
          <a:ext cx="883997" cy="300744"/>
        </a:xfrm>
        <a:prstGeom prst="rect">
          <a:avLst/>
        </a:prstGeom>
      </xdr:spPr>
    </xdr:pic>
    <xdr:clientData/>
  </xdr:twoCellAnchor>
  <xdr:twoCellAnchor editAs="oneCell">
    <xdr:from>
      <xdr:col>20</xdr:col>
      <xdr:colOff>0</xdr:colOff>
      <xdr:row>197</xdr:row>
      <xdr:rowOff>0</xdr:rowOff>
    </xdr:from>
    <xdr:to>
      <xdr:col>20</xdr:col>
      <xdr:colOff>883997</xdr:colOff>
      <xdr:row>198</xdr:row>
      <xdr:rowOff>100718</xdr:rowOff>
    </xdr:to>
    <xdr:pic>
      <xdr:nvPicPr>
        <xdr:cNvPr id="12" name="Picture 11">
          <a:extLst>
            <a:ext uri="{FF2B5EF4-FFF2-40B4-BE49-F238E27FC236}">
              <a16:creationId xmlns:a16="http://schemas.microsoft.com/office/drawing/2014/main" id="{1A61CCEC-E975-42EB-BABD-622F6F1C432C}"/>
            </a:ext>
          </a:extLst>
        </xdr:cNvPr>
        <xdr:cNvPicPr>
          <a:picLocks noChangeAspect="1"/>
        </xdr:cNvPicPr>
      </xdr:nvPicPr>
      <xdr:blipFill>
        <a:blip xmlns:r="http://schemas.openxmlformats.org/officeDocument/2006/relationships" r:embed="rId4"/>
        <a:stretch>
          <a:fillRect/>
        </a:stretch>
      </xdr:blipFill>
      <xdr:spPr>
        <a:xfrm>
          <a:off x="22736175" y="39843075"/>
          <a:ext cx="883997" cy="300743"/>
        </a:xfrm>
        <a:prstGeom prst="rect">
          <a:avLst/>
        </a:prstGeom>
      </xdr:spPr>
    </xdr:pic>
    <xdr:clientData/>
  </xdr:twoCellAnchor>
  <xdr:twoCellAnchor editAs="oneCell">
    <xdr:from>
      <xdr:col>20</xdr:col>
      <xdr:colOff>0</xdr:colOff>
      <xdr:row>291</xdr:row>
      <xdr:rowOff>0</xdr:rowOff>
    </xdr:from>
    <xdr:to>
      <xdr:col>20</xdr:col>
      <xdr:colOff>883997</xdr:colOff>
      <xdr:row>292</xdr:row>
      <xdr:rowOff>100720</xdr:rowOff>
    </xdr:to>
    <xdr:pic>
      <xdr:nvPicPr>
        <xdr:cNvPr id="13" name="Picture 12">
          <a:extLst>
            <a:ext uri="{FF2B5EF4-FFF2-40B4-BE49-F238E27FC236}">
              <a16:creationId xmlns:a16="http://schemas.microsoft.com/office/drawing/2014/main" id="{D1CB2FC9-5789-4F92-8252-C430D79DEC9D}"/>
            </a:ext>
          </a:extLst>
        </xdr:cNvPr>
        <xdr:cNvPicPr>
          <a:picLocks noChangeAspect="1"/>
        </xdr:cNvPicPr>
      </xdr:nvPicPr>
      <xdr:blipFill>
        <a:blip xmlns:r="http://schemas.openxmlformats.org/officeDocument/2006/relationships" r:embed="rId4"/>
        <a:stretch>
          <a:fillRect/>
        </a:stretch>
      </xdr:blipFill>
      <xdr:spPr>
        <a:xfrm>
          <a:off x="22736175" y="58731150"/>
          <a:ext cx="883997" cy="3007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38673" name="Picture 1" descr="C:\WINDOWS\TEMP\Symbol.gif">
          <a:extLst>
            <a:ext uri="{FF2B5EF4-FFF2-40B4-BE49-F238E27FC236}">
              <a16:creationId xmlns:a16="http://schemas.microsoft.com/office/drawing/2014/main" id="{00000000-0008-0000-0500-0000119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38674" name="Picture 2" descr="C:\WINDOWS\TEMP\Symbol.gif">
          <a:extLst>
            <a:ext uri="{FF2B5EF4-FFF2-40B4-BE49-F238E27FC236}">
              <a16:creationId xmlns:a16="http://schemas.microsoft.com/office/drawing/2014/main" id="{00000000-0008-0000-0500-0000129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38675" name="Picture 3" descr="C:\WINDOWS\TEMP\Symbol.gif">
          <a:extLst>
            <a:ext uri="{FF2B5EF4-FFF2-40B4-BE49-F238E27FC236}">
              <a16:creationId xmlns:a16="http://schemas.microsoft.com/office/drawing/2014/main" id="{00000000-0008-0000-0500-00001397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273</xdr:row>
      <xdr:rowOff>161925</xdr:rowOff>
    </xdr:from>
    <xdr:to>
      <xdr:col>1</xdr:col>
      <xdr:colOff>19050</xdr:colOff>
      <xdr:row>274</xdr:row>
      <xdr:rowOff>200025</xdr:rowOff>
    </xdr:to>
    <xdr:pic>
      <xdr:nvPicPr>
        <xdr:cNvPr id="38676" name="Picture 4" descr="C:\WINDOWS\TEMP\Symbol.gif">
          <a:extLst>
            <a:ext uri="{FF2B5EF4-FFF2-40B4-BE49-F238E27FC236}">
              <a16:creationId xmlns:a16="http://schemas.microsoft.com/office/drawing/2014/main" id="{00000000-0008-0000-0500-00001497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4831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273</xdr:row>
      <xdr:rowOff>123825</xdr:rowOff>
    </xdr:from>
    <xdr:to>
      <xdr:col>20</xdr:col>
      <xdr:colOff>1895475</xdr:colOff>
      <xdr:row>274</xdr:row>
      <xdr:rowOff>152400</xdr:rowOff>
    </xdr:to>
    <xdr:pic>
      <xdr:nvPicPr>
        <xdr:cNvPr id="38677" name="Picture 5" descr="C:\WINDOWS\TEMP\~0003946.gif">
          <a:extLst>
            <a:ext uri="{FF2B5EF4-FFF2-40B4-BE49-F238E27FC236}">
              <a16:creationId xmlns:a16="http://schemas.microsoft.com/office/drawing/2014/main" id="{00000000-0008-0000-0500-0000159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54450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38678" name="Picture 6" descr="C:\WINDOWS\TEMP\~0003946.gif">
          <a:extLst>
            <a:ext uri="{FF2B5EF4-FFF2-40B4-BE49-F238E27FC236}">
              <a16:creationId xmlns:a16="http://schemas.microsoft.com/office/drawing/2014/main" id="{00000000-0008-0000-0500-000016970000}"/>
            </a:ext>
          </a:extLst>
        </xdr:cNvPr>
        <xdr:cNvPicPr>
          <a:picLocks noChangeAspect="1" noChangeArrowheads="1"/>
        </xdr:cNvPicPr>
      </xdr:nvPicPr>
      <xdr:blipFill>
        <a:blip xmlns:r="http://schemas.openxmlformats.org/officeDocument/2006/relationships"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38679" name="Picture 7" descr="C:\WINDOWS\TEMP\~0003946.gif">
          <a:extLst>
            <a:ext uri="{FF2B5EF4-FFF2-40B4-BE49-F238E27FC236}">
              <a16:creationId xmlns:a16="http://schemas.microsoft.com/office/drawing/2014/main" id="{00000000-0008-0000-0500-0000179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38680" name="Picture 8" descr="C:\WINDOWS\TEMP\~0003946.gif">
          <a:extLst>
            <a:ext uri="{FF2B5EF4-FFF2-40B4-BE49-F238E27FC236}">
              <a16:creationId xmlns:a16="http://schemas.microsoft.com/office/drawing/2014/main" id="{00000000-0008-0000-0500-00001897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38681" name="Picture 9" descr="C:\WINDOWS\TEMP\~0003946.gif">
          <a:extLst>
            <a:ext uri="{FF2B5EF4-FFF2-40B4-BE49-F238E27FC236}">
              <a16:creationId xmlns:a16="http://schemas.microsoft.com/office/drawing/2014/main" id="{00000000-0008-0000-0500-0000199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38682" name="Picture 10" descr="C:\WINDOWS\TEMP\~0003946.gif">
          <a:extLst>
            <a:ext uri="{FF2B5EF4-FFF2-40B4-BE49-F238E27FC236}">
              <a16:creationId xmlns:a16="http://schemas.microsoft.com/office/drawing/2014/main" id="{00000000-0008-0000-0500-00001A9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38683" name="Picture 11" descr="C:\WINDOWS\TEMP\~0003946.gif">
          <a:extLst>
            <a:ext uri="{FF2B5EF4-FFF2-40B4-BE49-F238E27FC236}">
              <a16:creationId xmlns:a16="http://schemas.microsoft.com/office/drawing/2014/main" id="{00000000-0008-0000-0500-00001B9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273</xdr:row>
      <xdr:rowOff>104775</xdr:rowOff>
    </xdr:from>
    <xdr:to>
      <xdr:col>20</xdr:col>
      <xdr:colOff>895350</xdr:colOff>
      <xdr:row>274</xdr:row>
      <xdr:rowOff>133350</xdr:rowOff>
    </xdr:to>
    <xdr:pic>
      <xdr:nvPicPr>
        <xdr:cNvPr id="38684" name="Picture 12" descr="C:\WINDOWS\TEMP\~0003946.gif">
          <a:extLst>
            <a:ext uri="{FF2B5EF4-FFF2-40B4-BE49-F238E27FC236}">
              <a16:creationId xmlns:a16="http://schemas.microsoft.com/office/drawing/2014/main" id="{00000000-0008-0000-0500-00001C97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5425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38685" name="Picture 13" descr="logoMTL">
          <a:extLst>
            <a:ext uri="{FF2B5EF4-FFF2-40B4-BE49-F238E27FC236}">
              <a16:creationId xmlns:a16="http://schemas.microsoft.com/office/drawing/2014/main" id="{00000000-0008-0000-0500-00001D97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38686" name="Picture 14" descr="logoMTL">
          <a:extLst>
            <a:ext uri="{FF2B5EF4-FFF2-40B4-BE49-F238E27FC236}">
              <a16:creationId xmlns:a16="http://schemas.microsoft.com/office/drawing/2014/main" id="{00000000-0008-0000-0500-00001E9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38687" name="Picture 15" descr="logoMTL">
          <a:extLst>
            <a:ext uri="{FF2B5EF4-FFF2-40B4-BE49-F238E27FC236}">
              <a16:creationId xmlns:a16="http://schemas.microsoft.com/office/drawing/2014/main" id="{00000000-0008-0000-0500-00001F9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273</xdr:row>
      <xdr:rowOff>0</xdr:rowOff>
    </xdr:from>
    <xdr:to>
      <xdr:col>19</xdr:col>
      <xdr:colOff>1228725</xdr:colOff>
      <xdr:row>274</xdr:row>
      <xdr:rowOff>123825</xdr:rowOff>
    </xdr:to>
    <xdr:pic>
      <xdr:nvPicPr>
        <xdr:cNvPr id="38688" name="Picture 16" descr="logoMTL">
          <a:extLst>
            <a:ext uri="{FF2B5EF4-FFF2-40B4-BE49-F238E27FC236}">
              <a16:creationId xmlns:a16="http://schemas.microsoft.com/office/drawing/2014/main" id="{00000000-0008-0000-0500-00002097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53212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39697" name="Picture 1" descr="C:\WINDOWS\TEMP\Symbol.gif">
          <a:extLst>
            <a:ext uri="{FF2B5EF4-FFF2-40B4-BE49-F238E27FC236}">
              <a16:creationId xmlns:a16="http://schemas.microsoft.com/office/drawing/2014/main" id="{00000000-0008-0000-0600-0000119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39698" name="Picture 2" descr="C:\WINDOWS\TEMP\Symbol.gif">
          <a:extLst>
            <a:ext uri="{FF2B5EF4-FFF2-40B4-BE49-F238E27FC236}">
              <a16:creationId xmlns:a16="http://schemas.microsoft.com/office/drawing/2014/main" id="{00000000-0008-0000-0600-0000129B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39699" name="Picture 3" descr="C:\WINDOWS\TEMP\Symbol.gif">
          <a:extLst>
            <a:ext uri="{FF2B5EF4-FFF2-40B4-BE49-F238E27FC236}">
              <a16:creationId xmlns:a16="http://schemas.microsoft.com/office/drawing/2014/main" id="{00000000-0008-0000-0600-0000139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273</xdr:row>
      <xdr:rowOff>161925</xdr:rowOff>
    </xdr:from>
    <xdr:to>
      <xdr:col>1</xdr:col>
      <xdr:colOff>19050</xdr:colOff>
      <xdr:row>274</xdr:row>
      <xdr:rowOff>200025</xdr:rowOff>
    </xdr:to>
    <xdr:pic>
      <xdr:nvPicPr>
        <xdr:cNvPr id="39700" name="Picture 4" descr="C:\WINDOWS\TEMP\Symbol.gif">
          <a:extLst>
            <a:ext uri="{FF2B5EF4-FFF2-40B4-BE49-F238E27FC236}">
              <a16:creationId xmlns:a16="http://schemas.microsoft.com/office/drawing/2014/main" id="{00000000-0008-0000-0600-0000149B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525" y="55483125"/>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273</xdr:row>
      <xdr:rowOff>123825</xdr:rowOff>
    </xdr:from>
    <xdr:to>
      <xdr:col>20</xdr:col>
      <xdr:colOff>1895475</xdr:colOff>
      <xdr:row>274</xdr:row>
      <xdr:rowOff>152400</xdr:rowOff>
    </xdr:to>
    <xdr:pic>
      <xdr:nvPicPr>
        <xdr:cNvPr id="39701" name="Picture 5" descr="C:\WINDOWS\TEMP\~0003946.gif">
          <a:extLst>
            <a:ext uri="{FF2B5EF4-FFF2-40B4-BE49-F238E27FC236}">
              <a16:creationId xmlns:a16="http://schemas.microsoft.com/office/drawing/2014/main" id="{00000000-0008-0000-0600-0000159B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3583900" y="554450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39702" name="Picture 6" descr="C:\WINDOWS\TEMP\~0003946.gif">
          <a:extLst>
            <a:ext uri="{FF2B5EF4-FFF2-40B4-BE49-F238E27FC236}">
              <a16:creationId xmlns:a16="http://schemas.microsoft.com/office/drawing/2014/main" id="{00000000-0008-0000-0600-0000169B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39703" name="Picture 7" descr="C:\WINDOWS\TEMP\~0003946.gif">
          <a:extLst>
            <a:ext uri="{FF2B5EF4-FFF2-40B4-BE49-F238E27FC236}">
              <a16:creationId xmlns:a16="http://schemas.microsoft.com/office/drawing/2014/main" id="{00000000-0008-0000-0600-0000179B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39704" name="Picture 8" descr="C:\WINDOWS\TEMP\~0003946.gif">
          <a:extLst>
            <a:ext uri="{FF2B5EF4-FFF2-40B4-BE49-F238E27FC236}">
              <a16:creationId xmlns:a16="http://schemas.microsoft.com/office/drawing/2014/main" id="{00000000-0008-0000-0600-0000189B0000}"/>
            </a:ext>
          </a:extLst>
        </xdr:cNvPr>
        <xdr:cNvPicPr>
          <a:picLocks noChangeAspect="1" noChangeArrowheads="1"/>
        </xdr:cNvPicPr>
      </xdr:nvPicPr>
      <xdr:blipFill>
        <a:blip xmlns:r="http://schemas.openxmlformats.org/officeDocument/2006/relationships" r:embed="rId4" r:link="rId3">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39705" name="Picture 9" descr="C:\WINDOWS\TEMP\~0003946.gif">
          <a:extLst>
            <a:ext uri="{FF2B5EF4-FFF2-40B4-BE49-F238E27FC236}">
              <a16:creationId xmlns:a16="http://schemas.microsoft.com/office/drawing/2014/main" id="{00000000-0008-0000-0600-0000199B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39706" name="Picture 10" descr="C:\WINDOWS\TEMP\~0003946.gif">
          <a:extLst>
            <a:ext uri="{FF2B5EF4-FFF2-40B4-BE49-F238E27FC236}">
              <a16:creationId xmlns:a16="http://schemas.microsoft.com/office/drawing/2014/main" id="{00000000-0008-0000-0600-00001A9B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39707" name="Picture 11" descr="C:\WINDOWS\TEMP\~0003946.gif">
          <a:extLst>
            <a:ext uri="{FF2B5EF4-FFF2-40B4-BE49-F238E27FC236}">
              <a16:creationId xmlns:a16="http://schemas.microsoft.com/office/drawing/2014/main" id="{00000000-0008-0000-0600-00001B9B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273</xdr:row>
      <xdr:rowOff>104775</xdr:rowOff>
    </xdr:from>
    <xdr:to>
      <xdr:col>20</xdr:col>
      <xdr:colOff>895350</xdr:colOff>
      <xdr:row>274</xdr:row>
      <xdr:rowOff>133350</xdr:rowOff>
    </xdr:to>
    <xdr:pic>
      <xdr:nvPicPr>
        <xdr:cNvPr id="39708" name="Picture 12" descr="C:\WINDOWS\TEMP\~0003946.gif">
          <a:extLst>
            <a:ext uri="{FF2B5EF4-FFF2-40B4-BE49-F238E27FC236}">
              <a16:creationId xmlns:a16="http://schemas.microsoft.com/office/drawing/2014/main" id="{00000000-0008-0000-0600-00001C9B0000}"/>
            </a:ext>
          </a:extLst>
        </xdr:cNvPr>
        <xdr:cNvPicPr>
          <a:picLocks noChangeAspect="1" noChangeArrowheads="1"/>
        </xdr:cNvPicPr>
      </xdr:nvPicPr>
      <xdr:blipFill>
        <a:blip xmlns:r="http://schemas.openxmlformats.org/officeDocument/2006/relationships" r:embed="rId5" r:link="rId3" cstate="print">
          <a:extLst>
            <a:ext uri="{28A0092B-C50C-407E-A947-70E740481C1C}">
              <a14:useLocalDpi xmlns:a14="http://schemas.microsoft.com/office/drawing/2010/main" val="0"/>
            </a:ext>
          </a:extLst>
        </a:blip>
        <a:srcRect/>
        <a:stretch>
          <a:fillRect/>
        </a:stretch>
      </xdr:blipFill>
      <xdr:spPr bwMode="auto">
        <a:xfrm>
          <a:off x="22669500" y="554259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39709" name="Picture 13" descr="logoMTL">
          <a:extLst>
            <a:ext uri="{FF2B5EF4-FFF2-40B4-BE49-F238E27FC236}">
              <a16:creationId xmlns:a16="http://schemas.microsoft.com/office/drawing/2014/main" id="{00000000-0008-0000-0600-00001D9B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39710" name="Picture 14" descr="logoMTL">
          <a:extLst>
            <a:ext uri="{FF2B5EF4-FFF2-40B4-BE49-F238E27FC236}">
              <a16:creationId xmlns:a16="http://schemas.microsoft.com/office/drawing/2014/main" id="{00000000-0008-0000-0600-00001E9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39711" name="Picture 15" descr="logoMTL">
          <a:extLst>
            <a:ext uri="{FF2B5EF4-FFF2-40B4-BE49-F238E27FC236}">
              <a16:creationId xmlns:a16="http://schemas.microsoft.com/office/drawing/2014/main" id="{00000000-0008-0000-0600-00001F9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273</xdr:row>
      <xdr:rowOff>0</xdr:rowOff>
    </xdr:from>
    <xdr:to>
      <xdr:col>19</xdr:col>
      <xdr:colOff>1228725</xdr:colOff>
      <xdr:row>274</xdr:row>
      <xdr:rowOff>123825</xdr:rowOff>
    </xdr:to>
    <xdr:pic>
      <xdr:nvPicPr>
        <xdr:cNvPr id="39712" name="Picture 16" descr="logoMTL">
          <a:extLst>
            <a:ext uri="{FF2B5EF4-FFF2-40B4-BE49-F238E27FC236}">
              <a16:creationId xmlns:a16="http://schemas.microsoft.com/office/drawing/2014/main" id="{00000000-0008-0000-0600-0000209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532120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40721" name="Picture 1" descr="C:\WINDOWS\TEMP\Symbol.gif">
          <a:extLst>
            <a:ext uri="{FF2B5EF4-FFF2-40B4-BE49-F238E27FC236}">
              <a16:creationId xmlns:a16="http://schemas.microsoft.com/office/drawing/2014/main" id="{00000000-0008-0000-0700-0000119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40722" name="Picture 2" descr="C:\WINDOWS\TEMP\Symbol.gif">
          <a:extLst>
            <a:ext uri="{FF2B5EF4-FFF2-40B4-BE49-F238E27FC236}">
              <a16:creationId xmlns:a16="http://schemas.microsoft.com/office/drawing/2014/main" id="{00000000-0008-0000-0700-0000129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40723" name="Picture 3" descr="C:\WINDOWS\TEMP\Symbol.gif">
          <a:extLst>
            <a:ext uri="{FF2B5EF4-FFF2-40B4-BE49-F238E27FC236}">
              <a16:creationId xmlns:a16="http://schemas.microsoft.com/office/drawing/2014/main" id="{00000000-0008-0000-0700-0000139F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274</xdr:row>
      <xdr:rowOff>161925</xdr:rowOff>
    </xdr:from>
    <xdr:to>
      <xdr:col>1</xdr:col>
      <xdr:colOff>19050</xdr:colOff>
      <xdr:row>275</xdr:row>
      <xdr:rowOff>200025</xdr:rowOff>
    </xdr:to>
    <xdr:pic>
      <xdr:nvPicPr>
        <xdr:cNvPr id="40724" name="Picture 4" descr="C:\WINDOWS\TEMP\Symbol.gif">
          <a:extLst>
            <a:ext uri="{FF2B5EF4-FFF2-40B4-BE49-F238E27FC236}">
              <a16:creationId xmlns:a16="http://schemas.microsoft.com/office/drawing/2014/main" id="{00000000-0008-0000-0700-0000149F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56831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274</xdr:row>
      <xdr:rowOff>123825</xdr:rowOff>
    </xdr:from>
    <xdr:to>
      <xdr:col>20</xdr:col>
      <xdr:colOff>1895475</xdr:colOff>
      <xdr:row>275</xdr:row>
      <xdr:rowOff>152400</xdr:rowOff>
    </xdr:to>
    <xdr:pic>
      <xdr:nvPicPr>
        <xdr:cNvPr id="40725" name="Picture 5" descr="C:\WINDOWS\TEMP\~0003946.gif">
          <a:extLst>
            <a:ext uri="{FF2B5EF4-FFF2-40B4-BE49-F238E27FC236}">
              <a16:creationId xmlns:a16="http://schemas.microsoft.com/office/drawing/2014/main" id="{00000000-0008-0000-0700-0000159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55645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40726" name="Picture 6" descr="C:\WINDOWS\TEMP\~0003946.gif">
          <a:extLst>
            <a:ext uri="{FF2B5EF4-FFF2-40B4-BE49-F238E27FC236}">
              <a16:creationId xmlns:a16="http://schemas.microsoft.com/office/drawing/2014/main" id="{00000000-0008-0000-0700-0000169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40727" name="Picture 7" descr="C:\WINDOWS\TEMP\~0003946.gif">
          <a:extLst>
            <a:ext uri="{FF2B5EF4-FFF2-40B4-BE49-F238E27FC236}">
              <a16:creationId xmlns:a16="http://schemas.microsoft.com/office/drawing/2014/main" id="{00000000-0008-0000-0700-0000179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40728" name="Picture 8" descr="C:\WINDOWS\TEMP\~0003946.gif">
          <a:extLst>
            <a:ext uri="{FF2B5EF4-FFF2-40B4-BE49-F238E27FC236}">
              <a16:creationId xmlns:a16="http://schemas.microsoft.com/office/drawing/2014/main" id="{00000000-0008-0000-0700-0000189F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40729" name="Picture 9" descr="C:\WINDOWS\TEMP\~0003946.gif">
          <a:extLst>
            <a:ext uri="{FF2B5EF4-FFF2-40B4-BE49-F238E27FC236}">
              <a16:creationId xmlns:a16="http://schemas.microsoft.com/office/drawing/2014/main" id="{00000000-0008-0000-0700-0000199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40730" name="Picture 10" descr="C:\WINDOWS\TEMP\~0003946.gif">
          <a:extLst>
            <a:ext uri="{FF2B5EF4-FFF2-40B4-BE49-F238E27FC236}">
              <a16:creationId xmlns:a16="http://schemas.microsoft.com/office/drawing/2014/main" id="{00000000-0008-0000-0700-00001A9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40731" name="Picture 11" descr="C:\WINDOWS\TEMP\~0003946.gif">
          <a:extLst>
            <a:ext uri="{FF2B5EF4-FFF2-40B4-BE49-F238E27FC236}">
              <a16:creationId xmlns:a16="http://schemas.microsoft.com/office/drawing/2014/main" id="{00000000-0008-0000-0700-00001B9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274</xdr:row>
      <xdr:rowOff>104775</xdr:rowOff>
    </xdr:from>
    <xdr:to>
      <xdr:col>20</xdr:col>
      <xdr:colOff>895350</xdr:colOff>
      <xdr:row>275</xdr:row>
      <xdr:rowOff>133350</xdr:rowOff>
    </xdr:to>
    <xdr:pic>
      <xdr:nvPicPr>
        <xdr:cNvPr id="40732" name="Picture 12" descr="C:\WINDOWS\TEMP\~0003946.gif">
          <a:extLst>
            <a:ext uri="{FF2B5EF4-FFF2-40B4-BE49-F238E27FC236}">
              <a16:creationId xmlns:a16="http://schemas.microsoft.com/office/drawing/2014/main" id="{00000000-0008-0000-0700-00001C9F0000}"/>
            </a:ext>
          </a:extLst>
        </xdr:cNvPr>
        <xdr:cNvPicPr>
          <a:picLocks noChangeAspect="1" noChangeArrowheads="1"/>
        </xdr:cNvPicPr>
      </xdr:nvPicPr>
      <xdr:blipFill>
        <a:blip xmlns:r="http://schemas.openxmlformats.org/officeDocument/2006/relationships" r:embed="rId5" r:link="rId4" cstate="print">
          <a:extLst>
            <a:ext uri="{28A0092B-C50C-407E-A947-70E740481C1C}">
              <a14:useLocalDpi xmlns:a14="http://schemas.microsoft.com/office/drawing/2010/main" val="0"/>
            </a:ext>
          </a:extLst>
        </a:blip>
        <a:srcRect/>
        <a:stretch>
          <a:fillRect/>
        </a:stretch>
      </xdr:blipFill>
      <xdr:spPr bwMode="auto">
        <a:xfrm>
          <a:off x="22669500" y="55626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40733" name="Picture 13" descr="logoMTL">
          <a:extLst>
            <a:ext uri="{FF2B5EF4-FFF2-40B4-BE49-F238E27FC236}">
              <a16:creationId xmlns:a16="http://schemas.microsoft.com/office/drawing/2014/main" id="{00000000-0008-0000-0700-00001D9F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40734" name="Picture 14" descr="logoMTL">
          <a:extLst>
            <a:ext uri="{FF2B5EF4-FFF2-40B4-BE49-F238E27FC236}">
              <a16:creationId xmlns:a16="http://schemas.microsoft.com/office/drawing/2014/main" id="{00000000-0008-0000-0700-00001E9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40735" name="Picture 15" descr="logoMTL">
          <a:extLst>
            <a:ext uri="{FF2B5EF4-FFF2-40B4-BE49-F238E27FC236}">
              <a16:creationId xmlns:a16="http://schemas.microsoft.com/office/drawing/2014/main" id="{00000000-0008-0000-0700-00001F9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274</xdr:row>
      <xdr:rowOff>0</xdr:rowOff>
    </xdr:from>
    <xdr:to>
      <xdr:col>19</xdr:col>
      <xdr:colOff>1228725</xdr:colOff>
      <xdr:row>275</xdr:row>
      <xdr:rowOff>123825</xdr:rowOff>
    </xdr:to>
    <xdr:pic>
      <xdr:nvPicPr>
        <xdr:cNvPr id="40736" name="Picture 16" descr="logoMTL">
          <a:extLst>
            <a:ext uri="{FF2B5EF4-FFF2-40B4-BE49-F238E27FC236}">
              <a16:creationId xmlns:a16="http://schemas.microsoft.com/office/drawing/2014/main" id="{00000000-0008-0000-0700-0000209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36050" y="555212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59</xdr:row>
      <xdr:rowOff>190500</xdr:rowOff>
    </xdr:from>
    <xdr:to>
      <xdr:col>1</xdr:col>
      <xdr:colOff>0</xdr:colOff>
      <xdr:row>60</xdr:row>
      <xdr:rowOff>228600</xdr:rowOff>
    </xdr:to>
    <xdr:pic>
      <xdr:nvPicPr>
        <xdr:cNvPr id="41745" name="Picture 1" descr="C:\WINDOWS\TEMP\Symbol.gif">
          <a:extLst>
            <a:ext uri="{FF2B5EF4-FFF2-40B4-BE49-F238E27FC236}">
              <a16:creationId xmlns:a16="http://schemas.microsoft.com/office/drawing/2014/main" id="{00000000-0008-0000-0800-000011A3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0967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131</xdr:row>
      <xdr:rowOff>161925</xdr:rowOff>
    </xdr:from>
    <xdr:to>
      <xdr:col>1</xdr:col>
      <xdr:colOff>28575</xdr:colOff>
      <xdr:row>132</xdr:row>
      <xdr:rowOff>200025</xdr:rowOff>
    </xdr:to>
    <xdr:pic>
      <xdr:nvPicPr>
        <xdr:cNvPr id="41746" name="Picture 2" descr="C:\WINDOWS\TEMP\Symbol.gif">
          <a:extLst>
            <a:ext uri="{FF2B5EF4-FFF2-40B4-BE49-F238E27FC236}">
              <a16:creationId xmlns:a16="http://schemas.microsoft.com/office/drawing/2014/main" id="{00000000-0008-0000-0800-000012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28575" y="26917650"/>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191</xdr:row>
      <xdr:rowOff>171450</xdr:rowOff>
    </xdr:from>
    <xdr:to>
      <xdr:col>1</xdr:col>
      <xdr:colOff>47625</xdr:colOff>
      <xdr:row>192</xdr:row>
      <xdr:rowOff>209550</xdr:rowOff>
    </xdr:to>
    <xdr:pic>
      <xdr:nvPicPr>
        <xdr:cNvPr id="41747" name="Picture 3" descr="C:\WINDOWS\TEMP\Symbol.gif">
          <a:extLst>
            <a:ext uri="{FF2B5EF4-FFF2-40B4-BE49-F238E27FC236}">
              <a16:creationId xmlns:a16="http://schemas.microsoft.com/office/drawing/2014/main" id="{00000000-0008-0000-0800-000013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47625" y="39004875"/>
          <a:ext cx="342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274</xdr:row>
      <xdr:rowOff>161925</xdr:rowOff>
    </xdr:from>
    <xdr:to>
      <xdr:col>1</xdr:col>
      <xdr:colOff>19050</xdr:colOff>
      <xdr:row>275</xdr:row>
      <xdr:rowOff>200025</xdr:rowOff>
    </xdr:to>
    <xdr:pic>
      <xdr:nvPicPr>
        <xdr:cNvPr id="41748" name="Picture 4" descr="C:\WINDOWS\TEMP\Symbol.gif">
          <a:extLst>
            <a:ext uri="{FF2B5EF4-FFF2-40B4-BE49-F238E27FC236}">
              <a16:creationId xmlns:a16="http://schemas.microsoft.com/office/drawing/2014/main" id="{00000000-0008-0000-0800-000014A3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25" y="55683150"/>
          <a:ext cx="3524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1095375</xdr:colOff>
      <xdr:row>274</xdr:row>
      <xdr:rowOff>123825</xdr:rowOff>
    </xdr:from>
    <xdr:to>
      <xdr:col>20</xdr:col>
      <xdr:colOff>1895475</xdr:colOff>
      <xdr:row>275</xdr:row>
      <xdr:rowOff>152400</xdr:rowOff>
    </xdr:to>
    <xdr:pic>
      <xdr:nvPicPr>
        <xdr:cNvPr id="41749" name="Picture 5" descr="C:\WINDOWS\TEMP\~0003946.gif">
          <a:extLst>
            <a:ext uri="{FF2B5EF4-FFF2-40B4-BE49-F238E27FC236}">
              <a16:creationId xmlns:a16="http://schemas.microsoft.com/office/drawing/2014/main" id="{00000000-0008-0000-0800-000015A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3583900" y="556450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1123950</xdr:colOff>
      <xdr:row>191</xdr:row>
      <xdr:rowOff>152400</xdr:rowOff>
    </xdr:from>
    <xdr:to>
      <xdr:col>20</xdr:col>
      <xdr:colOff>1924050</xdr:colOff>
      <xdr:row>192</xdr:row>
      <xdr:rowOff>180975</xdr:rowOff>
    </xdr:to>
    <xdr:pic>
      <xdr:nvPicPr>
        <xdr:cNvPr id="41750" name="Picture 6" descr="C:\WINDOWS\TEMP\~0003946.gif">
          <a:extLst>
            <a:ext uri="{FF2B5EF4-FFF2-40B4-BE49-F238E27FC236}">
              <a16:creationId xmlns:a16="http://schemas.microsoft.com/office/drawing/2014/main" id="{00000000-0008-0000-0800-000016A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3583900" y="389858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131</xdr:row>
      <xdr:rowOff>161925</xdr:rowOff>
    </xdr:from>
    <xdr:to>
      <xdr:col>20</xdr:col>
      <xdr:colOff>1952625</xdr:colOff>
      <xdr:row>132</xdr:row>
      <xdr:rowOff>190500</xdr:rowOff>
    </xdr:to>
    <xdr:pic>
      <xdr:nvPicPr>
        <xdr:cNvPr id="41751" name="Picture 7" descr="C:\WINDOWS\TEMP\~0003946.gif">
          <a:extLst>
            <a:ext uri="{FF2B5EF4-FFF2-40B4-BE49-F238E27FC236}">
              <a16:creationId xmlns:a16="http://schemas.microsoft.com/office/drawing/2014/main" id="{00000000-0008-0000-0800-000017A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3583900" y="269176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1152525</xdr:colOff>
      <xdr:row>59</xdr:row>
      <xdr:rowOff>161925</xdr:rowOff>
    </xdr:from>
    <xdr:to>
      <xdr:col>20</xdr:col>
      <xdr:colOff>1952625</xdr:colOff>
      <xdr:row>60</xdr:row>
      <xdr:rowOff>190500</xdr:rowOff>
    </xdr:to>
    <xdr:pic>
      <xdr:nvPicPr>
        <xdr:cNvPr id="41752" name="Picture 8" descr="C:\WINDOWS\TEMP\~0003946.gif">
          <a:extLst>
            <a:ext uri="{FF2B5EF4-FFF2-40B4-BE49-F238E27FC236}">
              <a16:creationId xmlns:a16="http://schemas.microsoft.com/office/drawing/2014/main" id="{00000000-0008-0000-0800-000018A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3583900" y="12068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85725</xdr:colOff>
      <xdr:row>59</xdr:row>
      <xdr:rowOff>123825</xdr:rowOff>
    </xdr:from>
    <xdr:to>
      <xdr:col>20</xdr:col>
      <xdr:colOff>885825</xdr:colOff>
      <xdr:row>60</xdr:row>
      <xdr:rowOff>152400</xdr:rowOff>
    </xdr:to>
    <xdr:pic>
      <xdr:nvPicPr>
        <xdr:cNvPr id="41753" name="Picture 9" descr="C:\WINDOWS\TEMP\~0003946.gif">
          <a:extLst>
            <a:ext uri="{FF2B5EF4-FFF2-40B4-BE49-F238E27FC236}">
              <a16:creationId xmlns:a16="http://schemas.microsoft.com/office/drawing/2014/main" id="{00000000-0008-0000-0800-000019A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2659975" y="12030075"/>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131</xdr:row>
      <xdr:rowOff>123825</xdr:rowOff>
    </xdr:from>
    <xdr:to>
      <xdr:col>20</xdr:col>
      <xdr:colOff>895350</xdr:colOff>
      <xdr:row>132</xdr:row>
      <xdr:rowOff>152400</xdr:rowOff>
    </xdr:to>
    <xdr:pic>
      <xdr:nvPicPr>
        <xdr:cNvPr id="41754" name="Picture 10" descr="C:\WINDOWS\TEMP\~0003946.gif">
          <a:extLst>
            <a:ext uri="{FF2B5EF4-FFF2-40B4-BE49-F238E27FC236}">
              <a16:creationId xmlns:a16="http://schemas.microsoft.com/office/drawing/2014/main" id="{00000000-0008-0000-0800-00001AA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2669500" y="2687955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191</xdr:row>
      <xdr:rowOff>104775</xdr:rowOff>
    </xdr:from>
    <xdr:to>
      <xdr:col>20</xdr:col>
      <xdr:colOff>809625</xdr:colOff>
      <xdr:row>192</xdr:row>
      <xdr:rowOff>133350</xdr:rowOff>
    </xdr:to>
    <xdr:pic>
      <xdr:nvPicPr>
        <xdr:cNvPr id="41755" name="Picture 11" descr="C:\WINDOWS\TEMP\~0003946.gif">
          <a:extLst>
            <a:ext uri="{FF2B5EF4-FFF2-40B4-BE49-F238E27FC236}">
              <a16:creationId xmlns:a16="http://schemas.microsoft.com/office/drawing/2014/main" id="{00000000-0008-0000-0800-00001BA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2583775" y="389382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95250</xdr:colOff>
      <xdr:row>274</xdr:row>
      <xdr:rowOff>104775</xdr:rowOff>
    </xdr:from>
    <xdr:to>
      <xdr:col>20</xdr:col>
      <xdr:colOff>895350</xdr:colOff>
      <xdr:row>275</xdr:row>
      <xdr:rowOff>133350</xdr:rowOff>
    </xdr:to>
    <xdr:pic>
      <xdr:nvPicPr>
        <xdr:cNvPr id="41756" name="Picture 12" descr="C:\WINDOWS\TEMP\~0003946.gif">
          <a:extLst>
            <a:ext uri="{FF2B5EF4-FFF2-40B4-BE49-F238E27FC236}">
              <a16:creationId xmlns:a16="http://schemas.microsoft.com/office/drawing/2014/main" id="{00000000-0008-0000-0800-00001CA3000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2669500" y="55626000"/>
          <a:ext cx="8001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447675</xdr:colOff>
      <xdr:row>59</xdr:row>
      <xdr:rowOff>38100</xdr:rowOff>
    </xdr:from>
    <xdr:to>
      <xdr:col>20</xdr:col>
      <xdr:colOff>0</xdr:colOff>
      <xdr:row>60</xdr:row>
      <xdr:rowOff>161925</xdr:rowOff>
    </xdr:to>
    <xdr:pic>
      <xdr:nvPicPr>
        <xdr:cNvPr id="41757" name="Picture 13" descr="logoMTL">
          <a:extLst>
            <a:ext uri="{FF2B5EF4-FFF2-40B4-BE49-F238E27FC236}">
              <a16:creationId xmlns:a16="http://schemas.microsoft.com/office/drawing/2014/main" id="{00000000-0008-0000-0800-00001DA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764625" y="11944350"/>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131</xdr:row>
      <xdr:rowOff>38100</xdr:rowOff>
    </xdr:from>
    <xdr:to>
      <xdr:col>19</xdr:col>
      <xdr:colOff>1171575</xdr:colOff>
      <xdr:row>132</xdr:row>
      <xdr:rowOff>161925</xdr:rowOff>
    </xdr:to>
    <xdr:pic>
      <xdr:nvPicPr>
        <xdr:cNvPr id="41758" name="Picture 14" descr="logoMTL">
          <a:extLst>
            <a:ext uri="{FF2B5EF4-FFF2-40B4-BE49-F238E27FC236}">
              <a16:creationId xmlns:a16="http://schemas.microsoft.com/office/drawing/2014/main" id="{00000000-0008-0000-0800-00001EA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688425" y="26793825"/>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371475</xdr:colOff>
      <xdr:row>191</xdr:row>
      <xdr:rowOff>28575</xdr:rowOff>
    </xdr:from>
    <xdr:to>
      <xdr:col>19</xdr:col>
      <xdr:colOff>1171575</xdr:colOff>
      <xdr:row>192</xdr:row>
      <xdr:rowOff>152400</xdr:rowOff>
    </xdr:to>
    <xdr:pic>
      <xdr:nvPicPr>
        <xdr:cNvPr id="41759" name="Picture 15" descr="logoMTL">
          <a:extLst>
            <a:ext uri="{FF2B5EF4-FFF2-40B4-BE49-F238E27FC236}">
              <a16:creationId xmlns:a16="http://schemas.microsoft.com/office/drawing/2014/main" id="{00000000-0008-0000-0800-00001FA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688425" y="38862000"/>
          <a:ext cx="800100"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274</xdr:row>
      <xdr:rowOff>0</xdr:rowOff>
    </xdr:from>
    <xdr:to>
      <xdr:col>19</xdr:col>
      <xdr:colOff>1228725</xdr:colOff>
      <xdr:row>275</xdr:row>
      <xdr:rowOff>123825</xdr:rowOff>
    </xdr:to>
    <xdr:pic>
      <xdr:nvPicPr>
        <xdr:cNvPr id="41760" name="Picture 16" descr="logoMTL">
          <a:extLst>
            <a:ext uri="{FF2B5EF4-FFF2-40B4-BE49-F238E27FC236}">
              <a16:creationId xmlns:a16="http://schemas.microsoft.com/office/drawing/2014/main" id="{00000000-0008-0000-0800-000020A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36050" y="55521225"/>
          <a:ext cx="809625" cy="3238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www.paragonbankinggroup.co.uk/" TargetMode="External"/><Relationship Id="rId1" Type="http://schemas.openxmlformats.org/officeDocument/2006/relationships/hyperlink" Target="http://www.paragonbankinggroup.co.uk/" TargetMode="External"/><Relationship Id="rId4"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9CB31"/>
  </sheetPr>
  <dimension ref="A1:W269"/>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0.58850000000000002</v>
      </c>
      <c r="R16" s="17" t="s">
        <v>149</v>
      </c>
      <c r="S16" s="140">
        <v>0.41149999999999998</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38678</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2"/>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2"/>
      <c r="T22" s="12"/>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27"/>
      <c r="T23" s="27"/>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27"/>
      <c r="T24" s="27"/>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27"/>
      <c r="T25" s="27"/>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27"/>
      <c r="T26" s="27"/>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27"/>
      <c r="T27" s="27"/>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27"/>
      <c r="T28" s="27"/>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33"/>
      <c r="T29" s="31"/>
      <c r="U29" s="34"/>
      <c r="V29" s="5"/>
    </row>
    <row r="30" spans="1:22" ht="15.6" x14ac:dyDescent="0.3">
      <c r="A30" s="24"/>
      <c r="B30" s="25" t="s">
        <v>141</v>
      </c>
      <c r="C30" s="32"/>
      <c r="D30" s="31">
        <v>0</v>
      </c>
      <c r="E30" s="32"/>
      <c r="F30" s="125">
        <v>0</v>
      </c>
      <c r="G30" s="31"/>
      <c r="H30" s="150">
        <v>0</v>
      </c>
      <c r="I30" s="31"/>
      <c r="J30" s="31">
        <v>0</v>
      </c>
      <c r="K30" s="31"/>
      <c r="L30" s="125">
        <v>0</v>
      </c>
      <c r="M30" s="31"/>
      <c r="N30" s="130">
        <v>0</v>
      </c>
      <c r="O30" s="31"/>
      <c r="P30" s="125">
        <v>0</v>
      </c>
      <c r="Q30" s="31"/>
      <c r="R30" s="31"/>
      <c r="S30" s="33"/>
      <c r="T30" s="31"/>
      <c r="U30" s="34"/>
      <c r="V30" s="5"/>
    </row>
    <row r="31" spans="1:22" ht="15.6" x14ac:dyDescent="0.3">
      <c r="A31" s="28"/>
      <c r="B31" s="29" t="s">
        <v>143</v>
      </c>
      <c r="C31" s="36"/>
      <c r="D31" s="35">
        <f>D35*D29</f>
        <v>335121.41399999999</v>
      </c>
      <c r="E31" s="36"/>
      <c r="F31" s="126">
        <f>F35*F29</f>
        <v>343838.44500000001</v>
      </c>
      <c r="G31" s="35"/>
      <c r="H31" s="155">
        <f>H35*H29</f>
        <v>58113.539999999994</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33"/>
      <c r="T32" s="31">
        <f>SUM(C32:P32)</f>
        <v>700000</v>
      </c>
      <c r="U32" s="34"/>
      <c r="V32" s="5"/>
    </row>
    <row r="33" spans="1:22" ht="15.6" x14ac:dyDescent="0.3">
      <c r="A33" s="24"/>
      <c r="B33" s="25" t="s">
        <v>290</v>
      </c>
      <c r="C33" s="32"/>
      <c r="D33" s="31">
        <v>0</v>
      </c>
      <c r="E33" s="32"/>
      <c r="F33" s="125">
        <v>0</v>
      </c>
      <c r="G33" s="31"/>
      <c r="H33" s="150">
        <v>0</v>
      </c>
      <c r="I33" s="31"/>
      <c r="J33" s="31">
        <v>0</v>
      </c>
      <c r="K33" s="31"/>
      <c r="L33" s="125">
        <v>0</v>
      </c>
      <c r="M33" s="31"/>
      <c r="N33" s="31">
        <v>0</v>
      </c>
      <c r="O33" s="31"/>
      <c r="P33" s="125">
        <v>0</v>
      </c>
      <c r="Q33" s="31"/>
      <c r="R33" s="31"/>
      <c r="S33" s="33"/>
      <c r="T33" s="31">
        <f>SUM(C33:P33)</f>
        <v>0</v>
      </c>
      <c r="U33" s="34"/>
      <c r="V33" s="5"/>
    </row>
    <row r="34" spans="1:22" ht="15.6" x14ac:dyDescent="0.3">
      <c r="A34" s="28"/>
      <c r="B34" s="29" t="s">
        <v>291</v>
      </c>
      <c r="C34" s="36"/>
      <c r="D34" s="35">
        <f>D35*D32</f>
        <v>335121.41399999999</v>
      </c>
      <c r="E34" s="36"/>
      <c r="F34" s="35">
        <f>F35*F32</f>
        <v>236812.67549999998</v>
      </c>
      <c r="G34" s="35"/>
      <c r="H34" s="35">
        <f>H35*H32</f>
        <v>32834.150099999999</v>
      </c>
      <c r="I34" s="35"/>
      <c r="J34" s="35">
        <f>J35*J32</f>
        <v>7000</v>
      </c>
      <c r="K34" s="35"/>
      <c r="L34" s="35">
        <f>L35*L32</f>
        <v>20300</v>
      </c>
      <c r="M34" s="35"/>
      <c r="N34" s="35">
        <f>N35*N32</f>
        <v>3000</v>
      </c>
      <c r="O34" s="35"/>
      <c r="P34" s="35">
        <f>P35*P32</f>
        <v>45300</v>
      </c>
      <c r="Q34" s="35"/>
      <c r="R34" s="35"/>
      <c r="S34" s="37"/>
      <c r="T34" s="35">
        <f>SUM(C34:P34)</f>
        <v>680368.23959999997</v>
      </c>
      <c r="U34" s="34"/>
      <c r="V34" s="5"/>
    </row>
    <row r="35" spans="1:22" ht="15.6" x14ac:dyDescent="0.3">
      <c r="A35" s="28"/>
      <c r="B35" s="123" t="s">
        <v>139</v>
      </c>
      <c r="C35" s="127"/>
      <c r="D35" s="138">
        <v>0.96855899999999995</v>
      </c>
      <c r="E35" s="139"/>
      <c r="F35" s="138">
        <v>0.96855899999999995</v>
      </c>
      <c r="G35" s="138"/>
      <c r="H35" s="138">
        <v>0.96855899999999995</v>
      </c>
      <c r="I35" s="138"/>
      <c r="J35" s="138">
        <v>1</v>
      </c>
      <c r="K35" s="138"/>
      <c r="L35" s="138">
        <v>1</v>
      </c>
      <c r="M35" s="138"/>
      <c r="N35" s="138">
        <v>1</v>
      </c>
      <c r="O35" s="138"/>
      <c r="P35" s="138">
        <v>1</v>
      </c>
      <c r="Q35" s="31"/>
      <c r="R35" s="31"/>
      <c r="S35" s="33"/>
      <c r="T35" s="31"/>
      <c r="U35" s="34"/>
      <c r="V35" s="5"/>
    </row>
    <row r="36" spans="1:22" ht="15.6" x14ac:dyDescent="0.3">
      <c r="A36" s="28"/>
      <c r="B36" s="123" t="s">
        <v>140</v>
      </c>
      <c r="C36" s="127"/>
      <c r="D36" s="138">
        <v>1</v>
      </c>
      <c r="E36" s="139"/>
      <c r="F36" s="138">
        <v>1</v>
      </c>
      <c r="G36" s="138"/>
      <c r="H36" s="138">
        <v>1</v>
      </c>
      <c r="I36" s="138"/>
      <c r="J36" s="138">
        <v>1</v>
      </c>
      <c r="K36" s="138"/>
      <c r="L36" s="138">
        <v>1</v>
      </c>
      <c r="M36" s="138"/>
      <c r="N36" s="138">
        <v>1</v>
      </c>
      <c r="O36" s="138"/>
      <c r="P36" s="138">
        <v>1</v>
      </c>
      <c r="Q36" s="129"/>
      <c r="R36" s="129"/>
      <c r="S36" s="33"/>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27"/>
      <c r="T37" s="27"/>
      <c r="U37" s="25"/>
      <c r="V37" s="5"/>
    </row>
    <row r="38" spans="1:22" ht="15.6" x14ac:dyDescent="0.3">
      <c r="A38" s="24"/>
      <c r="B38" s="25" t="s">
        <v>13</v>
      </c>
      <c r="C38" s="25"/>
      <c r="D38" s="38">
        <v>4.80779E-2</v>
      </c>
      <c r="E38" s="25"/>
      <c r="F38" s="38">
        <v>2.3099999999999999E-2</v>
      </c>
      <c r="G38" s="39"/>
      <c r="H38" s="38">
        <v>3.8567700000000003E-2</v>
      </c>
      <c r="I38" s="39"/>
      <c r="J38" s="38">
        <v>4.9177899999999997E-2</v>
      </c>
      <c r="K38" s="39"/>
      <c r="L38" s="38">
        <v>2.4199999999999999E-2</v>
      </c>
      <c r="M38" s="39"/>
      <c r="N38" s="38">
        <v>5.14779E-2</v>
      </c>
      <c r="O38" s="39"/>
      <c r="P38" s="38">
        <v>2.6499999999999999E-2</v>
      </c>
      <c r="Q38" s="39"/>
      <c r="R38" s="38"/>
      <c r="S38" s="27"/>
      <c r="T38" s="39"/>
      <c r="U38" s="25"/>
      <c r="V38" s="5"/>
    </row>
    <row r="39" spans="1:22" ht="15.6" x14ac:dyDescent="0.3">
      <c r="A39" s="24"/>
      <c r="B39" s="25" t="s">
        <v>14</v>
      </c>
      <c r="C39" s="25"/>
      <c r="D39" s="38">
        <v>0</v>
      </c>
      <c r="E39" s="25"/>
      <c r="F39" s="38">
        <v>0</v>
      </c>
      <c r="G39" s="39"/>
      <c r="H39" s="38">
        <v>0</v>
      </c>
      <c r="I39" s="38"/>
      <c r="J39" s="38">
        <v>0</v>
      </c>
      <c r="K39" s="38"/>
      <c r="L39" s="38">
        <v>0</v>
      </c>
      <c r="M39" s="38"/>
      <c r="N39" s="38">
        <v>0</v>
      </c>
      <c r="O39" s="38"/>
      <c r="P39" s="38">
        <v>0</v>
      </c>
      <c r="Q39" s="39"/>
      <c r="R39" s="38"/>
      <c r="S39" s="27"/>
      <c r="T39" s="27"/>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27"/>
      <c r="T40" s="39"/>
      <c r="U40" s="25"/>
      <c r="V40" s="5"/>
    </row>
    <row r="41" spans="1:22" ht="15.6" x14ac:dyDescent="0.3">
      <c r="A41" s="24"/>
      <c r="B41" s="25" t="s">
        <v>293</v>
      </c>
      <c r="C41" s="25"/>
      <c r="D41" s="38">
        <f>+D38</f>
        <v>4.80779E-2</v>
      </c>
      <c r="E41" s="25"/>
      <c r="F41" s="38">
        <v>4.8177900000000003E-2</v>
      </c>
      <c r="G41" s="39"/>
      <c r="H41" s="38">
        <v>4.8307900000000001E-2</v>
      </c>
      <c r="I41" s="39"/>
      <c r="J41" s="38">
        <v>4.9177899999999997E-2</v>
      </c>
      <c r="K41" s="39"/>
      <c r="L41" s="38">
        <v>4.94729E-2</v>
      </c>
      <c r="M41" s="39"/>
      <c r="N41" s="38">
        <v>5.14779E-2</v>
      </c>
      <c r="O41" s="39"/>
      <c r="P41" s="38">
        <v>5.1917900000000003E-2</v>
      </c>
      <c r="Q41" s="39"/>
      <c r="R41" s="38"/>
      <c r="S41" s="27"/>
      <c r="T41" s="39">
        <f>SUMPRODUCT(D41:P41,D32:P32)/T32</f>
        <v>4.8438496428571419E-2</v>
      </c>
      <c r="U41" s="25"/>
      <c r="V41" s="5"/>
    </row>
    <row r="42" spans="1:22" ht="15.6" x14ac:dyDescent="0.3">
      <c r="A42" s="24"/>
      <c r="B42" s="25" t="s">
        <v>294</v>
      </c>
      <c r="C42" s="25"/>
      <c r="D42" s="38">
        <v>0</v>
      </c>
      <c r="E42" s="25"/>
      <c r="F42" s="38">
        <v>0</v>
      </c>
      <c r="G42" s="39"/>
      <c r="H42" s="38">
        <v>0</v>
      </c>
      <c r="I42" s="39"/>
      <c r="J42" s="38">
        <v>0</v>
      </c>
      <c r="K42" s="39"/>
      <c r="L42" s="38">
        <v>0</v>
      </c>
      <c r="M42" s="39"/>
      <c r="N42" s="38">
        <v>0</v>
      </c>
      <c r="O42" s="39"/>
      <c r="P42" s="38">
        <v>0</v>
      </c>
      <c r="Q42" s="39"/>
      <c r="R42" s="38"/>
      <c r="S42" s="27"/>
      <c r="T42" s="27"/>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27"/>
      <c r="T43" s="27"/>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27"/>
      <c r="T44" s="27"/>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27"/>
      <c r="T45" s="27"/>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27"/>
      <c r="T46" s="27"/>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0.12500656458084278</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38671</v>
      </c>
      <c r="U53" s="25"/>
      <c r="V53" s="5"/>
    </row>
    <row r="54" spans="1:23" ht="15.6" x14ac:dyDescent="0.3">
      <c r="A54" s="24"/>
      <c r="B54" s="25" t="s">
        <v>130</v>
      </c>
      <c r="C54" s="25"/>
      <c r="D54" s="25"/>
      <c r="E54" s="25"/>
      <c r="F54" s="25"/>
      <c r="G54" s="25"/>
      <c r="H54" s="58"/>
      <c r="I54" s="58"/>
      <c r="J54" s="58"/>
      <c r="K54" s="58"/>
      <c r="L54" s="58"/>
      <c r="M54" s="58"/>
      <c r="N54" s="58"/>
      <c r="O54" s="58"/>
      <c r="P54" s="58"/>
      <c r="Q54" s="58"/>
      <c r="R54" s="45"/>
      <c r="S54" s="46"/>
      <c r="T54" s="45"/>
      <c r="U54" s="25"/>
      <c r="V54" s="5"/>
    </row>
    <row r="55" spans="1:23" ht="15.6" x14ac:dyDescent="0.3">
      <c r="A55" s="24"/>
      <c r="B55" s="25" t="s">
        <v>131</v>
      </c>
      <c r="C55" s="25"/>
      <c r="D55" s="25"/>
      <c r="E55" s="25"/>
      <c r="F55" s="25"/>
      <c r="G55" s="25"/>
      <c r="H55" s="25"/>
      <c r="I55" s="25"/>
      <c r="J55" s="25"/>
      <c r="K55" s="25"/>
      <c r="L55" s="25"/>
      <c r="M55" s="25"/>
      <c r="N55" s="25"/>
      <c r="O55" s="25"/>
      <c r="P55" s="25">
        <f>+T55-R55+1</f>
        <v>119</v>
      </c>
      <c r="Q55" s="25"/>
      <c r="R55" s="45">
        <v>38552</v>
      </c>
      <c r="S55" s="46"/>
      <c r="T55" s="45">
        <v>38670</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38657</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184</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699958</v>
      </c>
      <c r="M66" s="34"/>
      <c r="N66" s="34">
        <f>19632-42+5827+819</f>
        <v>26236</v>
      </c>
      <c r="O66" s="34"/>
      <c r="P66" s="34">
        <f>819+5827</f>
        <v>6646</v>
      </c>
      <c r="Q66" s="34"/>
      <c r="R66" s="34">
        <v>0</v>
      </c>
      <c r="S66" s="34"/>
      <c r="T66" s="53">
        <f>+J66-N66+P66-R66</f>
        <v>680368</v>
      </c>
      <c r="U66" s="25"/>
      <c r="V66" s="5"/>
    </row>
    <row r="67" spans="1:22" ht="15.6" x14ac:dyDescent="0.3">
      <c r="A67" s="24"/>
      <c r="B67" s="25" t="s">
        <v>21</v>
      </c>
      <c r="C67" s="34"/>
      <c r="D67" s="34"/>
      <c r="E67" s="34"/>
      <c r="F67" s="34"/>
      <c r="G67" s="34"/>
      <c r="H67" s="34"/>
      <c r="I67" s="34"/>
      <c r="J67" s="34">
        <v>42</v>
      </c>
      <c r="K67" s="34"/>
      <c r="L67" s="53">
        <v>42</v>
      </c>
      <c r="M67" s="34"/>
      <c r="N67" s="34">
        <v>42</v>
      </c>
      <c r="O67" s="34"/>
      <c r="P67" s="34">
        <v>0</v>
      </c>
      <c r="Q67" s="34"/>
      <c r="R67" s="34">
        <v>0</v>
      </c>
      <c r="S67" s="34"/>
      <c r="T67" s="53">
        <f>+J67-N67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700000</v>
      </c>
      <c r="M69" s="34"/>
      <c r="N69" s="34">
        <f>SUM(N66:N68)</f>
        <v>26278</v>
      </c>
      <c r="O69" s="34"/>
      <c r="P69" s="34">
        <f>SUM(P66:P68)</f>
        <v>6646</v>
      </c>
      <c r="Q69" s="34"/>
      <c r="R69" s="34">
        <f>SUM(R66:R68)</f>
        <v>0</v>
      </c>
      <c r="S69" s="34"/>
      <c r="T69" s="54">
        <f>SUM(T66:T68)</f>
        <v>680368</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2"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2" ht="15.6" x14ac:dyDescent="0.3">
      <c r="A82" s="24"/>
      <c r="B82" s="25" t="s">
        <v>27</v>
      </c>
      <c r="C82" s="34"/>
      <c r="D82" s="34"/>
      <c r="E82" s="34"/>
      <c r="F82" s="54"/>
      <c r="G82" s="34"/>
      <c r="H82" s="54"/>
      <c r="I82" s="54"/>
      <c r="J82" s="54">
        <f>SUM(J69:J81)</f>
        <v>700000</v>
      </c>
      <c r="K82" s="34"/>
      <c r="L82" s="54">
        <f>SUM(L69:L81)</f>
        <v>700000</v>
      </c>
      <c r="M82" s="34"/>
      <c r="N82" s="34"/>
      <c r="O82" s="34"/>
      <c r="P82" s="34"/>
      <c r="Q82" s="34"/>
      <c r="R82" s="54"/>
      <c r="S82" s="34"/>
      <c r="T82" s="54">
        <f>SUM(T69:T81)</f>
        <v>680368</v>
      </c>
      <c r="U82" s="25"/>
      <c r="V82" s="5"/>
    </row>
    <row r="83" spans="1:22"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2" ht="15.6" x14ac:dyDescent="0.3">
      <c r="A84" s="6"/>
      <c r="B84" s="8"/>
      <c r="C84" s="8"/>
      <c r="D84" s="8"/>
      <c r="E84" s="8"/>
      <c r="F84" s="8"/>
      <c r="G84" s="8"/>
      <c r="H84" s="8"/>
      <c r="I84" s="8"/>
      <c r="J84" s="8"/>
      <c r="K84" s="8"/>
      <c r="L84" s="8"/>
      <c r="M84" s="8"/>
      <c r="N84" s="8"/>
      <c r="O84" s="8"/>
      <c r="P84" s="8"/>
      <c r="Q84" s="8"/>
      <c r="R84" s="8"/>
      <c r="S84" s="8"/>
      <c r="T84" s="8"/>
      <c r="U84" s="8"/>
      <c r="V84" s="5"/>
    </row>
    <row r="85" spans="1:22" ht="15.6" x14ac:dyDescent="0.3">
      <c r="A85" s="6"/>
      <c r="B85" s="51" t="s">
        <v>28</v>
      </c>
      <c r="C85" s="14"/>
      <c r="D85" s="14"/>
      <c r="E85" s="14"/>
      <c r="F85" s="14"/>
      <c r="G85" s="14"/>
      <c r="H85" s="17"/>
      <c r="I85" s="17"/>
      <c r="J85" s="158" t="s">
        <v>101</v>
      </c>
      <c r="K85" s="17"/>
      <c r="L85" s="157">
        <f>+R190</f>
        <v>38656</v>
      </c>
      <c r="M85" s="17"/>
      <c r="N85" s="17"/>
      <c r="O85" s="17"/>
      <c r="P85" s="17"/>
      <c r="Q85" s="17"/>
      <c r="R85" s="17" t="s">
        <v>114</v>
      </c>
      <c r="S85" s="17"/>
      <c r="T85" s="17" t="s">
        <v>122</v>
      </c>
      <c r="U85" s="8"/>
      <c r="V85" s="5"/>
    </row>
    <row r="86" spans="1:22"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2" ht="15.6" x14ac:dyDescent="0.3">
      <c r="A87" s="24"/>
      <c r="B87" s="25" t="s">
        <v>30</v>
      </c>
      <c r="C87" s="25"/>
      <c r="D87" s="25"/>
      <c r="E87" s="25"/>
      <c r="F87" s="25"/>
      <c r="G87" s="25"/>
      <c r="H87" s="40"/>
      <c r="I87" s="57"/>
      <c r="J87" s="40"/>
      <c r="K87" s="25"/>
      <c r="L87" s="128"/>
      <c r="M87" s="25"/>
      <c r="N87" s="25"/>
      <c r="O87" s="25"/>
      <c r="P87" s="25"/>
      <c r="Q87" s="25"/>
      <c r="R87" s="34">
        <v>26236</v>
      </c>
      <c r="S87" s="25"/>
      <c r="T87" s="53"/>
      <c r="U87" s="25"/>
      <c r="V87" s="5"/>
    </row>
    <row r="88" spans="1:22" ht="15.6" x14ac:dyDescent="0.3">
      <c r="A88" s="24"/>
      <c r="B88" s="25" t="s">
        <v>31</v>
      </c>
      <c r="C88" s="25"/>
      <c r="D88" s="25"/>
      <c r="E88" s="25"/>
      <c r="F88" s="25"/>
      <c r="G88" s="25"/>
      <c r="H88" s="25"/>
      <c r="I88" s="25"/>
      <c r="J88" s="25"/>
      <c r="K88" s="25"/>
      <c r="L88" s="25"/>
      <c r="M88" s="25"/>
      <c r="N88" s="25"/>
      <c r="O88" s="25"/>
      <c r="P88" s="25"/>
      <c r="Q88" s="25"/>
      <c r="R88" s="34"/>
      <c r="S88" s="25"/>
      <c r="T88" s="53">
        <f>13715-51</f>
        <v>13664</v>
      </c>
      <c r="U88" s="25"/>
      <c r="V88" s="5"/>
    </row>
    <row r="89" spans="1:22" ht="15.6" x14ac:dyDescent="0.3">
      <c r="A89" s="24"/>
      <c r="B89" s="25" t="s">
        <v>144</v>
      </c>
      <c r="C89" s="25"/>
      <c r="D89" s="25"/>
      <c r="E89" s="25"/>
      <c r="F89" s="25"/>
      <c r="G89" s="25"/>
      <c r="H89" s="25"/>
      <c r="I89" s="25"/>
      <c r="J89" s="25"/>
      <c r="K89" s="25"/>
      <c r="L89" s="25"/>
      <c r="M89" s="25"/>
      <c r="N89" s="25"/>
      <c r="O89" s="25"/>
      <c r="P89" s="25"/>
      <c r="Q89" s="25"/>
      <c r="R89" s="34"/>
      <c r="S89" s="25"/>
      <c r="T89" s="53">
        <v>0</v>
      </c>
      <c r="U89" s="25"/>
      <c r="V89" s="5"/>
    </row>
    <row r="90" spans="1:22" ht="15.6" x14ac:dyDescent="0.3">
      <c r="A90" s="24"/>
      <c r="B90" s="25" t="s">
        <v>233</v>
      </c>
      <c r="C90" s="25"/>
      <c r="D90" s="25"/>
      <c r="E90" s="25"/>
      <c r="F90" s="25"/>
      <c r="G90" s="25"/>
      <c r="H90" s="25"/>
      <c r="I90" s="25"/>
      <c r="J90" s="25"/>
      <c r="K90" s="25"/>
      <c r="L90" s="25"/>
      <c r="M90" s="25"/>
      <c r="N90" s="25"/>
      <c r="O90" s="25"/>
      <c r="P90" s="25"/>
      <c r="Q90" s="25"/>
      <c r="R90" s="34"/>
      <c r="S90" s="25"/>
      <c r="T90" s="53">
        <v>581</v>
      </c>
      <c r="U90" s="25"/>
      <c r="V90" s="5"/>
    </row>
    <row r="91" spans="1:22" ht="15.6" x14ac:dyDescent="0.3">
      <c r="A91" s="24"/>
      <c r="B91" s="25" t="s">
        <v>32</v>
      </c>
      <c r="C91" s="25"/>
      <c r="D91" s="25"/>
      <c r="E91" s="25"/>
      <c r="F91" s="25"/>
      <c r="G91" s="25"/>
      <c r="H91" s="25"/>
      <c r="I91" s="25"/>
      <c r="J91" s="25"/>
      <c r="K91" s="25"/>
      <c r="L91" s="25"/>
      <c r="M91" s="25"/>
      <c r="N91" s="25"/>
      <c r="O91" s="25"/>
      <c r="P91" s="25"/>
      <c r="Q91" s="25"/>
      <c r="R91" s="34">
        <f>SUM(R86:R90)</f>
        <v>26236</v>
      </c>
      <c r="S91" s="25"/>
      <c r="T91" s="54">
        <f>SUM(T86:T90)</f>
        <v>14245</v>
      </c>
      <c r="U91" s="25"/>
      <c r="V91" s="5"/>
    </row>
    <row r="92" spans="1:22" ht="15.6" x14ac:dyDescent="0.3">
      <c r="A92" s="24"/>
      <c r="B92" s="25" t="s">
        <v>176</v>
      </c>
      <c r="C92" s="25"/>
      <c r="D92" s="25"/>
      <c r="E92" s="25"/>
      <c r="F92" s="25"/>
      <c r="G92" s="25"/>
      <c r="H92" s="25"/>
      <c r="I92" s="25"/>
      <c r="J92" s="25"/>
      <c r="K92" s="25"/>
      <c r="L92" s="25"/>
      <c r="M92" s="25"/>
      <c r="N92" s="25"/>
      <c r="O92" s="25"/>
      <c r="P92" s="25"/>
      <c r="Q92" s="25"/>
      <c r="R92" s="34">
        <v>-51</v>
      </c>
      <c r="S92" s="25"/>
      <c r="T92" s="54">
        <f>-R92</f>
        <v>51</v>
      </c>
      <c r="U92" s="25"/>
      <c r="V92" s="5"/>
    </row>
    <row r="93" spans="1:22" ht="15.6" x14ac:dyDescent="0.3">
      <c r="A93" s="24"/>
      <c r="B93" s="25" t="s">
        <v>33</v>
      </c>
      <c r="C93" s="25"/>
      <c r="D93" s="25"/>
      <c r="E93" s="25"/>
      <c r="F93" s="25"/>
      <c r="G93" s="25"/>
      <c r="H93" s="25"/>
      <c r="I93" s="25"/>
      <c r="J93" s="25"/>
      <c r="K93" s="25"/>
      <c r="L93" s="25"/>
      <c r="M93" s="25"/>
      <c r="N93" s="25"/>
      <c r="O93" s="25"/>
      <c r="P93" s="25"/>
      <c r="Q93" s="25"/>
      <c r="R93" s="34">
        <f>-T93</f>
        <v>42</v>
      </c>
      <c r="S93" s="25"/>
      <c r="T93" s="53">
        <v>-42</v>
      </c>
      <c r="U93" s="25"/>
      <c r="V93" s="5"/>
    </row>
    <row r="94" spans="1:22" ht="15.6" x14ac:dyDescent="0.3">
      <c r="A94" s="24"/>
      <c r="B94" s="25" t="s">
        <v>34</v>
      </c>
      <c r="C94" s="25"/>
      <c r="D94" s="25"/>
      <c r="E94" s="25"/>
      <c r="F94" s="25"/>
      <c r="G94" s="25"/>
      <c r="H94" s="25"/>
      <c r="I94" s="25"/>
      <c r="J94" s="25"/>
      <c r="K94" s="25"/>
      <c r="L94" s="25"/>
      <c r="M94" s="25"/>
      <c r="N94" s="25"/>
      <c r="O94" s="25"/>
      <c r="P94" s="25"/>
      <c r="Q94" s="25"/>
      <c r="R94" s="34">
        <f>R91+R93+R92</f>
        <v>26227</v>
      </c>
      <c r="S94" s="25"/>
      <c r="T94" s="54">
        <f>T91+T93+T92</f>
        <v>14254</v>
      </c>
      <c r="U94" s="25"/>
      <c r="V94" s="5"/>
    </row>
    <row r="95" spans="1:22" ht="15.6" x14ac:dyDescent="0.3">
      <c r="A95" s="24"/>
      <c r="B95" s="119" t="s">
        <v>35</v>
      </c>
      <c r="C95" s="25"/>
      <c r="D95" s="25"/>
      <c r="E95" s="25"/>
      <c r="F95" s="25"/>
      <c r="G95" s="25"/>
      <c r="H95" s="25"/>
      <c r="I95" s="25"/>
      <c r="J95" s="25"/>
      <c r="K95" s="25"/>
      <c r="L95" s="25"/>
      <c r="M95" s="25"/>
      <c r="N95" s="25"/>
      <c r="O95" s="25"/>
      <c r="P95" s="25"/>
      <c r="Q95" s="25"/>
      <c r="R95" s="34"/>
      <c r="S95" s="25"/>
      <c r="T95" s="53"/>
      <c r="U95" s="25"/>
      <c r="V95" s="5"/>
    </row>
    <row r="96" spans="1:22" ht="15.6" x14ac:dyDescent="0.3">
      <c r="A96" s="24">
        <v>1</v>
      </c>
      <c r="B96" s="25" t="s">
        <v>36</v>
      </c>
      <c r="C96" s="25"/>
      <c r="D96" s="25"/>
      <c r="E96" s="25"/>
      <c r="F96" s="25"/>
      <c r="G96" s="25"/>
      <c r="H96" s="25"/>
      <c r="I96" s="25"/>
      <c r="J96" s="25"/>
      <c r="K96" s="25"/>
      <c r="L96" s="25"/>
      <c r="M96" s="25"/>
      <c r="N96" s="25"/>
      <c r="O96" s="25"/>
      <c r="P96" s="25"/>
      <c r="Q96" s="25"/>
      <c r="R96" s="25"/>
      <c r="S96" s="25"/>
      <c r="T96" s="53">
        <f>-1226-770</f>
        <v>-1996</v>
      </c>
      <c r="U96" s="25"/>
      <c r="V96" s="5"/>
    </row>
    <row r="97" spans="1:23" ht="15.6" x14ac:dyDescent="0.3">
      <c r="A97" s="24">
        <f>+A96+1</f>
        <v>2</v>
      </c>
      <c r="B97" s="25" t="s">
        <v>37</v>
      </c>
      <c r="C97" s="25"/>
      <c r="D97" s="25"/>
      <c r="E97" s="25"/>
      <c r="F97" s="25"/>
      <c r="G97" s="25"/>
      <c r="H97" s="25"/>
      <c r="I97" s="25"/>
      <c r="J97" s="25"/>
      <c r="K97" s="25"/>
      <c r="L97" s="25"/>
      <c r="M97" s="25"/>
      <c r="N97" s="25"/>
      <c r="O97" s="25"/>
      <c r="P97" s="25"/>
      <c r="Q97" s="25"/>
      <c r="R97" s="25"/>
      <c r="S97" s="25"/>
      <c r="T97" s="53">
        <v>-2</v>
      </c>
      <c r="U97" s="25"/>
      <c r="V97" s="5"/>
    </row>
    <row r="98" spans="1:23" ht="15.6" x14ac:dyDescent="0.3">
      <c r="A98" s="24">
        <f>+A97+1</f>
        <v>3</v>
      </c>
      <c r="B98" s="25" t="s">
        <v>160</v>
      </c>
      <c r="C98" s="25"/>
      <c r="D98" s="25"/>
      <c r="E98" s="25"/>
      <c r="F98" s="25"/>
      <c r="G98" s="25"/>
      <c r="H98" s="25"/>
      <c r="I98" s="25"/>
      <c r="J98" s="25"/>
      <c r="K98" s="25"/>
      <c r="L98" s="25"/>
      <c r="M98" s="25"/>
      <c r="N98" s="25"/>
      <c r="O98" s="25"/>
      <c r="P98" s="25"/>
      <c r="Q98" s="25"/>
      <c r="R98" s="25"/>
      <c r="S98" s="25"/>
      <c r="T98" s="53">
        <f>-302-4-17</f>
        <v>-323</v>
      </c>
      <c r="U98" s="25"/>
      <c r="V98" s="5"/>
    </row>
    <row r="99" spans="1:23" ht="15.6" x14ac:dyDescent="0.3">
      <c r="A99" s="24" t="s">
        <v>136</v>
      </c>
      <c r="B99" s="25" t="s">
        <v>125</v>
      </c>
      <c r="C99" s="25"/>
      <c r="D99" s="25"/>
      <c r="E99" s="25"/>
      <c r="F99" s="25"/>
      <c r="G99" s="25"/>
      <c r="H99" s="25"/>
      <c r="I99" s="25"/>
      <c r="J99" s="25"/>
      <c r="K99" s="25"/>
      <c r="L99" s="25"/>
      <c r="M99" s="25"/>
      <c r="N99" s="25"/>
      <c r="O99" s="25"/>
      <c r="P99" s="25"/>
      <c r="Q99" s="25"/>
      <c r="R99" s="25"/>
      <c r="S99" s="25"/>
      <c r="T99" s="53">
        <v>-60</v>
      </c>
      <c r="U99" s="25"/>
      <c r="V99" s="5"/>
    </row>
    <row r="100" spans="1:23" ht="15.6" x14ac:dyDescent="0.3">
      <c r="A100" s="24" t="s">
        <v>137</v>
      </c>
      <c r="B100" s="25" t="s">
        <v>267</v>
      </c>
      <c r="C100" s="25"/>
      <c r="D100" s="25"/>
      <c r="E100" s="25"/>
      <c r="F100" s="25"/>
      <c r="G100" s="25"/>
      <c r="H100" s="25"/>
      <c r="I100" s="25"/>
      <c r="J100" s="25"/>
      <c r="K100" s="25"/>
      <c r="L100" s="25"/>
      <c r="M100" s="25"/>
      <c r="N100" s="25"/>
      <c r="O100" s="25"/>
      <c r="P100" s="25"/>
      <c r="Q100" s="25"/>
      <c r="R100" s="25"/>
      <c r="S100" s="25"/>
      <c r="T100" s="53">
        <v>-4</v>
      </c>
      <c r="U100" s="25"/>
      <c r="V100" s="5"/>
    </row>
    <row r="101" spans="1:23" ht="15.6" x14ac:dyDescent="0.3">
      <c r="A101" s="24" t="s">
        <v>162</v>
      </c>
      <c r="B101" s="25" t="s">
        <v>218</v>
      </c>
      <c r="C101" s="25"/>
      <c r="D101" s="25"/>
      <c r="E101" s="25"/>
      <c r="F101" s="25"/>
      <c r="G101" s="25"/>
      <c r="H101" s="25"/>
      <c r="I101" s="25"/>
      <c r="J101" s="25"/>
      <c r="K101" s="25"/>
      <c r="L101" s="25"/>
      <c r="M101" s="25"/>
      <c r="N101" s="25"/>
      <c r="O101" s="25"/>
      <c r="P101" s="25"/>
      <c r="Q101" s="25"/>
      <c r="R101" s="25"/>
      <c r="S101" s="25"/>
      <c r="T101" s="53">
        <v>-5423</v>
      </c>
      <c r="U101" s="25"/>
      <c r="V101" s="5"/>
      <c r="W101" s="110"/>
    </row>
    <row r="102" spans="1:23" ht="15.6" x14ac:dyDescent="0.3">
      <c r="A102" s="24" t="s">
        <v>163</v>
      </c>
      <c r="B102" s="25" t="s">
        <v>219</v>
      </c>
      <c r="C102" s="25"/>
      <c r="D102" s="25"/>
      <c r="E102" s="25"/>
      <c r="F102" s="25"/>
      <c r="G102" s="25"/>
      <c r="H102" s="25"/>
      <c r="I102" s="25"/>
      <c r="J102" s="25"/>
      <c r="K102" s="25"/>
      <c r="L102" s="25"/>
      <c r="M102" s="25"/>
      <c r="N102" s="25"/>
      <c r="O102" s="25"/>
      <c r="P102" s="25"/>
      <c r="Q102" s="25"/>
      <c r="R102" s="25"/>
      <c r="S102" s="25"/>
      <c r="T102" s="53">
        <v>-3841</v>
      </c>
      <c r="U102" s="25"/>
      <c r="V102" s="5"/>
    </row>
    <row r="103" spans="1:23" ht="15.6" x14ac:dyDescent="0.3">
      <c r="A103" s="24" t="s">
        <v>252</v>
      </c>
      <c r="B103" s="25" t="s">
        <v>242</v>
      </c>
      <c r="C103" s="25"/>
      <c r="D103" s="25"/>
      <c r="E103" s="25"/>
      <c r="F103" s="25"/>
      <c r="G103" s="25"/>
      <c r="H103" s="25"/>
      <c r="I103" s="25"/>
      <c r="J103" s="25"/>
      <c r="K103" s="25"/>
      <c r="L103" s="25"/>
      <c r="M103" s="25"/>
      <c r="N103" s="25"/>
      <c r="O103" s="25"/>
      <c r="P103" s="25"/>
      <c r="Q103" s="25"/>
      <c r="R103" s="25"/>
      <c r="S103" s="25"/>
      <c r="T103" s="53">
        <v>-534</v>
      </c>
      <c r="U103" s="25"/>
      <c r="V103" s="5"/>
    </row>
    <row r="104" spans="1:23" ht="15.6" x14ac:dyDescent="0.3">
      <c r="A104" s="24" t="s">
        <v>245</v>
      </c>
      <c r="B104" s="25" t="s">
        <v>220</v>
      </c>
      <c r="C104" s="25"/>
      <c r="D104" s="25"/>
      <c r="E104" s="25"/>
      <c r="F104" s="25"/>
      <c r="G104" s="25"/>
      <c r="H104" s="25"/>
      <c r="I104" s="25"/>
      <c r="J104" s="25"/>
      <c r="K104" s="25"/>
      <c r="L104" s="25"/>
      <c r="M104" s="25"/>
      <c r="N104" s="25"/>
      <c r="O104" s="25"/>
      <c r="P104" s="25"/>
      <c r="Q104" s="25"/>
      <c r="R104" s="25"/>
      <c r="S104" s="25"/>
      <c r="T104" s="53">
        <v>-113</v>
      </c>
      <c r="U104" s="25"/>
      <c r="V104" s="5"/>
      <c r="W104" s="110"/>
    </row>
    <row r="105" spans="1:23" ht="15.6" x14ac:dyDescent="0.3">
      <c r="A105" s="24" t="s">
        <v>246</v>
      </c>
      <c r="B105" s="25" t="s">
        <v>221</v>
      </c>
      <c r="C105" s="25"/>
      <c r="D105" s="25"/>
      <c r="E105" s="25"/>
      <c r="F105" s="25"/>
      <c r="G105" s="25"/>
      <c r="H105" s="25"/>
      <c r="I105" s="25"/>
      <c r="J105" s="25"/>
      <c r="K105" s="25"/>
      <c r="L105" s="25"/>
      <c r="M105" s="25"/>
      <c r="N105" s="25"/>
      <c r="O105" s="25"/>
      <c r="P105" s="25"/>
      <c r="Q105" s="25"/>
      <c r="R105" s="25"/>
      <c r="S105" s="25"/>
      <c r="T105" s="53">
        <v>-327</v>
      </c>
      <c r="U105" s="25"/>
      <c r="V105" s="5"/>
      <c r="W105" s="110"/>
    </row>
    <row r="106" spans="1:23" ht="15.6" x14ac:dyDescent="0.3">
      <c r="A106" s="24" t="s">
        <v>247</v>
      </c>
      <c r="B106" s="25" t="s">
        <v>222</v>
      </c>
      <c r="C106" s="25"/>
      <c r="D106" s="25"/>
      <c r="E106" s="25"/>
      <c r="F106" s="25"/>
      <c r="G106" s="25"/>
      <c r="H106" s="25"/>
      <c r="I106" s="25"/>
      <c r="J106" s="25"/>
      <c r="K106" s="25"/>
      <c r="L106" s="25"/>
      <c r="M106" s="25"/>
      <c r="N106" s="25"/>
      <c r="O106" s="25"/>
      <c r="P106" s="25"/>
      <c r="Q106" s="25"/>
      <c r="R106" s="25"/>
      <c r="S106" s="25"/>
      <c r="T106" s="53">
        <v>-50</v>
      </c>
      <c r="U106" s="25"/>
      <c r="V106" s="5"/>
    </row>
    <row r="107" spans="1:23" ht="15.6" x14ac:dyDescent="0.3">
      <c r="A107" s="24" t="s">
        <v>248</v>
      </c>
      <c r="B107" s="25" t="s">
        <v>223</v>
      </c>
      <c r="C107" s="25"/>
      <c r="D107" s="25"/>
      <c r="E107" s="25"/>
      <c r="F107" s="25"/>
      <c r="G107" s="25"/>
      <c r="H107" s="25"/>
      <c r="I107" s="25"/>
      <c r="J107" s="25"/>
      <c r="K107" s="25"/>
      <c r="L107" s="25"/>
      <c r="M107" s="25"/>
      <c r="N107" s="25"/>
      <c r="O107" s="25"/>
      <c r="P107" s="25"/>
      <c r="Q107" s="25"/>
      <c r="R107" s="25"/>
      <c r="S107" s="25"/>
      <c r="T107" s="53">
        <v>-767</v>
      </c>
      <c r="U107" s="25"/>
      <c r="V107" s="5"/>
      <c r="W107" s="110"/>
    </row>
    <row r="108" spans="1:23" ht="15.6" x14ac:dyDescent="0.3">
      <c r="A108" s="24">
        <v>7</v>
      </c>
      <c r="B108" s="25" t="s">
        <v>38</v>
      </c>
      <c r="C108" s="25"/>
      <c r="D108" s="25"/>
      <c r="E108" s="25"/>
      <c r="F108" s="25"/>
      <c r="G108" s="25"/>
      <c r="H108" s="25"/>
      <c r="I108" s="25"/>
      <c r="J108" s="25"/>
      <c r="K108" s="25"/>
      <c r="L108" s="25"/>
      <c r="M108" s="25"/>
      <c r="N108" s="25"/>
      <c r="O108" s="25"/>
      <c r="P108" s="25"/>
      <c r="Q108" s="25"/>
      <c r="R108" s="25"/>
      <c r="S108" s="25"/>
      <c r="T108" s="53">
        <v>-18</v>
      </c>
      <c r="U108" s="25"/>
      <c r="V108" s="5"/>
    </row>
    <row r="109" spans="1:23" ht="15.6" x14ac:dyDescent="0.3">
      <c r="A109" s="24">
        <f t="shared" ref="A109:A114" si="0">+A108+1</f>
        <v>8</v>
      </c>
      <c r="B109" s="25" t="s">
        <v>49</v>
      </c>
      <c r="C109" s="25"/>
      <c r="D109" s="25"/>
      <c r="E109" s="25"/>
      <c r="F109" s="25"/>
      <c r="G109" s="25"/>
      <c r="H109" s="25"/>
      <c r="I109" s="25"/>
      <c r="J109" s="25"/>
      <c r="K109" s="25"/>
      <c r="L109" s="25"/>
      <c r="M109" s="25"/>
      <c r="N109" s="25"/>
      <c r="O109" s="25"/>
      <c r="P109" s="25"/>
      <c r="Q109" s="25"/>
      <c r="R109" s="25"/>
      <c r="S109" s="25"/>
      <c r="T109" s="53">
        <v>0</v>
      </c>
      <c r="U109" s="25"/>
      <c r="V109" s="5"/>
    </row>
    <row r="110" spans="1:23" ht="15.6" x14ac:dyDescent="0.3">
      <c r="A110" s="24">
        <f t="shared" si="0"/>
        <v>9</v>
      </c>
      <c r="B110" s="25" t="s">
        <v>134</v>
      </c>
      <c r="C110" s="25"/>
      <c r="D110" s="25"/>
      <c r="E110" s="25"/>
      <c r="F110" s="25"/>
      <c r="G110" s="25"/>
      <c r="H110" s="25"/>
      <c r="I110" s="25"/>
      <c r="J110" s="25"/>
      <c r="K110" s="25"/>
      <c r="L110" s="25"/>
      <c r="M110" s="25"/>
      <c r="N110" s="25"/>
      <c r="O110" s="25"/>
      <c r="P110" s="25"/>
      <c r="Q110" s="25"/>
      <c r="R110" s="25"/>
      <c r="S110" s="25"/>
      <c r="T110" s="53">
        <v>0</v>
      </c>
      <c r="U110" s="25"/>
      <c r="V110" s="5"/>
    </row>
    <row r="111" spans="1:23" ht="15.6" x14ac:dyDescent="0.3">
      <c r="A111" s="24">
        <f t="shared" si="0"/>
        <v>10</v>
      </c>
      <c r="B111" s="25" t="s">
        <v>39</v>
      </c>
      <c r="C111" s="25"/>
      <c r="D111" s="25"/>
      <c r="E111" s="25"/>
      <c r="F111" s="25"/>
      <c r="G111" s="25"/>
      <c r="H111" s="25"/>
      <c r="I111" s="25"/>
      <c r="J111" s="25"/>
      <c r="K111" s="25"/>
      <c r="L111" s="25"/>
      <c r="M111" s="25"/>
      <c r="N111" s="25"/>
      <c r="O111" s="25"/>
      <c r="P111" s="25"/>
      <c r="Q111" s="25"/>
      <c r="R111" s="25"/>
      <c r="S111" s="25"/>
      <c r="T111" s="53">
        <v>0</v>
      </c>
      <c r="U111" s="25"/>
      <c r="V111" s="5"/>
    </row>
    <row r="112" spans="1:23" ht="15.6" x14ac:dyDescent="0.3">
      <c r="A112" s="24">
        <f t="shared" si="0"/>
        <v>11</v>
      </c>
      <c r="B112" s="25" t="s">
        <v>40</v>
      </c>
      <c r="C112" s="25"/>
      <c r="D112" s="25"/>
      <c r="E112" s="25"/>
      <c r="F112" s="25"/>
      <c r="G112" s="25"/>
      <c r="H112" s="25"/>
      <c r="I112" s="25"/>
      <c r="J112" s="25"/>
      <c r="K112" s="25"/>
      <c r="L112" s="25"/>
      <c r="M112" s="25"/>
      <c r="N112" s="25"/>
      <c r="O112" s="25"/>
      <c r="P112" s="25"/>
      <c r="Q112" s="25"/>
      <c r="R112" s="25"/>
      <c r="S112" s="25"/>
      <c r="T112" s="53">
        <v>0</v>
      </c>
      <c r="U112" s="25"/>
      <c r="V112" s="5"/>
    </row>
    <row r="113" spans="1:22" ht="15.6" x14ac:dyDescent="0.3">
      <c r="A113" s="24">
        <f t="shared" si="0"/>
        <v>12</v>
      </c>
      <c r="B113" s="25" t="s">
        <v>161</v>
      </c>
      <c r="C113" s="25"/>
      <c r="D113" s="25"/>
      <c r="E113" s="25"/>
      <c r="F113" s="25"/>
      <c r="G113" s="25"/>
      <c r="H113" s="25"/>
      <c r="I113" s="25"/>
      <c r="J113" s="25"/>
      <c r="K113" s="25"/>
      <c r="L113" s="25"/>
      <c r="M113" s="25"/>
      <c r="N113" s="25"/>
      <c r="O113" s="25"/>
      <c r="P113" s="25"/>
      <c r="Q113" s="25"/>
      <c r="R113" s="25"/>
      <c r="S113" s="25"/>
      <c r="T113" s="53">
        <v>-302</v>
      </c>
      <c r="U113" s="25"/>
      <c r="V113" s="5"/>
    </row>
    <row r="114" spans="1:22" ht="15.6" x14ac:dyDescent="0.3">
      <c r="A114" s="24">
        <f t="shared" si="0"/>
        <v>13</v>
      </c>
      <c r="B114" s="25" t="s">
        <v>135</v>
      </c>
      <c r="C114" s="25"/>
      <c r="D114" s="25"/>
      <c r="E114" s="25"/>
      <c r="F114" s="25"/>
      <c r="G114" s="25"/>
      <c r="H114" s="25"/>
      <c r="I114" s="25"/>
      <c r="J114" s="25"/>
      <c r="K114" s="25"/>
      <c r="L114" s="25"/>
      <c r="M114" s="25"/>
      <c r="N114" s="25"/>
      <c r="O114" s="25"/>
      <c r="P114" s="25"/>
      <c r="Q114" s="25"/>
      <c r="R114" s="25"/>
      <c r="S114" s="25"/>
      <c r="T114" s="53">
        <f>-T94-SUM(T96:T113)</f>
        <v>-494</v>
      </c>
      <c r="U114" s="25"/>
      <c r="V114" s="5"/>
    </row>
    <row r="115" spans="1:22" ht="15.6" x14ac:dyDescent="0.3">
      <c r="A115" s="24"/>
      <c r="B115" s="119" t="s">
        <v>41</v>
      </c>
      <c r="C115" s="25"/>
      <c r="D115" s="25"/>
      <c r="E115" s="25"/>
      <c r="F115" s="25"/>
      <c r="G115" s="25"/>
      <c r="H115" s="25"/>
      <c r="I115" s="25"/>
      <c r="J115" s="25"/>
      <c r="K115" s="25"/>
      <c r="L115" s="25"/>
      <c r="M115" s="25"/>
      <c r="N115" s="25"/>
      <c r="O115" s="25"/>
      <c r="P115" s="25"/>
      <c r="Q115" s="25"/>
      <c r="R115" s="25"/>
      <c r="S115" s="25"/>
      <c r="T115" s="59"/>
      <c r="U115" s="25"/>
      <c r="V115" s="5"/>
    </row>
    <row r="116" spans="1:22" ht="15.6" x14ac:dyDescent="0.3">
      <c r="A116" s="24"/>
      <c r="B116" s="25" t="s">
        <v>229</v>
      </c>
      <c r="C116" s="25"/>
      <c r="D116" s="25"/>
      <c r="E116" s="25"/>
      <c r="F116" s="25"/>
      <c r="G116" s="25"/>
      <c r="H116" s="25"/>
      <c r="I116" s="25"/>
      <c r="J116" s="25"/>
      <c r="K116" s="25"/>
      <c r="L116" s="25"/>
      <c r="M116" s="25"/>
      <c r="N116" s="25"/>
      <c r="O116" s="25"/>
      <c r="P116" s="25"/>
      <c r="Q116" s="25"/>
      <c r="R116" s="34">
        <f>-R174</f>
        <v>-1148</v>
      </c>
      <c r="S116" s="34"/>
      <c r="T116" s="53"/>
      <c r="U116" s="25"/>
      <c r="V116" s="5"/>
    </row>
    <row r="117" spans="1:22" ht="15.6" x14ac:dyDescent="0.3">
      <c r="A117" s="24"/>
      <c r="B117" s="25" t="s">
        <v>230</v>
      </c>
      <c r="C117" s="25"/>
      <c r="D117" s="25"/>
      <c r="E117" s="25"/>
      <c r="F117" s="25"/>
      <c r="G117" s="25"/>
      <c r="H117" s="25"/>
      <c r="I117" s="25"/>
      <c r="J117" s="25"/>
      <c r="K117" s="25"/>
      <c r="L117" s="25"/>
      <c r="M117" s="25"/>
      <c r="N117" s="25"/>
      <c r="O117" s="25"/>
      <c r="P117" s="25"/>
      <c r="Q117" s="25"/>
      <c r="R117" s="34">
        <v>-525</v>
      </c>
      <c r="S117" s="34"/>
      <c r="T117" s="53"/>
      <c r="U117" s="25"/>
      <c r="V117" s="5"/>
    </row>
    <row r="118" spans="1:22" ht="15.6" x14ac:dyDescent="0.3">
      <c r="A118" s="24"/>
      <c r="B118" s="25" t="s">
        <v>42</v>
      </c>
      <c r="C118" s="25"/>
      <c r="D118" s="25"/>
      <c r="E118" s="25"/>
      <c r="F118" s="25"/>
      <c r="G118" s="25"/>
      <c r="H118" s="25"/>
      <c r="I118" s="25"/>
      <c r="J118" s="25"/>
      <c r="K118" s="25"/>
      <c r="L118" s="25"/>
      <c r="M118" s="25"/>
      <c r="N118" s="25"/>
      <c r="O118" s="25"/>
      <c r="P118" s="25"/>
      <c r="Q118" s="25"/>
      <c r="R118" s="34">
        <f>-Q174</f>
        <v>-4922</v>
      </c>
      <c r="S118" s="34"/>
      <c r="T118" s="53"/>
      <c r="U118" s="25"/>
      <c r="V118" s="5"/>
    </row>
    <row r="119" spans="1:22" ht="15.6" x14ac:dyDescent="0.3">
      <c r="A119" s="24"/>
      <c r="B119" s="25" t="s">
        <v>235</v>
      </c>
      <c r="C119" s="25"/>
      <c r="D119" s="25"/>
      <c r="E119" s="25"/>
      <c r="F119" s="25"/>
      <c r="G119" s="25"/>
      <c r="H119" s="25"/>
      <c r="I119" s="25"/>
      <c r="J119" s="25"/>
      <c r="K119" s="25"/>
      <c r="L119" s="25"/>
      <c r="M119" s="25"/>
      <c r="N119" s="25"/>
      <c r="O119" s="25"/>
      <c r="P119" s="25"/>
      <c r="Q119" s="25"/>
      <c r="R119" s="34">
        <v>-10879</v>
      </c>
      <c r="S119" s="34"/>
      <c r="T119" s="53"/>
      <c r="U119" s="25"/>
      <c r="V119" s="5"/>
    </row>
    <row r="120" spans="1:22" ht="15.6" x14ac:dyDescent="0.3">
      <c r="A120" s="24"/>
      <c r="B120" s="25" t="s">
        <v>236</v>
      </c>
      <c r="C120" s="25"/>
      <c r="D120" s="25"/>
      <c r="E120" s="25"/>
      <c r="F120" s="25"/>
      <c r="G120" s="25"/>
      <c r="H120" s="25"/>
      <c r="I120" s="25"/>
      <c r="J120" s="25"/>
      <c r="K120" s="25"/>
      <c r="L120" s="25"/>
      <c r="M120" s="25"/>
      <c r="N120" s="25"/>
      <c r="O120" s="25"/>
      <c r="P120" s="25"/>
      <c r="Q120" s="25"/>
      <c r="R120" s="34">
        <v>-7687</v>
      </c>
      <c r="S120" s="34"/>
      <c r="T120" s="53"/>
      <c r="U120" s="25"/>
      <c r="V120" s="5"/>
    </row>
    <row r="121" spans="1:22" ht="15.6" x14ac:dyDescent="0.3">
      <c r="A121" s="24"/>
      <c r="B121" s="25" t="s">
        <v>241</v>
      </c>
      <c r="C121" s="25"/>
      <c r="D121" s="25"/>
      <c r="E121" s="25"/>
      <c r="F121" s="25"/>
      <c r="G121" s="25"/>
      <c r="H121" s="25"/>
      <c r="I121" s="25"/>
      <c r="J121" s="25"/>
      <c r="K121" s="25"/>
      <c r="L121" s="25"/>
      <c r="M121" s="25"/>
      <c r="N121" s="25"/>
      <c r="O121" s="25"/>
      <c r="P121" s="25"/>
      <c r="Q121" s="25"/>
      <c r="R121" s="34">
        <v>-1066</v>
      </c>
      <c r="S121" s="34"/>
      <c r="T121" s="53"/>
      <c r="U121" s="25"/>
      <c r="V121" s="5"/>
    </row>
    <row r="122" spans="1:22" ht="15.6" x14ac:dyDescent="0.3">
      <c r="A122" s="24"/>
      <c r="B122" s="25" t="s">
        <v>237</v>
      </c>
      <c r="C122" s="25"/>
      <c r="D122" s="25"/>
      <c r="E122" s="25"/>
      <c r="F122" s="25"/>
      <c r="G122" s="25"/>
      <c r="H122" s="25"/>
      <c r="I122" s="25"/>
      <c r="J122" s="25"/>
      <c r="K122" s="25"/>
      <c r="L122" s="25"/>
      <c r="M122" s="25"/>
      <c r="N122" s="25"/>
      <c r="O122" s="25"/>
      <c r="P122" s="25"/>
      <c r="Q122" s="25"/>
      <c r="R122" s="34">
        <v>0</v>
      </c>
      <c r="S122" s="34"/>
      <c r="T122" s="53"/>
      <c r="U122" s="25"/>
      <c r="V122" s="5"/>
    </row>
    <row r="123" spans="1:22" ht="15.6" x14ac:dyDescent="0.3">
      <c r="A123" s="24"/>
      <c r="B123" s="25" t="s">
        <v>238</v>
      </c>
      <c r="C123" s="25"/>
      <c r="D123" s="25"/>
      <c r="E123" s="25"/>
      <c r="F123" s="25"/>
      <c r="G123" s="25"/>
      <c r="H123" s="25"/>
      <c r="I123" s="25"/>
      <c r="J123" s="25"/>
      <c r="K123" s="25"/>
      <c r="L123" s="25"/>
      <c r="M123" s="25"/>
      <c r="N123" s="25"/>
      <c r="O123" s="25"/>
      <c r="P123" s="25"/>
      <c r="Q123" s="25"/>
      <c r="R123" s="34">
        <v>0</v>
      </c>
      <c r="S123" s="34"/>
      <c r="T123" s="53"/>
      <c r="U123" s="25"/>
      <c r="V123" s="5"/>
    </row>
    <row r="124" spans="1:22" ht="15.6" x14ac:dyDescent="0.3">
      <c r="A124" s="24"/>
      <c r="B124" s="25" t="s">
        <v>239</v>
      </c>
      <c r="C124" s="25"/>
      <c r="D124" s="25"/>
      <c r="E124" s="25"/>
      <c r="F124" s="25"/>
      <c r="G124" s="25"/>
      <c r="H124" s="25"/>
      <c r="I124" s="25"/>
      <c r="J124" s="25"/>
      <c r="K124" s="25"/>
      <c r="L124" s="25"/>
      <c r="M124" s="25"/>
      <c r="N124" s="25"/>
      <c r="O124" s="25"/>
      <c r="P124" s="25"/>
      <c r="Q124" s="25"/>
      <c r="R124" s="34">
        <v>0</v>
      </c>
      <c r="S124" s="34"/>
      <c r="T124" s="53"/>
      <c r="U124" s="25"/>
      <c r="V124" s="5"/>
    </row>
    <row r="125" spans="1:22" ht="15.6" x14ac:dyDescent="0.3">
      <c r="A125" s="24"/>
      <c r="B125" s="25" t="s">
        <v>240</v>
      </c>
      <c r="C125" s="25"/>
      <c r="D125" s="25"/>
      <c r="E125" s="25"/>
      <c r="F125" s="25"/>
      <c r="G125" s="25"/>
      <c r="H125" s="25"/>
      <c r="I125" s="25"/>
      <c r="J125" s="25"/>
      <c r="K125" s="25"/>
      <c r="L125" s="25"/>
      <c r="M125" s="25"/>
      <c r="N125" s="25"/>
      <c r="O125" s="25"/>
      <c r="P125" s="25"/>
      <c r="Q125" s="25"/>
      <c r="R125" s="34">
        <v>0</v>
      </c>
      <c r="S125" s="34"/>
      <c r="T125" s="53"/>
      <c r="U125" s="25"/>
      <c r="V125" s="5"/>
    </row>
    <row r="126" spans="1:22" ht="15.6" x14ac:dyDescent="0.3">
      <c r="A126" s="24"/>
      <c r="B126" s="25" t="s">
        <v>43</v>
      </c>
      <c r="C126" s="25"/>
      <c r="D126" s="25"/>
      <c r="E126" s="25"/>
      <c r="F126" s="25"/>
      <c r="G126" s="25"/>
      <c r="H126" s="25"/>
      <c r="I126" s="25"/>
      <c r="J126" s="25"/>
      <c r="K126" s="25"/>
      <c r="L126" s="25"/>
      <c r="M126" s="25"/>
      <c r="N126" s="25"/>
      <c r="O126" s="25"/>
      <c r="P126" s="25"/>
      <c r="Q126" s="25"/>
      <c r="R126" s="34">
        <f>SUM(R116:R125)</f>
        <v>-26227</v>
      </c>
      <c r="S126" s="34"/>
      <c r="T126" s="34">
        <f>SUM(T95:T124)</f>
        <v>-14254</v>
      </c>
      <c r="U126" s="25"/>
      <c r="V126" s="5"/>
    </row>
    <row r="127" spans="1:22" ht="15.6" x14ac:dyDescent="0.3">
      <c r="A127" s="24"/>
      <c r="B127" s="25" t="s">
        <v>44</v>
      </c>
      <c r="C127" s="25"/>
      <c r="D127" s="25"/>
      <c r="E127" s="25"/>
      <c r="F127" s="25"/>
      <c r="G127" s="25"/>
      <c r="H127" s="25"/>
      <c r="I127" s="25"/>
      <c r="J127" s="25"/>
      <c r="K127" s="25"/>
      <c r="L127" s="25"/>
      <c r="M127" s="25"/>
      <c r="N127" s="25"/>
      <c r="O127" s="25"/>
      <c r="P127" s="25"/>
      <c r="Q127" s="25"/>
      <c r="R127" s="34">
        <f>R94+R126</f>
        <v>0</v>
      </c>
      <c r="S127" s="34"/>
      <c r="T127" s="34">
        <f>T94+T126</f>
        <v>0</v>
      </c>
      <c r="U127" s="25"/>
      <c r="V127" s="5"/>
    </row>
    <row r="128" spans="1:22" ht="15.6" x14ac:dyDescent="0.3">
      <c r="A128" s="24"/>
      <c r="B128" s="25"/>
      <c r="C128" s="25"/>
      <c r="D128" s="25"/>
      <c r="E128" s="25"/>
      <c r="F128" s="25"/>
      <c r="G128" s="25"/>
      <c r="H128" s="25"/>
      <c r="I128" s="25"/>
      <c r="J128" s="25"/>
      <c r="K128" s="25"/>
      <c r="L128" s="25"/>
      <c r="M128" s="25"/>
      <c r="N128" s="25"/>
      <c r="O128" s="25"/>
      <c r="P128" s="25"/>
      <c r="Q128" s="25"/>
      <c r="R128" s="34"/>
      <c r="S128" s="34"/>
      <c r="T128" s="34"/>
      <c r="U128" s="25"/>
      <c r="V128" s="5"/>
    </row>
    <row r="129" spans="1:23" ht="15.6" x14ac:dyDescent="0.3">
      <c r="A129" s="6"/>
      <c r="B129" s="8"/>
      <c r="C129" s="8"/>
      <c r="D129" s="8"/>
      <c r="E129" s="8"/>
      <c r="F129" s="8"/>
      <c r="G129" s="8"/>
      <c r="H129" s="8"/>
      <c r="I129" s="8"/>
      <c r="J129" s="8"/>
      <c r="K129" s="8"/>
      <c r="L129" s="8"/>
      <c r="M129" s="8"/>
      <c r="N129" s="8"/>
      <c r="O129" s="8"/>
      <c r="P129" s="8"/>
      <c r="Q129" s="8"/>
      <c r="R129" s="8"/>
      <c r="S129" s="8"/>
      <c r="T129" s="52"/>
      <c r="U129" s="8"/>
      <c r="V129" s="5"/>
    </row>
    <row r="130" spans="1:23" ht="18" thickBot="1" x14ac:dyDescent="0.35">
      <c r="A130" s="102"/>
      <c r="B130" s="103" t="str">
        <f>B61</f>
        <v>PM9 INVESTOR REPORT QUARTER ENDING OCTOBER 2005</v>
      </c>
      <c r="C130" s="104"/>
      <c r="D130" s="104"/>
      <c r="E130" s="104"/>
      <c r="F130" s="104"/>
      <c r="G130" s="104"/>
      <c r="H130" s="104"/>
      <c r="I130" s="104"/>
      <c r="J130" s="104"/>
      <c r="K130" s="104"/>
      <c r="L130" s="104"/>
      <c r="M130" s="104"/>
      <c r="N130" s="104"/>
      <c r="O130" s="104"/>
      <c r="P130" s="104"/>
      <c r="Q130" s="104"/>
      <c r="R130" s="104"/>
      <c r="S130" s="104"/>
      <c r="T130" s="107"/>
      <c r="U130" s="106"/>
      <c r="V130" s="5"/>
    </row>
    <row r="131" spans="1:23" ht="15.6" x14ac:dyDescent="0.3">
      <c r="A131" s="2"/>
      <c r="B131" s="60" t="s">
        <v>45</v>
      </c>
      <c r="C131" s="4"/>
      <c r="D131" s="4"/>
      <c r="E131" s="4"/>
      <c r="F131" s="4"/>
      <c r="G131" s="4"/>
      <c r="H131" s="4"/>
      <c r="I131" s="4"/>
      <c r="J131" s="4"/>
      <c r="K131" s="4"/>
      <c r="L131" s="4"/>
      <c r="M131" s="4"/>
      <c r="N131" s="4"/>
      <c r="O131" s="4"/>
      <c r="P131" s="4"/>
      <c r="Q131" s="4"/>
      <c r="R131" s="4"/>
      <c r="S131" s="4"/>
      <c r="T131" s="50"/>
      <c r="U131" s="4"/>
      <c r="V131" s="5"/>
    </row>
    <row r="132" spans="1:23" ht="15.6" x14ac:dyDescent="0.3">
      <c r="A132" s="6"/>
      <c r="B132" s="21"/>
      <c r="C132" s="8"/>
      <c r="D132" s="8"/>
      <c r="E132" s="8"/>
      <c r="F132" s="8"/>
      <c r="G132" s="8"/>
      <c r="H132" s="8"/>
      <c r="I132" s="8"/>
      <c r="J132" s="8"/>
      <c r="K132" s="8"/>
      <c r="L132" s="8"/>
      <c r="M132" s="8"/>
      <c r="N132" s="8"/>
      <c r="O132" s="8"/>
      <c r="P132" s="8"/>
      <c r="Q132" s="8"/>
      <c r="R132" s="8"/>
      <c r="S132" s="8"/>
      <c r="T132" s="52"/>
      <c r="U132" s="8"/>
      <c r="V132" s="5"/>
    </row>
    <row r="133" spans="1:23" ht="15.6" x14ac:dyDescent="0.3">
      <c r="A133" s="6"/>
      <c r="B133" s="120" t="s">
        <v>46</v>
      </c>
      <c r="C133" s="8"/>
      <c r="D133" s="8"/>
      <c r="E133" s="8"/>
      <c r="F133" s="8"/>
      <c r="G133" s="8"/>
      <c r="H133" s="8"/>
      <c r="I133" s="8"/>
      <c r="J133" s="8"/>
      <c r="K133" s="8"/>
      <c r="L133" s="8"/>
      <c r="M133" s="8"/>
      <c r="N133" s="8"/>
      <c r="O133" s="8"/>
      <c r="P133" s="8"/>
      <c r="Q133" s="8"/>
      <c r="R133" s="8"/>
      <c r="S133" s="8"/>
      <c r="T133" s="52"/>
      <c r="U133" s="8"/>
      <c r="V133" s="5"/>
    </row>
    <row r="134" spans="1:23" ht="15.6" x14ac:dyDescent="0.3">
      <c r="A134" s="24"/>
      <c r="B134" s="25" t="s">
        <v>47</v>
      </c>
      <c r="C134" s="25"/>
      <c r="D134" s="25"/>
      <c r="E134" s="25"/>
      <c r="F134" s="25"/>
      <c r="G134" s="25"/>
      <c r="H134" s="25"/>
      <c r="I134" s="25"/>
      <c r="J134" s="25"/>
      <c r="K134" s="25"/>
      <c r="L134" s="25"/>
      <c r="M134" s="25"/>
      <c r="N134" s="25"/>
      <c r="O134" s="25"/>
      <c r="P134" s="25"/>
      <c r="Q134" s="25"/>
      <c r="R134" s="25"/>
      <c r="S134" s="25"/>
      <c r="T134" s="53">
        <f>+T32*0.0176</f>
        <v>12320</v>
      </c>
      <c r="U134" s="25"/>
      <c r="V134" s="5"/>
    </row>
    <row r="135" spans="1:23" ht="15.6" x14ac:dyDescent="0.3">
      <c r="A135" s="24"/>
      <c r="B135" s="25" t="s">
        <v>48</v>
      </c>
      <c r="C135" s="25"/>
      <c r="D135" s="25"/>
      <c r="E135" s="25"/>
      <c r="F135" s="25"/>
      <c r="G135" s="25"/>
      <c r="H135" s="25"/>
      <c r="I135" s="25"/>
      <c r="J135" s="25"/>
      <c r="K135" s="25"/>
      <c r="L135" s="25"/>
      <c r="M135" s="25"/>
      <c r="N135" s="25"/>
      <c r="O135" s="25"/>
      <c r="P135" s="25"/>
      <c r="Q135" s="25"/>
      <c r="R135" s="25"/>
      <c r="S135" s="25"/>
      <c r="T135" s="53">
        <v>0</v>
      </c>
      <c r="U135" s="25"/>
      <c r="V135" s="5"/>
    </row>
    <row r="136" spans="1:23" ht="15.6" x14ac:dyDescent="0.3">
      <c r="A136" s="24"/>
      <c r="B136" s="25" t="s">
        <v>145</v>
      </c>
      <c r="C136" s="25"/>
      <c r="D136" s="25"/>
      <c r="E136" s="25"/>
      <c r="F136" s="25"/>
      <c r="G136" s="25"/>
      <c r="H136" s="25"/>
      <c r="I136" s="25"/>
      <c r="J136" s="25"/>
      <c r="K136" s="25"/>
      <c r="L136" s="25"/>
      <c r="M136" s="25"/>
      <c r="N136" s="25"/>
      <c r="O136" s="25"/>
      <c r="P136" s="25"/>
      <c r="Q136" s="25"/>
      <c r="R136" s="25"/>
      <c r="S136" s="25"/>
      <c r="T136" s="53">
        <v>0</v>
      </c>
      <c r="U136" s="25"/>
      <c r="V136" s="5"/>
    </row>
    <row r="137" spans="1:23" ht="15.6" x14ac:dyDescent="0.3">
      <c r="A137" s="24"/>
      <c r="B137" s="25" t="s">
        <v>132</v>
      </c>
      <c r="C137" s="25"/>
      <c r="D137" s="25"/>
      <c r="E137" s="25"/>
      <c r="F137" s="25"/>
      <c r="G137" s="25"/>
      <c r="H137" s="25"/>
      <c r="I137" s="25"/>
      <c r="J137" s="25"/>
      <c r="K137" s="25"/>
      <c r="L137" s="25"/>
      <c r="M137" s="25"/>
      <c r="N137" s="25"/>
      <c r="O137" s="25"/>
      <c r="P137" s="25"/>
      <c r="Q137" s="25"/>
      <c r="R137" s="25"/>
      <c r="S137" s="25"/>
      <c r="T137" s="53">
        <v>0</v>
      </c>
      <c r="U137" s="25"/>
      <c r="V137" s="5"/>
    </row>
    <row r="138" spans="1:23" ht="15.6" x14ac:dyDescent="0.3">
      <c r="A138" s="24"/>
      <c r="B138" s="25" t="s">
        <v>133</v>
      </c>
      <c r="C138" s="25"/>
      <c r="D138" s="25"/>
      <c r="E138" s="25"/>
      <c r="F138" s="25"/>
      <c r="G138" s="25"/>
      <c r="H138" s="25"/>
      <c r="I138" s="25"/>
      <c r="J138" s="25"/>
      <c r="K138" s="25"/>
      <c r="L138" s="25"/>
      <c r="M138" s="25"/>
      <c r="N138" s="25"/>
      <c r="O138" s="25"/>
      <c r="P138" s="25"/>
      <c r="Q138" s="25"/>
      <c r="R138" s="25"/>
      <c r="S138" s="25"/>
      <c r="T138" s="53">
        <v>0</v>
      </c>
      <c r="U138" s="25"/>
      <c r="V138" s="5"/>
    </row>
    <row r="139" spans="1:23" ht="15.6" x14ac:dyDescent="0.3">
      <c r="A139" s="24"/>
      <c r="B139" s="25" t="s">
        <v>232</v>
      </c>
      <c r="C139" s="25"/>
      <c r="D139" s="25"/>
      <c r="E139" s="25"/>
      <c r="F139" s="25"/>
      <c r="G139" s="25"/>
      <c r="H139" s="25"/>
      <c r="I139" s="25"/>
      <c r="J139" s="25"/>
      <c r="K139" s="25"/>
      <c r="L139" s="25"/>
      <c r="M139" s="25"/>
      <c r="N139" s="25"/>
      <c r="O139" s="25"/>
      <c r="P139" s="25"/>
      <c r="Q139" s="25"/>
      <c r="R139" s="25"/>
      <c r="S139" s="25"/>
      <c r="T139" s="53">
        <v>0</v>
      </c>
      <c r="U139" s="25"/>
      <c r="V139" s="5"/>
    </row>
    <row r="140" spans="1:23" ht="15.6" x14ac:dyDescent="0.3">
      <c r="A140" s="24"/>
      <c r="B140" s="25" t="s">
        <v>49</v>
      </c>
      <c r="C140" s="25"/>
      <c r="D140" s="25"/>
      <c r="E140" s="25"/>
      <c r="F140" s="25"/>
      <c r="G140" s="25"/>
      <c r="H140" s="25"/>
      <c r="I140" s="25"/>
      <c r="J140" s="25"/>
      <c r="K140" s="25"/>
      <c r="L140" s="25"/>
      <c r="M140" s="25"/>
      <c r="N140" s="25"/>
      <c r="O140" s="25"/>
      <c r="P140" s="25"/>
      <c r="Q140" s="25"/>
      <c r="R140" s="25"/>
      <c r="S140" s="25"/>
      <c r="T140" s="53">
        <v>0</v>
      </c>
      <c r="U140" s="25"/>
      <c r="V140" s="5"/>
    </row>
    <row r="141" spans="1:23" ht="15.6" x14ac:dyDescent="0.3">
      <c r="A141" s="24"/>
      <c r="B141" s="25" t="s">
        <v>138</v>
      </c>
      <c r="C141" s="25"/>
      <c r="D141" s="25"/>
      <c r="E141" s="25"/>
      <c r="F141" s="25"/>
      <c r="G141" s="25"/>
      <c r="H141" s="25"/>
      <c r="I141" s="25"/>
      <c r="J141" s="25"/>
      <c r="K141" s="25"/>
      <c r="L141" s="25"/>
      <c r="M141" s="25"/>
      <c r="N141" s="25"/>
      <c r="O141" s="25"/>
      <c r="P141" s="25"/>
      <c r="Q141" s="25"/>
      <c r="R141" s="25"/>
      <c r="S141" s="25"/>
      <c r="T141" s="53">
        <v>0</v>
      </c>
      <c r="U141" s="25"/>
      <c r="V141" s="5"/>
    </row>
    <row r="142" spans="1:23" ht="15.6" x14ac:dyDescent="0.3">
      <c r="A142" s="24"/>
      <c r="B142" s="25" t="s">
        <v>231</v>
      </c>
      <c r="C142" s="25"/>
      <c r="D142" s="25"/>
      <c r="E142" s="25"/>
      <c r="F142" s="25"/>
      <c r="G142" s="25"/>
      <c r="H142" s="25"/>
      <c r="I142" s="25"/>
      <c r="J142" s="25"/>
      <c r="K142" s="25"/>
      <c r="L142" s="25"/>
      <c r="M142" s="25"/>
      <c r="N142" s="25"/>
      <c r="O142" s="25"/>
      <c r="P142" s="25"/>
      <c r="Q142" s="25"/>
      <c r="R142" s="25"/>
      <c r="S142" s="25"/>
      <c r="T142" s="53">
        <v>0</v>
      </c>
      <c r="U142" s="25"/>
      <c r="V142" s="5"/>
      <c r="W142" s="110"/>
    </row>
    <row r="143" spans="1:23" ht="15.6" x14ac:dyDescent="0.3">
      <c r="A143" s="24"/>
      <c r="B143" s="25" t="s">
        <v>50</v>
      </c>
      <c r="C143" s="25"/>
      <c r="D143" s="25"/>
      <c r="E143" s="25"/>
      <c r="F143" s="25"/>
      <c r="G143" s="25"/>
      <c r="H143" s="25"/>
      <c r="I143" s="25"/>
      <c r="J143" s="25"/>
      <c r="K143" s="25"/>
      <c r="L143" s="25"/>
      <c r="M143" s="25"/>
      <c r="N143" s="25"/>
      <c r="O143" s="25"/>
      <c r="P143" s="25"/>
      <c r="Q143" s="25"/>
      <c r="R143" s="25"/>
      <c r="S143" s="25"/>
      <c r="T143" s="53">
        <f>SUM(T134:T142)</f>
        <v>12320</v>
      </c>
      <c r="U143" s="25"/>
      <c r="V143" s="5"/>
    </row>
    <row r="144" spans="1:23" ht="15.6" x14ac:dyDescent="0.3">
      <c r="A144" s="24"/>
      <c r="B144" s="25"/>
      <c r="C144" s="25"/>
      <c r="D144" s="25"/>
      <c r="E144" s="25"/>
      <c r="F144" s="25"/>
      <c r="G144" s="25"/>
      <c r="H144" s="25"/>
      <c r="I144" s="25"/>
      <c r="J144" s="25"/>
      <c r="K144" s="25"/>
      <c r="L144" s="25"/>
      <c r="M144" s="25"/>
      <c r="N144" s="25"/>
      <c r="O144" s="25"/>
      <c r="P144" s="25"/>
      <c r="Q144" s="25"/>
      <c r="R144" s="25"/>
      <c r="S144" s="25"/>
      <c r="T144" s="53"/>
      <c r="U144" s="25"/>
      <c r="V144" s="5"/>
    </row>
    <row r="145" spans="1:22" ht="15.6" x14ac:dyDescent="0.3">
      <c r="A145" s="24"/>
      <c r="B145" s="141" t="s">
        <v>264</v>
      </c>
      <c r="C145" s="25"/>
      <c r="D145" s="25"/>
      <c r="E145" s="25"/>
      <c r="F145" s="25"/>
      <c r="G145" s="25"/>
      <c r="H145" s="25"/>
      <c r="I145" s="25"/>
      <c r="J145" s="25"/>
      <c r="K145" s="25"/>
      <c r="L145" s="25"/>
      <c r="M145" s="25"/>
      <c r="N145" s="25"/>
      <c r="O145" s="25"/>
      <c r="P145" s="25"/>
      <c r="Q145" s="25"/>
      <c r="R145" s="25"/>
      <c r="S145" s="25"/>
      <c r="T145" s="53"/>
      <c r="U145" s="25"/>
      <c r="V145" s="5"/>
    </row>
    <row r="146" spans="1:22" ht="15.6" x14ac:dyDescent="0.3">
      <c r="A146" s="24"/>
      <c r="B146" s="25" t="s">
        <v>170</v>
      </c>
      <c r="C146" s="25"/>
      <c r="D146" s="25"/>
      <c r="E146" s="25"/>
      <c r="F146" s="25"/>
      <c r="G146" s="25"/>
      <c r="H146" s="25"/>
      <c r="I146" s="25"/>
      <c r="J146" s="25"/>
      <c r="K146" s="25"/>
      <c r="L146" s="25"/>
      <c r="M146" s="25"/>
      <c r="N146" s="25"/>
      <c r="O146" s="25"/>
      <c r="P146" s="25"/>
      <c r="Q146" s="25"/>
      <c r="R146" s="25"/>
      <c r="S146" s="25"/>
      <c r="T146" s="53">
        <v>10000</v>
      </c>
      <c r="U146" s="25"/>
      <c r="V146" s="5"/>
    </row>
    <row r="147" spans="1:22" ht="15.6" x14ac:dyDescent="0.3">
      <c r="A147" s="24"/>
      <c r="B147" s="25" t="s">
        <v>228</v>
      </c>
      <c r="C147" s="25"/>
      <c r="D147" s="25"/>
      <c r="E147" s="25"/>
      <c r="F147" s="25"/>
      <c r="G147" s="25"/>
      <c r="H147" s="25"/>
      <c r="I147" s="25"/>
      <c r="J147" s="25"/>
      <c r="K147" s="25"/>
      <c r="L147" s="25"/>
      <c r="M147" s="25"/>
      <c r="N147" s="25"/>
      <c r="O147" s="25"/>
      <c r="P147" s="25"/>
      <c r="Q147" s="25"/>
      <c r="R147" s="25"/>
      <c r="S147" s="25"/>
      <c r="T147" s="53">
        <v>0</v>
      </c>
      <c r="U147" s="25"/>
      <c r="V147" s="5"/>
    </row>
    <row r="148" spans="1:22" ht="15.6" x14ac:dyDescent="0.3">
      <c r="A148" s="24"/>
      <c r="B148" s="25" t="s">
        <v>266</v>
      </c>
      <c r="C148" s="25"/>
      <c r="D148" s="25"/>
      <c r="E148" s="25"/>
      <c r="F148" s="25"/>
      <c r="G148" s="25"/>
      <c r="H148" s="25"/>
      <c r="I148" s="25"/>
      <c r="J148" s="25"/>
      <c r="K148" s="25"/>
      <c r="L148" s="25"/>
      <c r="M148" s="25"/>
      <c r="N148" s="25"/>
      <c r="O148" s="25"/>
      <c r="P148" s="25"/>
      <c r="Q148" s="25"/>
      <c r="R148" s="25"/>
      <c r="S148" s="25"/>
      <c r="T148" s="53">
        <v>8633</v>
      </c>
      <c r="U148" s="25"/>
      <c r="V148" s="5"/>
    </row>
    <row r="149" spans="1:22" ht="15.6" x14ac:dyDescent="0.3">
      <c r="A149" s="24"/>
      <c r="B149" s="25"/>
      <c r="C149" s="25"/>
      <c r="D149" s="25"/>
      <c r="E149" s="25"/>
      <c r="F149" s="25"/>
      <c r="G149" s="25"/>
      <c r="H149" s="25"/>
      <c r="I149" s="25"/>
      <c r="J149" s="25"/>
      <c r="K149" s="25"/>
      <c r="L149" s="25"/>
      <c r="M149" s="25"/>
      <c r="N149" s="25"/>
      <c r="O149" s="25"/>
      <c r="P149" s="25"/>
      <c r="Q149" s="25"/>
      <c r="R149" s="25"/>
      <c r="S149" s="25"/>
      <c r="T149" s="53"/>
      <c r="U149" s="25"/>
      <c r="V149" s="5"/>
    </row>
    <row r="150" spans="1:22" ht="15.6" x14ac:dyDescent="0.3">
      <c r="A150" s="24"/>
      <c r="B150" s="25"/>
      <c r="C150" s="25"/>
      <c r="D150" s="25"/>
      <c r="E150" s="25"/>
      <c r="F150" s="25"/>
      <c r="G150" s="25"/>
      <c r="H150" s="25"/>
      <c r="I150" s="25"/>
      <c r="J150" s="25"/>
      <c r="K150" s="25"/>
      <c r="L150" s="25"/>
      <c r="M150" s="25"/>
      <c r="N150" s="25"/>
      <c r="O150" s="25"/>
      <c r="P150" s="25"/>
      <c r="Q150" s="25"/>
      <c r="R150" s="25"/>
      <c r="S150" s="25"/>
      <c r="T150" s="61"/>
      <c r="U150" s="25"/>
      <c r="V150" s="5"/>
    </row>
    <row r="151" spans="1:22" ht="15.6" x14ac:dyDescent="0.3">
      <c r="A151" s="6"/>
      <c r="B151" s="120" t="s">
        <v>25</v>
      </c>
      <c r="C151" s="8"/>
      <c r="D151" s="8"/>
      <c r="E151" s="8"/>
      <c r="F151" s="8"/>
      <c r="G151" s="8"/>
      <c r="H151" s="8"/>
      <c r="I151" s="8"/>
      <c r="J151" s="8"/>
      <c r="K151" s="8"/>
      <c r="L151" s="8"/>
      <c r="M151" s="8"/>
      <c r="N151" s="8"/>
      <c r="O151" s="8"/>
      <c r="P151" s="8"/>
      <c r="Q151" s="8"/>
      <c r="R151" s="8"/>
      <c r="S151" s="8"/>
      <c r="T151" s="52"/>
      <c r="U151" s="8"/>
      <c r="V151" s="5"/>
    </row>
    <row r="152" spans="1:22" ht="15.6" x14ac:dyDescent="0.3">
      <c r="A152" s="24"/>
      <c r="B152" s="25" t="s">
        <v>51</v>
      </c>
      <c r="C152" s="25"/>
      <c r="D152" s="25"/>
      <c r="E152" s="25"/>
      <c r="F152" s="25"/>
      <c r="G152" s="25"/>
      <c r="H152" s="25"/>
      <c r="I152" s="25"/>
      <c r="J152" s="25"/>
      <c r="K152" s="25"/>
      <c r="L152" s="25"/>
      <c r="M152" s="25"/>
      <c r="N152" s="25"/>
      <c r="O152" s="25"/>
      <c r="P152" s="25"/>
      <c r="Q152" s="25"/>
      <c r="R152" s="25"/>
      <c r="S152" s="25"/>
      <c r="T152" s="59" t="s">
        <v>127</v>
      </c>
      <c r="U152" s="25"/>
      <c r="V152" s="5"/>
    </row>
    <row r="153" spans="1:22" ht="15.6" x14ac:dyDescent="0.3">
      <c r="A153" s="24"/>
      <c r="B153" s="25" t="s">
        <v>52</v>
      </c>
      <c r="C153" s="27"/>
      <c r="D153" s="27"/>
      <c r="E153" s="27"/>
      <c r="F153" s="27"/>
      <c r="G153" s="27"/>
      <c r="H153" s="27"/>
      <c r="I153" s="27"/>
      <c r="J153" s="27"/>
      <c r="K153" s="27"/>
      <c r="L153" s="27"/>
      <c r="M153" s="27"/>
      <c r="N153" s="27"/>
      <c r="O153" s="27"/>
      <c r="P153" s="27"/>
      <c r="Q153" s="27"/>
      <c r="R153" s="27"/>
      <c r="S153" s="27"/>
      <c r="T153" s="59" t="s">
        <v>127</v>
      </c>
      <c r="U153" s="25"/>
      <c r="V153" s="5"/>
    </row>
    <row r="154" spans="1:22" ht="15.6" x14ac:dyDescent="0.3">
      <c r="A154" s="24"/>
      <c r="B154" s="25" t="s">
        <v>53</v>
      </c>
      <c r="C154" s="25"/>
      <c r="D154" s="25"/>
      <c r="E154" s="25"/>
      <c r="F154" s="25"/>
      <c r="G154" s="25"/>
      <c r="H154" s="25"/>
      <c r="I154" s="25"/>
      <c r="J154" s="25"/>
      <c r="K154" s="25"/>
      <c r="L154" s="25"/>
      <c r="M154" s="25"/>
      <c r="N154" s="25"/>
      <c r="O154" s="25"/>
      <c r="P154" s="25"/>
      <c r="Q154" s="25"/>
      <c r="R154" s="25"/>
      <c r="S154" s="25"/>
      <c r="T154" s="59" t="s">
        <v>127</v>
      </c>
      <c r="U154" s="25"/>
      <c r="V154" s="5"/>
    </row>
    <row r="155" spans="1:22" ht="15.6" x14ac:dyDescent="0.3">
      <c r="A155" s="24"/>
      <c r="B155" s="25" t="s">
        <v>54</v>
      </c>
      <c r="C155" s="25"/>
      <c r="D155" s="25"/>
      <c r="E155" s="25"/>
      <c r="F155" s="25"/>
      <c r="G155" s="25"/>
      <c r="H155" s="25"/>
      <c r="I155" s="25"/>
      <c r="J155" s="25"/>
      <c r="K155" s="25"/>
      <c r="L155" s="25"/>
      <c r="M155" s="25"/>
      <c r="N155" s="25"/>
      <c r="O155" s="25"/>
      <c r="P155" s="25"/>
      <c r="Q155" s="25"/>
      <c r="R155" s="25"/>
      <c r="S155" s="25"/>
      <c r="T155" s="59" t="s">
        <v>127</v>
      </c>
      <c r="U155" s="25"/>
      <c r="V155" s="5"/>
    </row>
    <row r="156" spans="1:22" ht="15.6" x14ac:dyDescent="0.3">
      <c r="A156" s="24"/>
      <c r="B156" s="25"/>
      <c r="C156" s="25"/>
      <c r="D156" s="25"/>
      <c r="E156" s="25"/>
      <c r="F156" s="25"/>
      <c r="G156" s="25"/>
      <c r="H156" s="25"/>
      <c r="I156" s="25"/>
      <c r="J156" s="25"/>
      <c r="K156" s="25"/>
      <c r="L156" s="25"/>
      <c r="M156" s="25"/>
      <c r="N156" s="25"/>
      <c r="O156" s="25"/>
      <c r="P156" s="25"/>
      <c r="Q156" s="25"/>
      <c r="R156" s="25"/>
      <c r="S156" s="25"/>
      <c r="T156" s="61"/>
      <c r="U156" s="25"/>
      <c r="V156" s="5"/>
    </row>
    <row r="157" spans="1:22" ht="15.6" x14ac:dyDescent="0.3">
      <c r="A157" s="6"/>
      <c r="B157" s="120" t="s">
        <v>55</v>
      </c>
      <c r="C157" s="8"/>
      <c r="D157" s="8"/>
      <c r="E157" s="8"/>
      <c r="F157" s="8"/>
      <c r="G157" s="8"/>
      <c r="H157" s="8"/>
      <c r="I157" s="8"/>
      <c r="J157" s="8"/>
      <c r="K157" s="8"/>
      <c r="L157" s="8"/>
      <c r="M157" s="8"/>
      <c r="N157" s="8"/>
      <c r="O157" s="8"/>
      <c r="P157" s="8"/>
      <c r="Q157" s="8"/>
      <c r="R157" s="8"/>
      <c r="S157" s="8"/>
      <c r="T157" s="63"/>
      <c r="U157" s="8"/>
      <c r="V157" s="5"/>
    </row>
    <row r="158" spans="1:22" ht="15.6" x14ac:dyDescent="0.3">
      <c r="A158" s="24"/>
      <c r="B158" s="25" t="s">
        <v>56</v>
      </c>
      <c r="C158" s="25"/>
      <c r="D158" s="25"/>
      <c r="E158" s="25"/>
      <c r="F158" s="25"/>
      <c r="G158" s="25"/>
      <c r="H158" s="25"/>
      <c r="I158" s="25"/>
      <c r="J158" s="25"/>
      <c r="K158" s="25"/>
      <c r="L158" s="25"/>
      <c r="M158" s="25"/>
      <c r="N158" s="25"/>
      <c r="O158" s="25"/>
      <c r="P158" s="25"/>
      <c r="Q158" s="25"/>
      <c r="R158" s="25"/>
      <c r="S158" s="25"/>
      <c r="T158" s="53">
        <v>0</v>
      </c>
      <c r="U158" s="25"/>
      <c r="V158" s="5"/>
    </row>
    <row r="159" spans="1:22" ht="15.6" x14ac:dyDescent="0.3">
      <c r="A159" s="24"/>
      <c r="B159" s="25" t="s">
        <v>57</v>
      </c>
      <c r="C159" s="25"/>
      <c r="D159" s="25"/>
      <c r="E159" s="25"/>
      <c r="F159" s="25"/>
      <c r="G159" s="25"/>
      <c r="H159" s="25"/>
      <c r="I159" s="25"/>
      <c r="J159" s="25"/>
      <c r="K159" s="25"/>
      <c r="L159" s="25"/>
      <c r="M159" s="25"/>
      <c r="N159" s="25"/>
      <c r="O159" s="25"/>
      <c r="P159" s="25"/>
      <c r="Q159" s="25"/>
      <c r="R159" s="25"/>
      <c r="S159" s="25"/>
      <c r="T159" s="53">
        <v>0</v>
      </c>
      <c r="U159" s="25"/>
      <c r="V159" s="5"/>
    </row>
    <row r="160" spans="1:22" ht="15.6" x14ac:dyDescent="0.3">
      <c r="A160" s="24"/>
      <c r="B160" s="25" t="s">
        <v>58</v>
      </c>
      <c r="C160" s="25"/>
      <c r="D160" s="25"/>
      <c r="E160" s="25"/>
      <c r="F160" s="25"/>
      <c r="G160" s="25"/>
      <c r="H160" s="25"/>
      <c r="I160" s="25"/>
      <c r="J160" s="25"/>
      <c r="K160" s="25"/>
      <c r="L160" s="25"/>
      <c r="M160" s="25"/>
      <c r="N160" s="25"/>
      <c r="O160" s="25"/>
      <c r="P160" s="25"/>
      <c r="Q160" s="25"/>
      <c r="R160" s="25"/>
      <c r="S160" s="25"/>
      <c r="T160" s="53">
        <f>T159+T158</f>
        <v>0</v>
      </c>
      <c r="U160" s="25"/>
      <c r="V160" s="5"/>
    </row>
    <row r="161" spans="1:22" ht="15.6" x14ac:dyDescent="0.3">
      <c r="A161" s="24"/>
      <c r="B161" s="25" t="s">
        <v>309</v>
      </c>
      <c r="C161" s="25"/>
      <c r="D161" s="25"/>
      <c r="E161" s="25"/>
      <c r="F161" s="25"/>
      <c r="G161" s="25"/>
      <c r="H161" s="25"/>
      <c r="I161" s="25"/>
      <c r="J161" s="25"/>
      <c r="K161" s="25"/>
      <c r="L161" s="25"/>
      <c r="M161" s="25"/>
      <c r="N161" s="25"/>
      <c r="O161" s="25"/>
      <c r="P161" s="25"/>
      <c r="Q161" s="25"/>
      <c r="R161" s="25"/>
      <c r="S161" s="25"/>
      <c r="T161" s="53">
        <f>T110</f>
        <v>0</v>
      </c>
      <c r="U161" s="25"/>
      <c r="V161" s="5"/>
    </row>
    <row r="162" spans="1:22" ht="15.6" x14ac:dyDescent="0.3">
      <c r="A162" s="24"/>
      <c r="B162" s="25" t="s">
        <v>59</v>
      </c>
      <c r="C162" s="25"/>
      <c r="D162" s="25"/>
      <c r="E162" s="25"/>
      <c r="F162" s="25"/>
      <c r="G162" s="25"/>
      <c r="H162" s="25"/>
      <c r="I162" s="25"/>
      <c r="J162" s="25"/>
      <c r="K162" s="25"/>
      <c r="L162" s="25"/>
      <c r="M162" s="25"/>
      <c r="N162" s="25"/>
      <c r="O162" s="25"/>
      <c r="P162" s="25"/>
      <c r="Q162" s="25"/>
      <c r="R162" s="25"/>
      <c r="S162" s="25"/>
      <c r="T162" s="53">
        <f>T160+T161</f>
        <v>0</v>
      </c>
      <c r="U162" s="25"/>
      <c r="V162" s="5"/>
    </row>
    <row r="163" spans="1:22" ht="16.2" thickBot="1" x14ac:dyDescent="0.35">
      <c r="A163" s="24"/>
      <c r="B163" s="25"/>
      <c r="C163" s="25"/>
      <c r="D163" s="25"/>
      <c r="E163" s="25"/>
      <c r="F163" s="25"/>
      <c r="G163" s="25"/>
      <c r="H163" s="25"/>
      <c r="I163" s="25"/>
      <c r="J163" s="25"/>
      <c r="K163" s="25"/>
      <c r="L163" s="25"/>
      <c r="M163" s="25"/>
      <c r="N163" s="25"/>
      <c r="O163" s="25"/>
      <c r="P163" s="25"/>
      <c r="Q163" s="25"/>
      <c r="R163" s="25"/>
      <c r="S163" s="25"/>
      <c r="T163" s="61"/>
      <c r="U163" s="25"/>
      <c r="V163" s="5"/>
    </row>
    <row r="164" spans="1:22" ht="15.6" x14ac:dyDescent="0.3">
      <c r="A164" s="2"/>
      <c r="B164" s="4"/>
      <c r="C164" s="4"/>
      <c r="D164" s="4"/>
      <c r="E164" s="4"/>
      <c r="F164" s="4"/>
      <c r="G164" s="4"/>
      <c r="H164" s="4"/>
      <c r="I164" s="4"/>
      <c r="J164" s="4"/>
      <c r="K164" s="4"/>
      <c r="L164" s="4"/>
      <c r="M164" s="4"/>
      <c r="N164" s="4"/>
      <c r="O164" s="4"/>
      <c r="P164" s="4"/>
      <c r="Q164" s="4"/>
      <c r="R164" s="4"/>
      <c r="S164" s="4"/>
      <c r="T164" s="50"/>
      <c r="U164" s="4"/>
      <c r="V164" s="5"/>
    </row>
    <row r="165" spans="1:22" ht="15.6" x14ac:dyDescent="0.3">
      <c r="A165" s="6"/>
      <c r="B165" s="120" t="s">
        <v>60</v>
      </c>
      <c r="C165" s="8"/>
      <c r="D165" s="8"/>
      <c r="E165" s="8"/>
      <c r="F165" s="8"/>
      <c r="G165" s="8"/>
      <c r="H165" s="8"/>
      <c r="I165" s="8"/>
      <c r="J165" s="8"/>
      <c r="K165" s="8"/>
      <c r="L165" s="8"/>
      <c r="M165" s="8"/>
      <c r="N165" s="8"/>
      <c r="O165" s="8"/>
      <c r="P165" s="8"/>
      <c r="Q165" s="8"/>
      <c r="R165" s="8"/>
      <c r="S165" s="8"/>
      <c r="T165" s="52"/>
      <c r="U165" s="8"/>
      <c r="V165" s="5"/>
    </row>
    <row r="166" spans="1:22" ht="15.6" x14ac:dyDescent="0.3">
      <c r="A166" s="6"/>
      <c r="B166" s="21"/>
      <c r="C166" s="8"/>
      <c r="D166" s="8"/>
      <c r="E166" s="8"/>
      <c r="F166" s="8"/>
      <c r="G166" s="8"/>
      <c r="H166" s="8"/>
      <c r="I166" s="8"/>
      <c r="J166" s="8"/>
      <c r="K166" s="8"/>
      <c r="L166" s="8"/>
      <c r="M166" s="8"/>
      <c r="N166" s="8"/>
      <c r="O166" s="8"/>
      <c r="P166" s="8"/>
      <c r="Q166" s="8"/>
      <c r="R166" s="8"/>
      <c r="S166" s="8"/>
      <c r="T166" s="52"/>
      <c r="U166" s="8"/>
      <c r="V166" s="5"/>
    </row>
    <row r="167" spans="1:22" ht="15.6" x14ac:dyDescent="0.3">
      <c r="A167" s="24"/>
      <c r="B167" s="25" t="s">
        <v>61</v>
      </c>
      <c r="C167" s="25"/>
      <c r="D167" s="25"/>
      <c r="E167" s="25"/>
      <c r="F167" s="25"/>
      <c r="G167" s="25"/>
      <c r="H167" s="25"/>
      <c r="I167" s="25"/>
      <c r="J167" s="25"/>
      <c r="K167" s="25"/>
      <c r="L167" s="25"/>
      <c r="M167" s="25"/>
      <c r="N167" s="25"/>
      <c r="O167" s="25"/>
      <c r="P167" s="25"/>
      <c r="Q167" s="25"/>
      <c r="R167" s="25"/>
      <c r="S167" s="25"/>
      <c r="T167" s="53">
        <f>T69</f>
        <v>680368</v>
      </c>
      <c r="U167" s="25"/>
      <c r="V167" s="5"/>
    </row>
    <row r="168" spans="1:22" ht="15.6" x14ac:dyDescent="0.3">
      <c r="A168" s="24"/>
      <c r="B168" s="25" t="s">
        <v>62</v>
      </c>
      <c r="C168" s="25"/>
      <c r="D168" s="25"/>
      <c r="E168" s="25"/>
      <c r="F168" s="25"/>
      <c r="G168" s="25"/>
      <c r="H168" s="25"/>
      <c r="I168" s="25"/>
      <c r="J168" s="25"/>
      <c r="K168" s="25"/>
      <c r="L168" s="25"/>
      <c r="M168" s="25"/>
      <c r="N168" s="25"/>
      <c r="O168" s="25"/>
      <c r="P168" s="25"/>
      <c r="Q168" s="25"/>
      <c r="R168" s="25"/>
      <c r="S168" s="25"/>
      <c r="T168" s="53">
        <f>T82</f>
        <v>680368</v>
      </c>
      <c r="U168" s="25"/>
      <c r="V168" s="5"/>
    </row>
    <row r="169" spans="1:22" ht="16.2" thickBot="1" x14ac:dyDescent="0.35">
      <c r="A169" s="24"/>
      <c r="B169" s="25"/>
      <c r="C169" s="25"/>
      <c r="D169" s="25"/>
      <c r="E169" s="25"/>
      <c r="F169" s="25"/>
      <c r="G169" s="25"/>
      <c r="H169" s="25"/>
      <c r="I169" s="25"/>
      <c r="J169" s="25"/>
      <c r="K169" s="25"/>
      <c r="L169" s="25"/>
      <c r="M169" s="25"/>
      <c r="N169" s="25"/>
      <c r="O169" s="25"/>
      <c r="P169" s="25"/>
      <c r="Q169" s="25"/>
      <c r="R169" s="25"/>
      <c r="S169" s="25"/>
      <c r="T169" s="61"/>
      <c r="U169" s="25"/>
      <c r="V169" s="5"/>
    </row>
    <row r="170" spans="1:22" ht="15.6" x14ac:dyDescent="0.3">
      <c r="A170" s="2"/>
      <c r="B170" s="4"/>
      <c r="C170" s="4"/>
      <c r="D170" s="4"/>
      <c r="E170" s="4"/>
      <c r="F170" s="4"/>
      <c r="G170" s="4"/>
      <c r="H170" s="4"/>
      <c r="I170" s="4"/>
      <c r="J170" s="4"/>
      <c r="K170" s="4"/>
      <c r="L170" s="4"/>
      <c r="M170" s="4"/>
      <c r="N170" s="4"/>
      <c r="O170" s="4"/>
      <c r="P170" s="4"/>
      <c r="Q170" s="4"/>
      <c r="R170" s="4"/>
      <c r="S170" s="4"/>
      <c r="T170" s="50"/>
      <c r="U170" s="4"/>
      <c r="V170" s="5"/>
    </row>
    <row r="171" spans="1:22" ht="15.6" x14ac:dyDescent="0.3">
      <c r="A171" s="6"/>
      <c r="B171" s="120" t="s">
        <v>63</v>
      </c>
      <c r="C171" s="118"/>
      <c r="D171" s="118"/>
      <c r="E171" s="118"/>
      <c r="F171" s="118"/>
      <c r="G171" s="118"/>
      <c r="H171" s="121"/>
      <c r="I171" s="121"/>
      <c r="J171" s="121"/>
      <c r="K171" s="121"/>
      <c r="L171" s="121"/>
      <c r="M171" s="121"/>
      <c r="N171" s="121"/>
      <c r="O171" s="121"/>
      <c r="P171" s="121"/>
      <c r="Q171" s="121" t="s">
        <v>107</v>
      </c>
      <c r="R171" s="121" t="s">
        <v>234</v>
      </c>
      <c r="S171" s="112"/>
      <c r="T171" s="122" t="s">
        <v>123</v>
      </c>
      <c r="U171" s="10"/>
      <c r="V171" s="5"/>
    </row>
    <row r="172" spans="1:22" ht="15.6" x14ac:dyDescent="0.3">
      <c r="A172" s="24"/>
      <c r="B172" s="25" t="s">
        <v>64</v>
      </c>
      <c r="C172" s="25"/>
      <c r="D172" s="25"/>
      <c r="E172" s="25"/>
      <c r="F172" s="25"/>
      <c r="G172" s="25"/>
      <c r="H172" s="25"/>
      <c r="I172" s="25"/>
      <c r="J172" s="25"/>
      <c r="K172" s="25"/>
      <c r="L172" s="25"/>
      <c r="M172" s="25"/>
      <c r="N172" s="25"/>
      <c r="O172" s="25"/>
      <c r="P172" s="25"/>
      <c r="Q172" s="53">
        <v>112000</v>
      </c>
      <c r="R172" s="40"/>
      <c r="S172" s="25"/>
      <c r="T172" s="53"/>
      <c r="U172" s="25"/>
      <c r="V172" s="5"/>
    </row>
    <row r="173" spans="1:22" ht="15.6" x14ac:dyDescent="0.3">
      <c r="A173" s="24"/>
      <c r="B173" s="25" t="s">
        <v>65</v>
      </c>
      <c r="C173" s="25"/>
      <c r="D173" s="25"/>
      <c r="E173" s="25"/>
      <c r="F173" s="25"/>
      <c r="G173" s="25"/>
      <c r="H173" s="25"/>
      <c r="I173" s="25"/>
      <c r="J173" s="25"/>
      <c r="K173" s="25"/>
      <c r="L173" s="25"/>
      <c r="M173" s="25"/>
      <c r="N173" s="25"/>
      <c r="O173" s="25"/>
      <c r="P173" s="25"/>
      <c r="Q173" s="53">
        <v>0</v>
      </c>
      <c r="R173" s="53">
        <v>0</v>
      </c>
      <c r="S173" s="25"/>
      <c r="T173" s="53">
        <f>Q173+R173</f>
        <v>0</v>
      </c>
      <c r="U173" s="25"/>
      <c r="V173" s="5"/>
    </row>
    <row r="174" spans="1:22" ht="15.6" x14ac:dyDescent="0.3">
      <c r="A174" s="24"/>
      <c r="B174" s="25" t="s">
        <v>66</v>
      </c>
      <c r="C174" s="25"/>
      <c r="D174" s="25"/>
      <c r="E174" s="25"/>
      <c r="F174" s="25"/>
      <c r="G174" s="25"/>
      <c r="H174" s="25"/>
      <c r="I174" s="25"/>
      <c r="J174" s="25"/>
      <c r="K174" s="25"/>
      <c r="L174" s="25"/>
      <c r="M174" s="25"/>
      <c r="N174" s="25"/>
      <c r="O174" s="25"/>
      <c r="P174" s="25"/>
      <c r="Q174" s="34">
        <v>4922</v>
      </c>
      <c r="R174" s="34">
        <v>1148</v>
      </c>
      <c r="S174" s="25"/>
      <c r="T174" s="53">
        <f>Q174+R174</f>
        <v>6070</v>
      </c>
      <c r="U174" s="25"/>
      <c r="V174" s="5"/>
    </row>
    <row r="175" spans="1:22" ht="15.6" x14ac:dyDescent="0.3">
      <c r="A175" s="24"/>
      <c r="B175" s="25" t="s">
        <v>67</v>
      </c>
      <c r="C175" s="25"/>
      <c r="D175" s="25"/>
      <c r="E175" s="25"/>
      <c r="F175" s="25"/>
      <c r="G175" s="25"/>
      <c r="H175" s="25"/>
      <c r="I175" s="25"/>
      <c r="J175" s="25"/>
      <c r="K175" s="25"/>
      <c r="L175" s="25"/>
      <c r="M175" s="25"/>
      <c r="N175" s="25"/>
      <c r="O175" s="25"/>
      <c r="P175" s="25"/>
      <c r="Q175" s="53">
        <f>Q173+Q174</f>
        <v>4922</v>
      </c>
      <c r="R175" s="53">
        <f>R174+R173</f>
        <v>1148</v>
      </c>
      <c r="S175" s="25"/>
      <c r="T175" s="53">
        <f>Q175+R175</f>
        <v>6070</v>
      </c>
      <c r="U175" s="25"/>
      <c r="V175" s="5"/>
    </row>
    <row r="176" spans="1:22" ht="15.6" x14ac:dyDescent="0.3">
      <c r="A176" s="24"/>
      <c r="B176" s="25" t="s">
        <v>68</v>
      </c>
      <c r="C176" s="25"/>
      <c r="D176" s="25"/>
      <c r="E176" s="25"/>
      <c r="F176" s="25"/>
      <c r="G176" s="25"/>
      <c r="H176" s="25"/>
      <c r="I176" s="25"/>
      <c r="J176" s="25"/>
      <c r="K176" s="25"/>
      <c r="L176" s="25"/>
      <c r="M176" s="25"/>
      <c r="N176" s="25"/>
      <c r="O176" s="25"/>
      <c r="P176" s="25"/>
      <c r="Q176" s="53">
        <f>Q172-Q175-R175</f>
        <v>105930</v>
      </c>
      <c r="R176" s="40"/>
      <c r="S176" s="25"/>
      <c r="T176" s="53"/>
      <c r="U176" s="25"/>
      <c r="V176" s="5"/>
    </row>
    <row r="177" spans="1:22" ht="16.2" thickBot="1" x14ac:dyDescent="0.35">
      <c r="A177" s="24"/>
      <c r="B177" s="25"/>
      <c r="C177" s="25"/>
      <c r="D177" s="25"/>
      <c r="E177" s="25"/>
      <c r="F177" s="25"/>
      <c r="G177" s="25"/>
      <c r="H177" s="25"/>
      <c r="I177" s="25"/>
      <c r="J177" s="25"/>
      <c r="K177" s="25"/>
      <c r="L177" s="25"/>
      <c r="M177" s="25"/>
      <c r="N177" s="25"/>
      <c r="O177" s="25"/>
      <c r="P177" s="25"/>
      <c r="Q177" s="25"/>
      <c r="R177" s="25"/>
      <c r="S177" s="25"/>
      <c r="T177" s="61"/>
      <c r="U177" s="25"/>
      <c r="V177" s="5"/>
    </row>
    <row r="178" spans="1:22" ht="15.6" x14ac:dyDescent="0.3">
      <c r="A178" s="2"/>
      <c r="B178" s="4"/>
      <c r="C178" s="4"/>
      <c r="D178" s="4"/>
      <c r="E178" s="4"/>
      <c r="F178" s="4"/>
      <c r="G178" s="4"/>
      <c r="H178" s="4"/>
      <c r="I178" s="4"/>
      <c r="J178" s="4"/>
      <c r="K178" s="4"/>
      <c r="L178" s="4"/>
      <c r="M178" s="4"/>
      <c r="N178" s="4"/>
      <c r="O178" s="4"/>
      <c r="P178" s="4"/>
      <c r="Q178" s="4"/>
      <c r="R178" s="4"/>
      <c r="S178" s="4"/>
      <c r="T178" s="50"/>
      <c r="U178" s="4"/>
      <c r="V178" s="5"/>
    </row>
    <row r="179" spans="1:22" ht="15.6" x14ac:dyDescent="0.3">
      <c r="A179" s="6"/>
      <c r="B179" s="120" t="s">
        <v>69</v>
      </c>
      <c r="C179" s="8"/>
      <c r="D179" s="8"/>
      <c r="E179" s="8"/>
      <c r="F179" s="8"/>
      <c r="G179" s="8"/>
      <c r="H179" s="8"/>
      <c r="I179" s="8"/>
      <c r="J179" s="8"/>
      <c r="K179" s="8"/>
      <c r="L179" s="8"/>
      <c r="M179" s="8"/>
      <c r="N179" s="8"/>
      <c r="O179" s="8"/>
      <c r="P179" s="8"/>
      <c r="Q179" s="8"/>
      <c r="R179" s="8"/>
      <c r="S179" s="8"/>
      <c r="T179" s="65"/>
      <c r="U179" s="8"/>
      <c r="V179" s="5"/>
    </row>
    <row r="180" spans="1:22" ht="15.6" x14ac:dyDescent="0.3">
      <c r="A180" s="24"/>
      <c r="B180" s="25" t="s">
        <v>70</v>
      </c>
      <c r="C180" s="25"/>
      <c r="D180" s="25"/>
      <c r="E180" s="25"/>
      <c r="F180" s="25"/>
      <c r="G180" s="25"/>
      <c r="H180" s="25"/>
      <c r="I180" s="25"/>
      <c r="J180" s="25"/>
      <c r="K180" s="25"/>
      <c r="L180" s="25"/>
      <c r="M180" s="25"/>
      <c r="N180" s="25"/>
      <c r="O180" s="25"/>
      <c r="P180" s="25"/>
      <c r="Q180" s="25"/>
      <c r="R180" s="25"/>
      <c r="S180" s="25"/>
      <c r="T180" s="59">
        <f>(T94+T96+T97+T98+T99+T100)/-(T101+T102+T103)</f>
        <v>1.2113696672790366</v>
      </c>
      <c r="U180" s="25" t="s">
        <v>124</v>
      </c>
      <c r="V180" s="5"/>
    </row>
    <row r="181" spans="1:22" ht="15.6" x14ac:dyDescent="0.3">
      <c r="A181" s="24"/>
      <c r="B181" s="25" t="s">
        <v>71</v>
      </c>
      <c r="C181" s="25"/>
      <c r="D181" s="25"/>
      <c r="E181" s="25"/>
      <c r="F181" s="25"/>
      <c r="G181" s="25"/>
      <c r="H181" s="25"/>
      <c r="I181" s="25"/>
      <c r="J181" s="25"/>
      <c r="K181" s="25"/>
      <c r="L181" s="25"/>
      <c r="M181" s="25"/>
      <c r="N181" s="25"/>
      <c r="O181" s="25"/>
      <c r="P181" s="25"/>
      <c r="Q181" s="25"/>
      <c r="R181" s="25"/>
      <c r="S181" s="25"/>
      <c r="T181" s="66">
        <v>1.21</v>
      </c>
      <c r="U181" s="25" t="s">
        <v>124</v>
      </c>
      <c r="V181" s="5"/>
    </row>
    <row r="182" spans="1:22" ht="15.6" x14ac:dyDescent="0.3">
      <c r="A182" s="24"/>
      <c r="B182" s="25" t="s">
        <v>72</v>
      </c>
      <c r="C182" s="25"/>
      <c r="D182" s="25"/>
      <c r="E182" s="25"/>
      <c r="F182" s="25"/>
      <c r="G182" s="25"/>
      <c r="H182" s="25"/>
      <c r="I182" s="25"/>
      <c r="J182" s="25"/>
      <c r="K182" s="25"/>
      <c r="L182" s="25"/>
      <c r="M182" s="25"/>
      <c r="N182" s="25"/>
      <c r="O182" s="25"/>
      <c r="P182" s="25"/>
      <c r="Q182" s="25"/>
      <c r="R182" s="25"/>
      <c r="S182" s="25"/>
      <c r="T182" s="59">
        <f>(T94+T96+T97+T98+T99+T100+T101+T102+T103)/-(T104+T105)</f>
        <v>4.706818181818182</v>
      </c>
      <c r="U182" s="25" t="s">
        <v>124</v>
      </c>
      <c r="V182" s="5"/>
    </row>
    <row r="183" spans="1:22" ht="15.6" x14ac:dyDescent="0.3">
      <c r="A183" s="24"/>
      <c r="B183" s="25" t="s">
        <v>73</v>
      </c>
      <c r="C183" s="25"/>
      <c r="D183" s="25"/>
      <c r="E183" s="25"/>
      <c r="F183" s="25"/>
      <c r="G183" s="25"/>
      <c r="H183" s="25"/>
      <c r="I183" s="25"/>
      <c r="J183" s="25"/>
      <c r="K183" s="25"/>
      <c r="L183" s="25"/>
      <c r="M183" s="25"/>
      <c r="N183" s="25"/>
      <c r="O183" s="25"/>
      <c r="P183" s="25"/>
      <c r="Q183" s="25"/>
      <c r="R183" s="25"/>
      <c r="S183" s="25"/>
      <c r="T183" s="67">
        <v>4.71</v>
      </c>
      <c r="U183" s="25" t="s">
        <v>124</v>
      </c>
      <c r="V183" s="5"/>
    </row>
    <row r="184" spans="1:22" ht="15.6" x14ac:dyDescent="0.3">
      <c r="A184" s="24"/>
      <c r="B184" s="25" t="s">
        <v>243</v>
      </c>
      <c r="C184" s="25"/>
      <c r="D184" s="25"/>
      <c r="E184" s="25"/>
      <c r="F184" s="25"/>
      <c r="G184" s="25"/>
      <c r="H184" s="25"/>
      <c r="I184" s="25"/>
      <c r="J184" s="25"/>
      <c r="K184" s="25"/>
      <c r="L184" s="25"/>
      <c r="M184" s="25"/>
      <c r="N184" s="25"/>
      <c r="O184" s="25"/>
      <c r="P184" s="25"/>
      <c r="Q184" s="25"/>
      <c r="R184" s="25"/>
      <c r="S184" s="25"/>
      <c r="T184" s="59">
        <f>(T94+T96+T97+T98+T99+T100+T101+T102+T103+T104+T105)/-(T106+T107)</f>
        <v>1.996328029375765</v>
      </c>
      <c r="U184" s="25" t="s">
        <v>124</v>
      </c>
      <c r="V184" s="5"/>
    </row>
    <row r="185" spans="1:22" ht="15.6" x14ac:dyDescent="0.3">
      <c r="A185" s="24"/>
      <c r="B185" s="25" t="s">
        <v>244</v>
      </c>
      <c r="C185" s="25"/>
      <c r="D185" s="25"/>
      <c r="E185" s="25"/>
      <c r="F185" s="25"/>
      <c r="G185" s="25"/>
      <c r="H185" s="25"/>
      <c r="I185" s="25"/>
      <c r="J185" s="25"/>
      <c r="K185" s="25"/>
      <c r="L185" s="25"/>
      <c r="M185" s="25"/>
      <c r="N185" s="25"/>
      <c r="O185" s="25"/>
      <c r="P185" s="25"/>
      <c r="Q185" s="25"/>
      <c r="R185" s="25"/>
      <c r="S185" s="25"/>
      <c r="T185" s="67">
        <v>2</v>
      </c>
      <c r="U185" s="25" t="s">
        <v>124</v>
      </c>
      <c r="V185" s="5"/>
    </row>
    <row r="186" spans="1:22" ht="15.6" x14ac:dyDescent="0.3">
      <c r="A186" s="24"/>
      <c r="B186" s="25"/>
      <c r="C186" s="25"/>
      <c r="D186" s="25"/>
      <c r="E186" s="25"/>
      <c r="F186" s="25"/>
      <c r="G186" s="25"/>
      <c r="H186" s="25"/>
      <c r="I186" s="25"/>
      <c r="J186" s="25"/>
      <c r="K186" s="25"/>
      <c r="L186" s="25"/>
      <c r="M186" s="25"/>
      <c r="N186" s="25"/>
      <c r="O186" s="25"/>
      <c r="P186" s="25"/>
      <c r="Q186" s="25"/>
      <c r="R186" s="25"/>
      <c r="S186" s="25"/>
      <c r="T186" s="25"/>
      <c r="U186" s="25"/>
      <c r="V186" s="5"/>
    </row>
    <row r="187" spans="1:22" ht="15.6" x14ac:dyDescent="0.3">
      <c r="A187" s="24"/>
      <c r="B187" s="25"/>
      <c r="C187" s="25"/>
      <c r="D187" s="25"/>
      <c r="E187" s="25"/>
      <c r="F187" s="25"/>
      <c r="G187" s="25"/>
      <c r="H187" s="25"/>
      <c r="I187" s="25"/>
      <c r="J187" s="25"/>
      <c r="K187" s="25"/>
      <c r="L187" s="25"/>
      <c r="M187" s="25"/>
      <c r="N187" s="25"/>
      <c r="O187" s="25"/>
      <c r="P187" s="25"/>
      <c r="Q187" s="25"/>
      <c r="R187" s="25"/>
      <c r="S187" s="25"/>
      <c r="T187" s="25"/>
      <c r="U187" s="25"/>
      <c r="V187" s="5"/>
    </row>
    <row r="188" spans="1:22" ht="15.6" x14ac:dyDescent="0.3">
      <c r="A188" s="6"/>
      <c r="B188" s="8"/>
      <c r="C188" s="8"/>
      <c r="D188" s="8"/>
      <c r="E188" s="8"/>
      <c r="F188" s="8"/>
      <c r="G188" s="8"/>
      <c r="H188" s="8"/>
      <c r="I188" s="8"/>
      <c r="J188" s="8"/>
      <c r="K188" s="8"/>
      <c r="L188" s="8"/>
      <c r="M188" s="8"/>
      <c r="N188" s="8"/>
      <c r="O188" s="8"/>
      <c r="P188" s="8"/>
      <c r="Q188" s="8"/>
      <c r="R188" s="8"/>
      <c r="S188" s="8"/>
      <c r="T188" s="8"/>
      <c r="U188" s="8"/>
      <c r="V188" s="5"/>
    </row>
    <row r="189" spans="1:22" ht="18" thickBot="1" x14ac:dyDescent="0.35">
      <c r="A189" s="102"/>
      <c r="B189" s="103" t="str">
        <f>B130</f>
        <v>PM9 INVESTOR REPORT QUARTER ENDING OCTOBER 2005</v>
      </c>
      <c r="C189" s="108"/>
      <c r="D189" s="108"/>
      <c r="E189" s="108"/>
      <c r="F189" s="108"/>
      <c r="G189" s="108"/>
      <c r="H189" s="108"/>
      <c r="I189" s="108"/>
      <c r="J189" s="108"/>
      <c r="K189" s="108"/>
      <c r="L189" s="108"/>
      <c r="M189" s="108"/>
      <c r="N189" s="108"/>
      <c r="O189" s="108"/>
      <c r="P189" s="108"/>
      <c r="Q189" s="108"/>
      <c r="R189" s="108"/>
      <c r="S189" s="108"/>
      <c r="T189" s="108"/>
      <c r="U189" s="109"/>
      <c r="V189" s="5"/>
    </row>
    <row r="190" spans="1:22" ht="15.6" x14ac:dyDescent="0.3">
      <c r="A190" s="68"/>
      <c r="B190" s="60" t="s">
        <v>74</v>
      </c>
      <c r="C190" s="69"/>
      <c r="D190" s="69"/>
      <c r="E190" s="69"/>
      <c r="F190" s="69"/>
      <c r="G190" s="70"/>
      <c r="H190" s="70"/>
      <c r="I190" s="70"/>
      <c r="J190" s="70"/>
      <c r="K190" s="70"/>
      <c r="L190" s="70"/>
      <c r="M190" s="70"/>
      <c r="N190" s="70"/>
      <c r="O190" s="70"/>
      <c r="P190" s="70"/>
      <c r="Q190" s="70"/>
      <c r="R190" s="71">
        <v>38656</v>
      </c>
      <c r="S190" s="4"/>
      <c r="T190" s="4"/>
      <c r="U190" s="4"/>
      <c r="V190" s="5"/>
    </row>
    <row r="191" spans="1:22" ht="15.6" x14ac:dyDescent="0.3">
      <c r="A191" s="72"/>
      <c r="B191" s="73"/>
      <c r="C191" s="74"/>
      <c r="D191" s="74"/>
      <c r="E191" s="74"/>
      <c r="F191" s="74"/>
      <c r="G191" s="75"/>
      <c r="H191" s="75"/>
      <c r="I191" s="75"/>
      <c r="J191" s="75"/>
      <c r="K191" s="75"/>
      <c r="L191" s="75"/>
      <c r="M191" s="75"/>
      <c r="N191" s="75"/>
      <c r="O191" s="75"/>
      <c r="P191" s="75"/>
      <c r="Q191" s="75"/>
      <c r="R191" s="75"/>
      <c r="S191" s="8"/>
      <c r="T191" s="8"/>
      <c r="U191" s="8"/>
      <c r="V191" s="5"/>
    </row>
    <row r="192" spans="1:22" ht="15.6" x14ac:dyDescent="0.3">
      <c r="A192" s="76"/>
      <c r="B192" s="77" t="s">
        <v>75</v>
      </c>
      <c r="C192" s="78"/>
      <c r="D192" s="78"/>
      <c r="E192" s="78"/>
      <c r="F192" s="78"/>
      <c r="G192" s="64"/>
      <c r="H192" s="64"/>
      <c r="I192" s="64"/>
      <c r="J192" s="64"/>
      <c r="K192" s="64"/>
      <c r="L192" s="64"/>
      <c r="M192" s="64"/>
      <c r="N192" s="64"/>
      <c r="O192" s="64"/>
      <c r="P192" s="64"/>
      <c r="Q192" s="64"/>
      <c r="R192" s="79">
        <v>5.8209999999999998E-2</v>
      </c>
      <c r="S192" s="25"/>
      <c r="T192" s="25"/>
      <c r="U192" s="25"/>
      <c r="V192" s="5"/>
    </row>
    <row r="193" spans="1:22" ht="15.6" x14ac:dyDescent="0.3">
      <c r="A193" s="76"/>
      <c r="B193" s="77" t="s">
        <v>164</v>
      </c>
      <c r="C193" s="78"/>
      <c r="D193" s="78"/>
      <c r="E193" s="78"/>
      <c r="F193" s="78"/>
      <c r="G193" s="64"/>
      <c r="H193" s="64"/>
      <c r="I193" s="64"/>
      <c r="J193" s="64"/>
      <c r="K193" s="64"/>
      <c r="L193" s="64"/>
      <c r="M193" s="64"/>
      <c r="N193" s="64"/>
      <c r="O193" s="64"/>
      <c r="P193" s="64"/>
      <c r="Q193" s="64"/>
      <c r="R193" s="39">
        <f>+T41</f>
        <v>4.8438496428571419E-2</v>
      </c>
      <c r="S193" s="25"/>
      <c r="T193" s="25"/>
      <c r="U193" s="25"/>
      <c r="V193" s="5"/>
    </row>
    <row r="194" spans="1:22" ht="15.6" x14ac:dyDescent="0.3">
      <c r="A194" s="76"/>
      <c r="B194" s="77" t="s">
        <v>76</v>
      </c>
      <c r="C194" s="78"/>
      <c r="D194" s="78"/>
      <c r="E194" s="78"/>
      <c r="F194" s="78"/>
      <c r="G194" s="64"/>
      <c r="H194" s="64"/>
      <c r="I194" s="64"/>
      <c r="J194" s="64"/>
      <c r="K194" s="64"/>
      <c r="L194" s="64"/>
      <c r="M194" s="64"/>
      <c r="N194" s="64"/>
      <c r="O194" s="64"/>
      <c r="P194" s="64"/>
      <c r="Q194" s="64"/>
      <c r="R194" s="79">
        <f>R192-R193</f>
        <v>9.7715035714285789E-3</v>
      </c>
      <c r="S194" s="25"/>
      <c r="T194" s="25"/>
      <c r="U194" s="25"/>
      <c r="V194" s="5"/>
    </row>
    <row r="195" spans="1:22" ht="15.6" x14ac:dyDescent="0.3">
      <c r="A195" s="76"/>
      <c r="B195" s="77" t="s">
        <v>77</v>
      </c>
      <c r="C195" s="78"/>
      <c r="D195" s="78"/>
      <c r="E195" s="78"/>
      <c r="F195" s="78"/>
      <c r="G195" s="64"/>
      <c r="H195" s="64"/>
      <c r="I195" s="64"/>
      <c r="J195" s="64"/>
      <c r="K195" s="64"/>
      <c r="L195" s="64"/>
      <c r="M195" s="64"/>
      <c r="N195" s="64"/>
      <c r="O195" s="64"/>
      <c r="P195" s="64"/>
      <c r="Q195" s="64"/>
      <c r="R195" s="79">
        <v>5.7169999999999999E-2</v>
      </c>
      <c r="S195" s="25"/>
      <c r="T195" s="25"/>
      <c r="U195" s="25"/>
      <c r="V195" s="5"/>
    </row>
    <row r="196" spans="1:22" ht="15.6" x14ac:dyDescent="0.3">
      <c r="A196" s="76"/>
      <c r="B196" s="77" t="s">
        <v>164</v>
      </c>
      <c r="C196" s="78"/>
      <c r="D196" s="78"/>
      <c r="E196" s="78"/>
      <c r="F196" s="78"/>
      <c r="G196" s="64"/>
      <c r="H196" s="64"/>
      <c r="I196" s="64"/>
      <c r="J196" s="64"/>
      <c r="K196" s="64"/>
      <c r="L196" s="64"/>
      <c r="M196" s="64"/>
      <c r="N196" s="64"/>
      <c r="O196" s="64"/>
      <c r="P196" s="64"/>
      <c r="Q196" s="64"/>
      <c r="R196" s="79">
        <f>+T41</f>
        <v>4.8438496428571419E-2</v>
      </c>
      <c r="S196" s="25"/>
      <c r="T196" s="25"/>
      <c r="U196" s="25"/>
      <c r="V196" s="5"/>
    </row>
    <row r="197" spans="1:22" ht="15.6" x14ac:dyDescent="0.3">
      <c r="A197" s="76"/>
      <c r="B197" s="77" t="s">
        <v>78</v>
      </c>
      <c r="C197" s="78"/>
      <c r="D197" s="78"/>
      <c r="E197" s="78"/>
      <c r="F197" s="78"/>
      <c r="G197" s="64"/>
      <c r="H197" s="64"/>
      <c r="I197" s="64"/>
      <c r="J197" s="64"/>
      <c r="K197" s="64"/>
      <c r="L197" s="64"/>
      <c r="M197" s="64"/>
      <c r="N197" s="64"/>
      <c r="O197" s="64"/>
      <c r="P197" s="64"/>
      <c r="Q197" s="64"/>
      <c r="R197" s="79">
        <f>R195-R196</f>
        <v>8.7315035714285796E-3</v>
      </c>
      <c r="S197" s="25"/>
      <c r="T197" s="25"/>
      <c r="U197" s="25"/>
      <c r="V197" s="5"/>
    </row>
    <row r="198" spans="1:22" ht="15.6" x14ac:dyDescent="0.3">
      <c r="A198" s="76"/>
      <c r="B198" s="77" t="s">
        <v>268</v>
      </c>
      <c r="C198" s="78"/>
      <c r="D198" s="78"/>
      <c r="E198" s="78"/>
      <c r="F198" s="78"/>
      <c r="G198" s="64"/>
      <c r="H198" s="64"/>
      <c r="I198" s="64"/>
      <c r="J198" s="64"/>
      <c r="K198" s="64"/>
      <c r="L198" s="64"/>
      <c r="M198" s="64"/>
      <c r="N198" s="64"/>
      <c r="O198" s="64"/>
      <c r="P198" s="64"/>
      <c r="Q198" s="64"/>
      <c r="R198" s="79">
        <f>(+T94+T96)/L69</f>
        <v>1.751142857142857E-2</v>
      </c>
      <c r="S198" s="25"/>
      <c r="T198" s="25"/>
      <c r="U198" s="25"/>
      <c r="V198" s="5"/>
    </row>
    <row r="199" spans="1:22" ht="15.6" x14ac:dyDescent="0.3">
      <c r="A199" s="76"/>
      <c r="B199" s="77" t="s">
        <v>249</v>
      </c>
      <c r="C199" s="78"/>
      <c r="D199" s="78"/>
      <c r="E199" s="78"/>
      <c r="F199" s="78"/>
      <c r="G199" s="64"/>
      <c r="H199" s="64"/>
      <c r="I199" s="64"/>
      <c r="J199" s="64"/>
      <c r="K199" s="64"/>
      <c r="L199" s="64"/>
      <c r="M199" s="64"/>
      <c r="N199" s="64"/>
      <c r="O199" s="64"/>
      <c r="P199" s="64"/>
      <c r="Q199" s="64"/>
      <c r="R199" s="132">
        <v>51622</v>
      </c>
      <c r="S199" s="25"/>
      <c r="T199" s="25"/>
      <c r="U199" s="25"/>
      <c r="V199" s="5"/>
    </row>
    <row r="200" spans="1:22" ht="15.6" x14ac:dyDescent="0.3">
      <c r="A200" s="76"/>
      <c r="B200" s="77" t="s">
        <v>250</v>
      </c>
      <c r="C200" s="78"/>
      <c r="D200" s="78"/>
      <c r="E200" s="78"/>
      <c r="F200" s="78"/>
      <c r="G200" s="64"/>
      <c r="H200" s="64"/>
      <c r="I200" s="64"/>
      <c r="J200" s="64"/>
      <c r="K200" s="64"/>
      <c r="L200" s="64"/>
      <c r="M200" s="64"/>
      <c r="N200" s="64"/>
      <c r="O200" s="64"/>
      <c r="P200" s="64"/>
      <c r="Q200" s="64"/>
      <c r="R200" s="132">
        <v>51622</v>
      </c>
      <c r="S200" s="25"/>
      <c r="T200" s="25"/>
      <c r="U200" s="25"/>
      <c r="V200" s="5"/>
    </row>
    <row r="201" spans="1:22" ht="15.6" x14ac:dyDescent="0.3">
      <c r="A201" s="76"/>
      <c r="B201" s="77" t="s">
        <v>251</v>
      </c>
      <c r="C201" s="78"/>
      <c r="D201" s="78"/>
      <c r="E201" s="78"/>
      <c r="F201" s="78"/>
      <c r="G201" s="64"/>
      <c r="H201" s="64"/>
      <c r="I201" s="64"/>
      <c r="J201" s="64"/>
      <c r="K201" s="64"/>
      <c r="L201" s="64"/>
      <c r="M201" s="64"/>
      <c r="N201" s="64"/>
      <c r="O201" s="64"/>
      <c r="P201" s="64"/>
      <c r="Q201" s="64"/>
      <c r="R201" s="132">
        <v>51622</v>
      </c>
      <c r="S201" s="25"/>
      <c r="T201" s="25"/>
      <c r="U201" s="25"/>
      <c r="V201" s="5"/>
    </row>
    <row r="202" spans="1:22" ht="15.6" x14ac:dyDescent="0.3">
      <c r="A202" s="76"/>
      <c r="B202" s="77" t="s">
        <v>79</v>
      </c>
      <c r="C202" s="78"/>
      <c r="D202" s="78"/>
      <c r="E202" s="78"/>
      <c r="F202" s="78"/>
      <c r="G202" s="64"/>
      <c r="H202" s="64"/>
      <c r="I202" s="64"/>
      <c r="J202" s="64"/>
      <c r="K202" s="64"/>
      <c r="L202" s="64"/>
      <c r="M202" s="64"/>
      <c r="N202" s="64"/>
      <c r="O202" s="64"/>
      <c r="P202" s="64"/>
      <c r="Q202" s="64"/>
      <c r="R202" s="136">
        <v>20.95</v>
      </c>
      <c r="S202" s="25" t="s">
        <v>119</v>
      </c>
      <c r="T202" s="25"/>
      <c r="U202" s="25"/>
      <c r="V202" s="5"/>
    </row>
    <row r="203" spans="1:22" ht="15.6" x14ac:dyDescent="0.3">
      <c r="A203" s="76"/>
      <c r="B203" s="77" t="s">
        <v>80</v>
      </c>
      <c r="C203" s="78"/>
      <c r="D203" s="78"/>
      <c r="E203" s="78"/>
      <c r="F203" s="78"/>
      <c r="G203" s="64"/>
      <c r="H203" s="64"/>
      <c r="I203" s="64"/>
      <c r="J203" s="64"/>
      <c r="K203" s="64"/>
      <c r="L203" s="64"/>
      <c r="M203" s="64"/>
      <c r="N203" s="64"/>
      <c r="O203" s="64"/>
      <c r="P203" s="64"/>
      <c r="Q203" s="64"/>
      <c r="R203" s="136">
        <v>20.7</v>
      </c>
      <c r="S203" s="25" t="s">
        <v>119</v>
      </c>
      <c r="T203" s="25"/>
      <c r="U203" s="25"/>
      <c r="V203" s="5"/>
    </row>
    <row r="204" spans="1:22" ht="15.6" x14ac:dyDescent="0.3">
      <c r="A204" s="76"/>
      <c r="B204" s="77" t="s">
        <v>81</v>
      </c>
      <c r="C204" s="78"/>
      <c r="D204" s="78"/>
      <c r="E204" s="78"/>
      <c r="F204" s="78"/>
      <c r="G204" s="64"/>
      <c r="H204" s="64"/>
      <c r="I204" s="64"/>
      <c r="J204" s="64"/>
      <c r="K204" s="64"/>
      <c r="L204" s="64"/>
      <c r="M204" s="64"/>
      <c r="N204" s="64"/>
      <c r="O204" s="64"/>
      <c r="P204" s="64"/>
      <c r="Q204" s="64"/>
      <c r="R204" s="79">
        <f>+N66/L66</f>
        <v>3.7482248934936097E-2</v>
      </c>
      <c r="S204" s="25"/>
      <c r="T204" s="25"/>
      <c r="U204" s="25"/>
      <c r="V204" s="5"/>
    </row>
    <row r="205" spans="1:22" ht="15.6" x14ac:dyDescent="0.3">
      <c r="A205" s="76"/>
      <c r="B205" s="77" t="s">
        <v>82</v>
      </c>
      <c r="C205" s="78"/>
      <c r="D205" s="78"/>
      <c r="E205" s="78"/>
      <c r="F205" s="78"/>
      <c r="G205" s="64"/>
      <c r="H205" s="64"/>
      <c r="I205" s="64"/>
      <c r="J205" s="64"/>
      <c r="K205" s="64"/>
      <c r="L205" s="64"/>
      <c r="M205" s="64"/>
      <c r="N205" s="64"/>
      <c r="O205" s="64"/>
      <c r="P205" s="64"/>
      <c r="Q205" s="64"/>
      <c r="R205" s="79">
        <v>0.1118</v>
      </c>
      <c r="S205" s="25"/>
      <c r="T205" s="25"/>
      <c r="U205" s="25"/>
      <c r="V205" s="5"/>
    </row>
    <row r="206" spans="1:22" ht="15.6" x14ac:dyDescent="0.3">
      <c r="A206" s="76"/>
      <c r="B206" s="77"/>
      <c r="C206" s="77"/>
      <c r="D206" s="77"/>
      <c r="E206" s="77"/>
      <c r="F206" s="77"/>
      <c r="G206" s="25"/>
      <c r="H206" s="25"/>
      <c r="I206" s="25"/>
      <c r="J206" s="25"/>
      <c r="K206" s="25"/>
      <c r="L206" s="25"/>
      <c r="M206" s="25"/>
      <c r="N206" s="25"/>
      <c r="O206" s="25"/>
      <c r="P206" s="25"/>
      <c r="Q206" s="25"/>
      <c r="R206" s="61"/>
      <c r="S206" s="25"/>
      <c r="T206" s="80"/>
      <c r="U206" s="25"/>
      <c r="V206" s="5"/>
    </row>
    <row r="207" spans="1:22" ht="15.6" x14ac:dyDescent="0.3">
      <c r="A207" s="81"/>
      <c r="B207" s="14" t="s">
        <v>83</v>
      </c>
      <c r="C207" s="82"/>
      <c r="D207" s="82"/>
      <c r="E207" s="82"/>
      <c r="F207" s="83"/>
      <c r="G207" s="82"/>
      <c r="H207" s="17"/>
      <c r="I207" s="17"/>
      <c r="J207" s="17"/>
      <c r="K207" s="17"/>
      <c r="L207" s="17"/>
      <c r="M207" s="17"/>
      <c r="N207" s="17"/>
      <c r="O207" s="17"/>
      <c r="P207" s="17"/>
      <c r="Q207" s="17" t="s">
        <v>108</v>
      </c>
      <c r="R207" s="84" t="s">
        <v>115</v>
      </c>
      <c r="S207" s="8"/>
      <c r="T207" s="8"/>
      <c r="U207" s="8"/>
      <c r="V207" s="5"/>
    </row>
    <row r="208" spans="1:22" ht="15.6" x14ac:dyDescent="0.3">
      <c r="A208" s="85"/>
      <c r="B208" s="77" t="s">
        <v>84</v>
      </c>
      <c r="C208" s="54"/>
      <c r="D208" s="54"/>
      <c r="E208" s="54"/>
      <c r="F208" s="25"/>
      <c r="G208" s="25"/>
      <c r="H208" s="30"/>
      <c r="I208" s="30"/>
      <c r="J208" s="30"/>
      <c r="K208" s="30"/>
      <c r="L208" s="30"/>
      <c r="M208" s="30"/>
      <c r="N208" s="30"/>
      <c r="O208" s="30"/>
      <c r="P208" s="30"/>
      <c r="Q208" s="30">
        <v>0</v>
      </c>
      <c r="R208" s="86">
        <v>0</v>
      </c>
      <c r="S208" s="25"/>
      <c r="T208" s="80"/>
      <c r="U208" s="87"/>
      <c r="V208" s="5"/>
    </row>
    <row r="209" spans="1:22" ht="15.6" x14ac:dyDescent="0.3">
      <c r="A209" s="85"/>
      <c r="B209" s="77" t="s">
        <v>156</v>
      </c>
      <c r="C209" s="54"/>
      <c r="D209" s="54"/>
      <c r="E209" s="54"/>
      <c r="F209" s="25"/>
      <c r="G209" s="25"/>
      <c r="H209" s="30"/>
      <c r="I209" s="30"/>
      <c r="J209" s="30"/>
      <c r="K209" s="30"/>
      <c r="L209" s="30"/>
      <c r="M209" s="30"/>
      <c r="N209" s="30"/>
      <c r="O209" s="30"/>
      <c r="P209" s="30"/>
      <c r="Q209" s="156">
        <f>+P245</f>
        <v>8</v>
      </c>
      <c r="R209" s="86">
        <f>+R245</f>
        <v>1024</v>
      </c>
      <c r="S209" s="25"/>
      <c r="T209" s="80"/>
      <c r="U209" s="87"/>
      <c r="V209" s="5"/>
    </row>
    <row r="210" spans="1:22" ht="15.6" x14ac:dyDescent="0.3">
      <c r="A210" s="85"/>
      <c r="B210" s="77" t="s">
        <v>85</v>
      </c>
      <c r="C210" s="54"/>
      <c r="D210" s="54"/>
      <c r="E210" s="54"/>
      <c r="F210" s="25"/>
      <c r="G210" s="25"/>
      <c r="H210" s="30"/>
      <c r="I210" s="30"/>
      <c r="J210" s="30"/>
      <c r="K210" s="30"/>
      <c r="L210" s="30"/>
      <c r="M210" s="30"/>
      <c r="N210" s="30"/>
      <c r="O210" s="30"/>
      <c r="P210" s="30"/>
      <c r="Q210" s="30">
        <v>0</v>
      </c>
      <c r="R210" s="86">
        <v>0</v>
      </c>
      <c r="S210" s="25"/>
      <c r="T210" s="80"/>
      <c r="U210" s="87"/>
      <c r="V210" s="5"/>
    </row>
    <row r="211" spans="1:22" ht="15.6" x14ac:dyDescent="0.3">
      <c r="A211" s="85"/>
      <c r="B211" s="123" t="s">
        <v>86</v>
      </c>
      <c r="C211" s="54"/>
      <c r="D211" s="54"/>
      <c r="E211" s="54"/>
      <c r="F211" s="25"/>
      <c r="G211" s="25"/>
      <c r="H211" s="25"/>
      <c r="I211" s="25"/>
      <c r="J211" s="25"/>
      <c r="K211" s="25"/>
      <c r="L211" s="25"/>
      <c r="M211" s="25"/>
      <c r="N211" s="25"/>
      <c r="O211" s="25"/>
      <c r="P211" s="25"/>
      <c r="Q211" s="25"/>
      <c r="R211" s="86">
        <v>0</v>
      </c>
      <c r="S211" s="25"/>
      <c r="T211" s="80"/>
      <c r="U211" s="87"/>
      <c r="V211" s="5"/>
    </row>
    <row r="212" spans="1:22" ht="15.6" x14ac:dyDescent="0.3">
      <c r="A212" s="85"/>
      <c r="B212" s="123" t="s">
        <v>87</v>
      </c>
      <c r="C212" s="54"/>
      <c r="D212" s="54"/>
      <c r="E212" s="54"/>
      <c r="F212" s="25"/>
      <c r="G212" s="25"/>
      <c r="H212" s="25"/>
      <c r="I212" s="25"/>
      <c r="J212" s="25"/>
      <c r="K212" s="25"/>
      <c r="L212" s="25"/>
      <c r="M212" s="25"/>
      <c r="N212" s="25"/>
      <c r="O212" s="25"/>
      <c r="P212" s="25"/>
      <c r="Q212" s="25"/>
      <c r="R212" s="62" t="s">
        <v>116</v>
      </c>
      <c r="S212" s="25"/>
      <c r="T212" s="80"/>
      <c r="U212" s="87"/>
      <c r="V212" s="5"/>
    </row>
    <row r="213" spans="1:22" ht="15.6" x14ac:dyDescent="0.3">
      <c r="A213" s="88"/>
      <c r="B213" s="123" t="s">
        <v>88</v>
      </c>
      <c r="C213" s="77"/>
      <c r="D213" s="77"/>
      <c r="E213" s="77"/>
      <c r="F213" s="77"/>
      <c r="G213" s="25"/>
      <c r="H213" s="25"/>
      <c r="I213" s="25"/>
      <c r="J213" s="25"/>
      <c r="K213" s="25"/>
      <c r="L213" s="25"/>
      <c r="M213" s="25"/>
      <c r="N213" s="25"/>
      <c r="O213" s="25"/>
      <c r="P213" s="25"/>
      <c r="Q213" s="25"/>
      <c r="R213" s="86"/>
      <c r="S213" s="25"/>
      <c r="T213" s="80"/>
      <c r="U213" s="89"/>
      <c r="V213" s="5"/>
    </row>
    <row r="214" spans="1:22" ht="15.6" x14ac:dyDescent="0.3">
      <c r="A214" s="88"/>
      <c r="B214" s="134" t="s">
        <v>89</v>
      </c>
      <c r="C214" s="77"/>
      <c r="D214" s="77"/>
      <c r="E214" s="77"/>
      <c r="F214" s="77"/>
      <c r="G214" s="25"/>
      <c r="H214" s="25"/>
      <c r="I214" s="25"/>
      <c r="J214" s="25"/>
      <c r="K214" s="25"/>
      <c r="L214" s="25"/>
      <c r="M214" s="25"/>
      <c r="N214" s="25"/>
      <c r="O214" s="25"/>
      <c r="P214" s="25"/>
      <c r="Q214" s="25">
        <v>0</v>
      </c>
      <c r="R214" s="86">
        <f>T159</f>
        <v>0</v>
      </c>
      <c r="S214" s="25"/>
      <c r="T214" s="80"/>
      <c r="U214" s="89"/>
      <c r="V214" s="5"/>
    </row>
    <row r="215" spans="1:22" ht="15.6" x14ac:dyDescent="0.3">
      <c r="A215" s="85"/>
      <c r="B215" s="77" t="s">
        <v>90</v>
      </c>
      <c r="C215" s="54"/>
      <c r="D215" s="54"/>
      <c r="E215" s="54"/>
      <c r="F215" s="54"/>
      <c r="G215" s="25"/>
      <c r="H215" s="25"/>
      <c r="I215" s="25"/>
      <c r="J215" s="25"/>
      <c r="K215" s="25"/>
      <c r="L215" s="25"/>
      <c r="M215" s="25"/>
      <c r="N215" s="25"/>
      <c r="O215" s="25"/>
      <c r="P215" s="25"/>
      <c r="Q215" s="25">
        <v>0</v>
      </c>
      <c r="R215" s="86">
        <f>+R214</f>
        <v>0</v>
      </c>
      <c r="S215" s="25"/>
      <c r="T215" s="80"/>
      <c r="U215" s="89"/>
      <c r="V215" s="5"/>
    </row>
    <row r="216" spans="1:22" ht="15.6" x14ac:dyDescent="0.3">
      <c r="A216" s="88"/>
      <c r="B216" s="123" t="s">
        <v>91</v>
      </c>
      <c r="C216" s="77"/>
      <c r="D216" s="77"/>
      <c r="E216" s="77"/>
      <c r="F216" s="77"/>
      <c r="G216" s="25"/>
      <c r="H216" s="25"/>
      <c r="I216" s="25"/>
      <c r="J216" s="25"/>
      <c r="K216" s="25"/>
      <c r="L216" s="25"/>
      <c r="M216" s="25"/>
      <c r="N216" s="25"/>
      <c r="O216" s="25"/>
      <c r="P216" s="25"/>
      <c r="Q216" s="25"/>
      <c r="R216" s="86"/>
      <c r="S216" s="25"/>
      <c r="T216" s="80"/>
      <c r="U216" s="89"/>
      <c r="V216" s="5"/>
    </row>
    <row r="217" spans="1:22" ht="15.6" x14ac:dyDescent="0.3">
      <c r="A217" s="88"/>
      <c r="B217" s="77" t="s">
        <v>286</v>
      </c>
      <c r="C217" s="77"/>
      <c r="D217" s="77"/>
      <c r="E217" s="77"/>
      <c r="F217" s="77"/>
      <c r="G217" s="25"/>
      <c r="H217" s="25"/>
      <c r="I217" s="25"/>
      <c r="J217" s="25"/>
      <c r="K217" s="25"/>
      <c r="L217" s="25"/>
      <c r="M217" s="25"/>
      <c r="N217" s="25"/>
      <c r="O217" s="25"/>
      <c r="P217" s="25"/>
      <c r="Q217" s="25">
        <v>0</v>
      </c>
      <c r="R217" s="86">
        <v>0</v>
      </c>
      <c r="S217" s="25"/>
      <c r="T217" s="80"/>
      <c r="U217" s="89"/>
      <c r="V217" s="5"/>
    </row>
    <row r="218" spans="1:22" ht="15.6" x14ac:dyDescent="0.3">
      <c r="A218" s="85"/>
      <c r="B218" s="77" t="s">
        <v>92</v>
      </c>
      <c r="C218" s="90"/>
      <c r="D218" s="90"/>
      <c r="E218" s="90"/>
      <c r="F218" s="91"/>
      <c r="G218" s="25"/>
      <c r="H218" s="25"/>
      <c r="I218" s="25"/>
      <c r="J218" s="25"/>
      <c r="K218" s="25"/>
      <c r="L218" s="25"/>
      <c r="M218" s="25"/>
      <c r="N218" s="25"/>
      <c r="O218" s="25"/>
      <c r="P218" s="25"/>
      <c r="Q218" s="25"/>
      <c r="R218" s="62">
        <v>0</v>
      </c>
      <c r="S218" s="25"/>
      <c r="T218" s="80"/>
      <c r="U218" s="89"/>
      <c r="V218" s="5"/>
    </row>
    <row r="219" spans="1:22" ht="15.6" x14ac:dyDescent="0.3">
      <c r="A219" s="85"/>
      <c r="B219" s="77" t="s">
        <v>93</v>
      </c>
      <c r="C219" s="90"/>
      <c r="D219" s="90"/>
      <c r="E219" s="90"/>
      <c r="F219" s="91"/>
      <c r="G219" s="25"/>
      <c r="H219" s="25"/>
      <c r="I219" s="25"/>
      <c r="J219" s="25"/>
      <c r="K219" s="25"/>
      <c r="L219" s="25"/>
      <c r="M219" s="25"/>
      <c r="N219" s="25"/>
      <c r="O219" s="25"/>
      <c r="P219" s="25"/>
      <c r="Q219" s="25"/>
      <c r="R219" s="62">
        <v>0</v>
      </c>
      <c r="S219" s="25"/>
      <c r="T219" s="80"/>
      <c r="U219" s="89"/>
      <c r="V219" s="5"/>
    </row>
    <row r="220" spans="1:22" ht="15.6" x14ac:dyDescent="0.3">
      <c r="A220" s="85"/>
      <c r="B220" s="77"/>
      <c r="C220" s="90"/>
      <c r="D220" s="90"/>
      <c r="E220" s="90"/>
      <c r="F220" s="91"/>
      <c r="G220" s="25"/>
      <c r="H220" s="25"/>
      <c r="I220" s="25"/>
      <c r="J220" s="25"/>
      <c r="K220" s="25"/>
      <c r="L220" s="25"/>
      <c r="M220" s="25"/>
      <c r="N220" s="25"/>
      <c r="O220" s="25"/>
      <c r="P220" s="25"/>
      <c r="Q220" s="25"/>
      <c r="R220" s="92"/>
      <c r="S220" s="25"/>
      <c r="T220" s="80"/>
      <c r="U220" s="89"/>
      <c r="V220" s="5"/>
    </row>
    <row r="221" spans="1:22" ht="17.399999999999999" x14ac:dyDescent="0.3">
      <c r="A221" s="85"/>
      <c r="B221" s="153" t="s">
        <v>208</v>
      </c>
      <c r="C221" s="90"/>
      <c r="D221" s="90"/>
      <c r="E221" s="90"/>
      <c r="F221" s="91"/>
      <c r="G221" s="25"/>
      <c r="H221" s="25"/>
      <c r="I221" s="25"/>
      <c r="J221" s="25"/>
      <c r="K221" s="25"/>
      <c r="L221" s="25"/>
      <c r="M221" s="25"/>
      <c r="N221" s="154" t="s">
        <v>207</v>
      </c>
      <c r="O221" s="25"/>
      <c r="P221" s="25"/>
      <c r="Q221" s="25"/>
      <c r="R221" s="92"/>
      <c r="S221" s="25"/>
      <c r="T221" s="80"/>
      <c r="U221" s="89"/>
      <c r="V221" s="5"/>
    </row>
    <row r="222" spans="1:22" ht="15.6" x14ac:dyDescent="0.3">
      <c r="A222" s="85"/>
      <c r="B222" s="77"/>
      <c r="C222" s="90"/>
      <c r="D222" s="90"/>
      <c r="E222" s="90"/>
      <c r="F222" s="91"/>
      <c r="G222" s="25"/>
      <c r="H222" s="25"/>
      <c r="I222" s="25"/>
      <c r="J222" s="25"/>
      <c r="K222" s="25"/>
      <c r="L222" s="25"/>
      <c r="M222" s="25"/>
      <c r="N222" s="25"/>
      <c r="O222" s="25"/>
      <c r="P222" s="25"/>
      <c r="Q222" s="25"/>
      <c r="R222" s="92"/>
      <c r="S222" s="25"/>
      <c r="T222" s="80"/>
      <c r="U222" s="89"/>
      <c r="V222" s="5"/>
    </row>
    <row r="223" spans="1:22" ht="15.6" x14ac:dyDescent="0.3">
      <c r="A223" s="6"/>
      <c r="B223" s="14" t="s">
        <v>177</v>
      </c>
      <c r="C223" s="82"/>
      <c r="D223" s="82"/>
      <c r="E223" s="82"/>
      <c r="F223" s="83"/>
      <c r="G223" s="82"/>
      <c r="H223" s="17"/>
      <c r="I223" s="17"/>
      <c r="J223" s="17"/>
      <c r="K223" s="17"/>
      <c r="L223" s="17"/>
      <c r="M223" s="17"/>
      <c r="N223" s="17"/>
      <c r="O223" s="17"/>
      <c r="P223" s="84" t="s">
        <v>108</v>
      </c>
      <c r="Q223" s="17" t="s">
        <v>109</v>
      </c>
      <c r="R223" s="84" t="s">
        <v>117</v>
      </c>
      <c r="S223" s="17" t="s">
        <v>109</v>
      </c>
      <c r="T223" s="8"/>
      <c r="U223" s="93"/>
      <c r="V223" s="5"/>
    </row>
    <row r="224" spans="1:22" ht="15.6" x14ac:dyDescent="0.3">
      <c r="A224" s="24"/>
      <c r="B224" s="54" t="s">
        <v>94</v>
      </c>
      <c r="C224" s="94"/>
      <c r="D224" s="94"/>
      <c r="E224" s="94"/>
      <c r="F224" s="25"/>
      <c r="G224" s="94"/>
      <c r="H224" s="94"/>
      <c r="I224" s="94"/>
      <c r="J224" s="94"/>
      <c r="K224" s="94"/>
      <c r="L224" s="94"/>
      <c r="M224" s="94"/>
      <c r="N224" s="94"/>
      <c r="O224" s="94"/>
      <c r="P224" s="54">
        <v>6235</v>
      </c>
      <c r="Q224" s="95">
        <f t="shared" ref="Q224:Q231" si="1">P224/$P$233</f>
        <v>0.99473516273133378</v>
      </c>
      <c r="R224" s="53">
        <v>674040</v>
      </c>
      <c r="S224" s="135">
        <f t="shared" ref="S224:S231" si="2">R224/$R$233</f>
        <v>0.99219246802797989</v>
      </c>
      <c r="T224" s="80"/>
      <c r="U224" s="89"/>
      <c r="V224" s="5"/>
    </row>
    <row r="225" spans="1:23" ht="15.6" x14ac:dyDescent="0.3">
      <c r="A225" s="24"/>
      <c r="B225" s="54" t="s">
        <v>95</v>
      </c>
      <c r="C225" s="94"/>
      <c r="D225" s="94"/>
      <c r="E225" s="94"/>
      <c r="F225" s="25"/>
      <c r="G225" s="95"/>
      <c r="H225" s="94"/>
      <c r="I225" s="94"/>
      <c r="J225" s="94"/>
      <c r="K225" s="94"/>
      <c r="L225" s="94"/>
      <c r="M225" s="94"/>
      <c r="N225" s="94"/>
      <c r="O225" s="94"/>
      <c r="P225" s="54">
        <v>20</v>
      </c>
      <c r="Q225" s="95">
        <f t="shared" si="1"/>
        <v>3.1908104658583281E-3</v>
      </c>
      <c r="R225" s="53">
        <v>3291</v>
      </c>
      <c r="S225" s="135">
        <f t="shared" si="2"/>
        <v>4.844379283544125E-3</v>
      </c>
      <c r="T225" s="80"/>
      <c r="U225" s="89"/>
      <c r="V225" s="5"/>
      <c r="W225" s="110"/>
    </row>
    <row r="226" spans="1:23" ht="15.6" x14ac:dyDescent="0.3">
      <c r="A226" s="24"/>
      <c r="B226" s="54" t="s">
        <v>96</v>
      </c>
      <c r="C226" s="94"/>
      <c r="D226" s="94"/>
      <c r="E226" s="94"/>
      <c r="F226" s="25"/>
      <c r="G226" s="95"/>
      <c r="H226" s="94"/>
      <c r="I226" s="94"/>
      <c r="J226" s="94"/>
      <c r="K226" s="94"/>
      <c r="L226" s="94"/>
      <c r="M226" s="94"/>
      <c r="N226" s="94"/>
      <c r="O226" s="94"/>
      <c r="P226" s="54">
        <v>7</v>
      </c>
      <c r="Q226" s="95">
        <f t="shared" si="1"/>
        <v>1.1167836630504148E-3</v>
      </c>
      <c r="R226" s="53">
        <v>1232</v>
      </c>
      <c r="S226" s="135">
        <f t="shared" si="2"/>
        <v>1.8135142137120515E-3</v>
      </c>
      <c r="T226" s="80"/>
      <c r="U226" s="89"/>
      <c r="V226" s="5"/>
    </row>
    <row r="227" spans="1:23" ht="15.6" x14ac:dyDescent="0.3">
      <c r="A227" s="24"/>
      <c r="B227" s="54" t="s">
        <v>171</v>
      </c>
      <c r="C227" s="94"/>
      <c r="D227" s="94"/>
      <c r="E227" s="94"/>
      <c r="F227" s="25"/>
      <c r="G227" s="95"/>
      <c r="H227" s="94"/>
      <c r="I227" s="94"/>
      <c r="J227" s="94"/>
      <c r="K227" s="94"/>
      <c r="L227" s="94"/>
      <c r="M227" s="94"/>
      <c r="N227" s="94"/>
      <c r="O227" s="94"/>
      <c r="P227" s="54">
        <v>5</v>
      </c>
      <c r="Q227" s="95">
        <f t="shared" si="1"/>
        <v>7.9770261646458203E-4</v>
      </c>
      <c r="R227" s="53">
        <v>665</v>
      </c>
      <c r="S227" s="135">
        <f t="shared" si="2"/>
        <v>9.7888551308320968E-4</v>
      </c>
      <c r="T227" s="80"/>
      <c r="U227" s="89"/>
      <c r="V227" s="5"/>
      <c r="W227" s="110"/>
    </row>
    <row r="228" spans="1:23" ht="15.6" x14ac:dyDescent="0.3">
      <c r="A228" s="24"/>
      <c r="B228" s="54" t="s">
        <v>172</v>
      </c>
      <c r="C228" s="94"/>
      <c r="D228" s="94"/>
      <c r="E228" s="94"/>
      <c r="F228" s="25"/>
      <c r="G228" s="95"/>
      <c r="H228" s="94"/>
      <c r="I228" s="94"/>
      <c r="J228" s="94"/>
      <c r="K228" s="94"/>
      <c r="L228" s="94"/>
      <c r="M228" s="94"/>
      <c r="N228" s="94"/>
      <c r="O228" s="94"/>
      <c r="P228" s="54">
        <v>0</v>
      </c>
      <c r="Q228" s="95">
        <f t="shared" si="1"/>
        <v>0</v>
      </c>
      <c r="R228" s="53">
        <v>0</v>
      </c>
      <c r="S228" s="135">
        <f t="shared" si="2"/>
        <v>0</v>
      </c>
      <c r="T228" s="80"/>
      <c r="U228" s="89"/>
      <c r="V228" s="5"/>
    </row>
    <row r="229" spans="1:23" ht="15.6" x14ac:dyDescent="0.3">
      <c r="A229" s="24"/>
      <c r="B229" s="54" t="s">
        <v>173</v>
      </c>
      <c r="C229" s="94"/>
      <c r="D229" s="94"/>
      <c r="E229" s="94"/>
      <c r="F229" s="25"/>
      <c r="G229" s="95"/>
      <c r="H229" s="94"/>
      <c r="I229" s="94"/>
      <c r="J229" s="94"/>
      <c r="K229" s="94"/>
      <c r="L229" s="94"/>
      <c r="M229" s="94"/>
      <c r="N229" s="94"/>
      <c r="O229" s="94"/>
      <c r="P229" s="54">
        <v>0</v>
      </c>
      <c r="Q229" s="95">
        <f t="shared" si="1"/>
        <v>0</v>
      </c>
      <c r="R229" s="53">
        <v>0</v>
      </c>
      <c r="S229" s="135">
        <f t="shared" si="2"/>
        <v>0</v>
      </c>
      <c r="T229" s="80"/>
      <c r="U229" s="89"/>
      <c r="V229" s="5"/>
      <c r="W229" s="110"/>
    </row>
    <row r="230" spans="1:23" ht="15.6" x14ac:dyDescent="0.3">
      <c r="A230" s="24"/>
      <c r="B230" s="54" t="s">
        <v>174</v>
      </c>
      <c r="C230" s="94"/>
      <c r="D230" s="94"/>
      <c r="E230" s="94"/>
      <c r="F230" s="25"/>
      <c r="G230" s="95"/>
      <c r="H230" s="94"/>
      <c r="I230" s="94"/>
      <c r="J230" s="94"/>
      <c r="K230" s="94"/>
      <c r="L230" s="94"/>
      <c r="M230" s="94"/>
      <c r="N230" s="94"/>
      <c r="O230" s="94"/>
      <c r="P230" s="54">
        <v>1</v>
      </c>
      <c r="Q230" s="95">
        <f t="shared" si="1"/>
        <v>1.5954052329291641E-4</v>
      </c>
      <c r="R230" s="53">
        <v>116</v>
      </c>
      <c r="S230" s="135">
        <f t="shared" si="2"/>
        <v>1.7075296168068019E-4</v>
      </c>
      <c r="T230" s="80"/>
      <c r="U230" s="89"/>
      <c r="V230" s="5"/>
    </row>
    <row r="231" spans="1:23" ht="15.6" x14ac:dyDescent="0.3">
      <c r="A231" s="24"/>
      <c r="B231" s="54" t="s">
        <v>175</v>
      </c>
      <c r="C231" s="94"/>
      <c r="D231" s="94"/>
      <c r="E231" s="94"/>
      <c r="F231" s="25"/>
      <c r="G231" s="95"/>
      <c r="H231" s="94"/>
      <c r="I231" s="94"/>
      <c r="J231" s="94"/>
      <c r="K231" s="94"/>
      <c r="L231" s="94"/>
      <c r="M231" s="94"/>
      <c r="N231" s="94"/>
      <c r="O231" s="94"/>
      <c r="P231" s="54">
        <v>0</v>
      </c>
      <c r="Q231" s="95">
        <f t="shared" si="1"/>
        <v>0</v>
      </c>
      <c r="R231" s="53">
        <v>0</v>
      </c>
      <c r="S231" s="135">
        <f t="shared" si="2"/>
        <v>0</v>
      </c>
      <c r="T231" s="80"/>
      <c r="U231" s="89"/>
      <c r="V231" s="5"/>
      <c r="W231" s="110"/>
    </row>
    <row r="232" spans="1:23" ht="15.6" x14ac:dyDescent="0.3">
      <c r="A232" s="24"/>
      <c r="B232" s="54"/>
      <c r="C232" s="94"/>
      <c r="D232" s="94"/>
      <c r="E232" s="94"/>
      <c r="F232" s="25"/>
      <c r="G232" s="95"/>
      <c r="H232" s="94"/>
      <c r="I232" s="94"/>
      <c r="J232" s="94"/>
      <c r="K232" s="94"/>
      <c r="L232" s="94"/>
      <c r="M232" s="94"/>
      <c r="N232" s="94"/>
      <c r="O232" s="94"/>
      <c r="P232" s="54"/>
      <c r="Q232" s="95"/>
      <c r="R232" s="53"/>
      <c r="S232" s="135"/>
      <c r="T232" s="80"/>
      <c r="U232" s="89"/>
      <c r="V232" s="5"/>
    </row>
    <row r="233" spans="1:23" ht="15.6" x14ac:dyDescent="0.3">
      <c r="A233" s="24"/>
      <c r="B233" s="25"/>
      <c r="C233" s="25"/>
      <c r="D233" s="25"/>
      <c r="E233" s="25"/>
      <c r="F233" s="25"/>
      <c r="G233" s="25"/>
      <c r="H233" s="96"/>
      <c r="I233" s="96"/>
      <c r="J233" s="96"/>
      <c r="K233" s="96"/>
      <c r="L233" s="96"/>
      <c r="M233" s="96"/>
      <c r="N233" s="96"/>
      <c r="O233" s="96"/>
      <c r="P233" s="34">
        <f>SUM(P224:P232)</f>
        <v>6268</v>
      </c>
      <c r="Q233" s="135">
        <f>SUM(Q224:Q232)</f>
        <v>1</v>
      </c>
      <c r="R233" s="53">
        <f>SUM(R224:R232)</f>
        <v>679344</v>
      </c>
      <c r="S233" s="135">
        <f>SUM(S224:S232)</f>
        <v>0.99999999999999989</v>
      </c>
      <c r="T233" s="25"/>
      <c r="U233" s="25"/>
      <c r="V233" s="5"/>
    </row>
    <row r="234" spans="1:23" ht="15.6" x14ac:dyDescent="0.3">
      <c r="A234" s="24"/>
      <c r="B234" s="25"/>
      <c r="C234" s="25"/>
      <c r="D234" s="25"/>
      <c r="E234" s="25"/>
      <c r="F234" s="25"/>
      <c r="G234" s="25"/>
      <c r="H234" s="96"/>
      <c r="I234" s="96"/>
      <c r="J234" s="96"/>
      <c r="K234" s="96"/>
      <c r="L234" s="96"/>
      <c r="M234" s="96"/>
      <c r="N234" s="96"/>
      <c r="O234" s="96"/>
      <c r="P234" s="34"/>
      <c r="Q234" s="135"/>
      <c r="R234" s="53"/>
      <c r="S234" s="135"/>
      <c r="T234" s="25"/>
      <c r="U234" s="25"/>
      <c r="V234" s="5"/>
    </row>
    <row r="235" spans="1:23" ht="15.6" x14ac:dyDescent="0.3">
      <c r="A235" s="144"/>
      <c r="B235" s="14" t="s">
        <v>178</v>
      </c>
      <c r="C235" s="82"/>
      <c r="D235" s="82"/>
      <c r="E235" s="82"/>
      <c r="F235" s="83"/>
      <c r="G235" s="82"/>
      <c r="H235" s="17"/>
      <c r="I235" s="17"/>
      <c r="J235" s="17"/>
      <c r="K235" s="17"/>
      <c r="L235" s="17"/>
      <c r="M235" s="17"/>
      <c r="N235" s="17"/>
      <c r="O235" s="17"/>
      <c r="P235" s="84" t="s">
        <v>108</v>
      </c>
      <c r="Q235" s="17" t="s">
        <v>109</v>
      </c>
      <c r="R235" s="84" t="s">
        <v>117</v>
      </c>
      <c r="S235" s="17" t="s">
        <v>109</v>
      </c>
      <c r="T235" s="142"/>
      <c r="U235" s="143"/>
      <c r="V235" s="5"/>
    </row>
    <row r="236" spans="1:23" ht="15.6" x14ac:dyDescent="0.3">
      <c r="A236" s="24"/>
      <c r="B236" s="54" t="s">
        <v>94</v>
      </c>
      <c r="C236" s="94"/>
      <c r="D236" s="94"/>
      <c r="E236" s="94"/>
      <c r="F236" s="25"/>
      <c r="G236" s="94"/>
      <c r="H236" s="94"/>
      <c r="I236" s="94"/>
      <c r="J236" s="94"/>
      <c r="K236" s="94"/>
      <c r="L236" s="94"/>
      <c r="M236" s="94"/>
      <c r="N236" s="94"/>
      <c r="O236" s="94"/>
      <c r="P236" s="54">
        <v>4</v>
      </c>
      <c r="Q236" s="95">
        <f t="shared" ref="Q236:Q243" si="3">P236/$P$245</f>
        <v>0.5</v>
      </c>
      <c r="R236" s="53">
        <v>492</v>
      </c>
      <c r="S236" s="135">
        <f t="shared" ref="S236:S243" si="4">R236/$R$245</f>
        <v>0.48046875</v>
      </c>
      <c r="T236" s="25"/>
      <c r="U236" s="25"/>
      <c r="V236" s="5"/>
    </row>
    <row r="237" spans="1:23" ht="15.6" x14ac:dyDescent="0.3">
      <c r="A237" s="24"/>
      <c r="B237" s="54" t="s">
        <v>95</v>
      </c>
      <c r="C237" s="94"/>
      <c r="D237" s="94"/>
      <c r="E237" s="94"/>
      <c r="F237" s="25"/>
      <c r="G237" s="95"/>
      <c r="H237" s="94"/>
      <c r="I237" s="94"/>
      <c r="J237" s="94"/>
      <c r="K237" s="94"/>
      <c r="L237" s="94"/>
      <c r="M237" s="94"/>
      <c r="N237" s="94"/>
      <c r="O237" s="94"/>
      <c r="P237" s="54">
        <v>0</v>
      </c>
      <c r="Q237" s="95">
        <f t="shared" si="3"/>
        <v>0</v>
      </c>
      <c r="R237" s="53">
        <v>0</v>
      </c>
      <c r="S237" s="135">
        <f t="shared" si="4"/>
        <v>0</v>
      </c>
      <c r="T237" s="25"/>
      <c r="U237" s="25"/>
      <c r="V237" s="5"/>
    </row>
    <row r="238" spans="1:23" ht="15.6" x14ac:dyDescent="0.3">
      <c r="A238" s="24"/>
      <c r="B238" s="54" t="s">
        <v>96</v>
      </c>
      <c r="C238" s="94"/>
      <c r="D238" s="94"/>
      <c r="E238" s="94"/>
      <c r="F238" s="25"/>
      <c r="G238" s="95"/>
      <c r="H238" s="94"/>
      <c r="I238" s="94"/>
      <c r="J238" s="94"/>
      <c r="K238" s="94"/>
      <c r="L238" s="94"/>
      <c r="M238" s="94"/>
      <c r="N238" s="94"/>
      <c r="O238" s="94"/>
      <c r="P238" s="54">
        <v>0</v>
      </c>
      <c r="Q238" s="95">
        <f t="shared" si="3"/>
        <v>0</v>
      </c>
      <c r="R238" s="53">
        <v>0</v>
      </c>
      <c r="S238" s="135">
        <f t="shared" si="4"/>
        <v>0</v>
      </c>
      <c r="T238" s="25"/>
      <c r="U238" s="25"/>
      <c r="V238" s="5"/>
    </row>
    <row r="239" spans="1:23" ht="15.6" x14ac:dyDescent="0.3">
      <c r="A239" s="24"/>
      <c r="B239" s="54" t="s">
        <v>171</v>
      </c>
      <c r="C239" s="94"/>
      <c r="D239" s="94"/>
      <c r="E239" s="94"/>
      <c r="F239" s="25"/>
      <c r="G239" s="95"/>
      <c r="H239" s="94"/>
      <c r="I239" s="94"/>
      <c r="J239" s="94"/>
      <c r="K239" s="94"/>
      <c r="L239" s="94"/>
      <c r="M239" s="94"/>
      <c r="N239" s="94"/>
      <c r="O239" s="94"/>
      <c r="P239" s="54">
        <v>0</v>
      </c>
      <c r="Q239" s="95">
        <f t="shared" si="3"/>
        <v>0</v>
      </c>
      <c r="R239" s="53">
        <v>0</v>
      </c>
      <c r="S239" s="135">
        <f t="shared" si="4"/>
        <v>0</v>
      </c>
      <c r="T239" s="25"/>
      <c r="U239" s="25"/>
      <c r="V239" s="5"/>
    </row>
    <row r="240" spans="1:23" ht="15.6" x14ac:dyDescent="0.3">
      <c r="A240" s="24"/>
      <c r="B240" s="54" t="s">
        <v>172</v>
      </c>
      <c r="C240" s="94"/>
      <c r="D240" s="94"/>
      <c r="E240" s="94"/>
      <c r="F240" s="25"/>
      <c r="G240" s="95"/>
      <c r="H240" s="94"/>
      <c r="I240" s="94"/>
      <c r="J240" s="94"/>
      <c r="K240" s="94"/>
      <c r="L240" s="94"/>
      <c r="M240" s="94"/>
      <c r="N240" s="94"/>
      <c r="O240" s="94"/>
      <c r="P240" s="54">
        <v>0</v>
      </c>
      <c r="Q240" s="95">
        <f t="shared" si="3"/>
        <v>0</v>
      </c>
      <c r="R240" s="53">
        <v>0</v>
      </c>
      <c r="S240" s="135">
        <f t="shared" si="4"/>
        <v>0</v>
      </c>
      <c r="T240" s="25"/>
      <c r="U240" s="25"/>
      <c r="V240" s="5"/>
    </row>
    <row r="241" spans="1:22" ht="15.6" x14ac:dyDescent="0.3">
      <c r="A241" s="24"/>
      <c r="B241" s="54" t="s">
        <v>173</v>
      </c>
      <c r="C241" s="94"/>
      <c r="D241" s="94"/>
      <c r="E241" s="94"/>
      <c r="F241" s="25"/>
      <c r="G241" s="95"/>
      <c r="H241" s="94"/>
      <c r="I241" s="94"/>
      <c r="J241" s="94"/>
      <c r="K241" s="94"/>
      <c r="L241" s="94"/>
      <c r="M241" s="94"/>
      <c r="N241" s="94"/>
      <c r="O241" s="94"/>
      <c r="P241" s="54">
        <v>1</v>
      </c>
      <c r="Q241" s="95">
        <f t="shared" si="3"/>
        <v>0.125</v>
      </c>
      <c r="R241" s="53">
        <v>224</v>
      </c>
      <c r="S241" s="135">
        <f t="shared" si="4"/>
        <v>0.21875</v>
      </c>
      <c r="T241" s="25"/>
      <c r="U241" s="25"/>
      <c r="V241" s="5"/>
    </row>
    <row r="242" spans="1:22" ht="15.6" x14ac:dyDescent="0.3">
      <c r="A242" s="24"/>
      <c r="B242" s="54" t="s">
        <v>174</v>
      </c>
      <c r="C242" s="94"/>
      <c r="D242" s="94"/>
      <c r="E242" s="94"/>
      <c r="F242" s="25"/>
      <c r="G242" s="95"/>
      <c r="H242" s="94"/>
      <c r="I242" s="94"/>
      <c r="J242" s="94"/>
      <c r="K242" s="94"/>
      <c r="L242" s="94"/>
      <c r="M242" s="94"/>
      <c r="N242" s="94"/>
      <c r="O242" s="94"/>
      <c r="P242" s="54">
        <v>3</v>
      </c>
      <c r="Q242" s="95">
        <f t="shared" si="3"/>
        <v>0.375</v>
      </c>
      <c r="R242" s="53">
        <v>308</v>
      </c>
      <c r="S242" s="135">
        <f t="shared" si="4"/>
        <v>0.30078125</v>
      </c>
      <c r="T242" s="25"/>
      <c r="U242" s="25"/>
      <c r="V242" s="5"/>
    </row>
    <row r="243" spans="1:22" ht="15.6" x14ac:dyDescent="0.3">
      <c r="A243" s="24"/>
      <c r="B243" s="54" t="s">
        <v>175</v>
      </c>
      <c r="C243" s="94"/>
      <c r="D243" s="94"/>
      <c r="E243" s="94"/>
      <c r="F243" s="25"/>
      <c r="G243" s="95"/>
      <c r="H243" s="94"/>
      <c r="I243" s="94"/>
      <c r="J243" s="94"/>
      <c r="K243" s="94"/>
      <c r="L243" s="94"/>
      <c r="M243" s="94"/>
      <c r="N243" s="94"/>
      <c r="O243" s="94"/>
      <c r="P243" s="54">
        <v>0</v>
      </c>
      <c r="Q243" s="95">
        <f t="shared" si="3"/>
        <v>0</v>
      </c>
      <c r="R243" s="53">
        <v>0</v>
      </c>
      <c r="S243" s="135">
        <f t="shared" si="4"/>
        <v>0</v>
      </c>
      <c r="T243" s="25"/>
      <c r="U243" s="25"/>
      <c r="V243" s="5"/>
    </row>
    <row r="244" spans="1:22" ht="15.6" x14ac:dyDescent="0.3">
      <c r="A244" s="24"/>
      <c r="B244" s="54"/>
      <c r="C244" s="94"/>
      <c r="D244" s="94"/>
      <c r="E244" s="94"/>
      <c r="F244" s="25"/>
      <c r="G244" s="95"/>
      <c r="H244" s="94"/>
      <c r="I244" s="94"/>
      <c r="J244" s="94"/>
      <c r="K244" s="94"/>
      <c r="L244" s="94"/>
      <c r="M244" s="94"/>
      <c r="N244" s="94"/>
      <c r="O244" s="94"/>
      <c r="P244" s="54"/>
      <c r="Q244" s="95"/>
      <c r="R244" s="53"/>
      <c r="S244" s="135"/>
      <c r="T244" s="25"/>
      <c r="U244" s="25"/>
      <c r="V244" s="5"/>
    </row>
    <row r="245" spans="1:22" ht="15.6" x14ac:dyDescent="0.3">
      <c r="A245" s="24"/>
      <c r="B245" s="25"/>
      <c r="C245" s="25"/>
      <c r="D245" s="25"/>
      <c r="E245" s="25"/>
      <c r="F245" s="25"/>
      <c r="G245" s="25"/>
      <c r="H245" s="96"/>
      <c r="I245" s="96"/>
      <c r="J245" s="96"/>
      <c r="K245" s="96"/>
      <c r="L245" s="96"/>
      <c r="M245" s="96"/>
      <c r="N245" s="96"/>
      <c r="O245" s="96"/>
      <c r="P245" s="34">
        <f>SUM(P236:P244)</f>
        <v>8</v>
      </c>
      <c r="Q245" s="135">
        <f>SUM(Q236:Q244)</f>
        <v>1</v>
      </c>
      <c r="R245" s="53">
        <f>SUM(R236:R244)</f>
        <v>1024</v>
      </c>
      <c r="S245" s="135">
        <f>SUM(S236:S244)</f>
        <v>1</v>
      </c>
      <c r="T245" s="25"/>
      <c r="U245" s="25"/>
      <c r="V245" s="5"/>
    </row>
    <row r="246" spans="1:22" ht="15.6" x14ac:dyDescent="0.3">
      <c r="A246" s="24"/>
      <c r="B246" s="25"/>
      <c r="C246" s="25"/>
      <c r="D246" s="25"/>
      <c r="E246" s="25"/>
      <c r="F246" s="25"/>
      <c r="G246" s="25"/>
      <c r="H246" s="96"/>
      <c r="I246" s="96"/>
      <c r="J246" s="96"/>
      <c r="K246" s="96"/>
      <c r="L246" s="96"/>
      <c r="M246" s="96"/>
      <c r="N246" s="96"/>
      <c r="O246" s="96"/>
      <c r="P246" s="34"/>
      <c r="Q246" s="135"/>
      <c r="R246" s="53"/>
      <c r="S246" s="135"/>
      <c r="T246" s="25"/>
      <c r="U246" s="25"/>
      <c r="V246" s="5"/>
    </row>
    <row r="247" spans="1:22" ht="15.6" x14ac:dyDescent="0.3">
      <c r="A247" s="144"/>
      <c r="B247" s="14" t="s">
        <v>179</v>
      </c>
      <c r="C247" s="142"/>
      <c r="D247" s="142"/>
      <c r="E247" s="142"/>
      <c r="F247" s="142"/>
      <c r="G247" s="142"/>
      <c r="H247" s="149"/>
      <c r="I247" s="149"/>
      <c r="J247" s="149"/>
      <c r="K247" s="149"/>
      <c r="L247" s="149"/>
      <c r="M247" s="149"/>
      <c r="N247" s="149"/>
      <c r="O247" s="149"/>
      <c r="P247" s="84" t="s">
        <v>108</v>
      </c>
      <c r="Q247" s="17" t="s">
        <v>109</v>
      </c>
      <c r="R247" s="84" t="s">
        <v>117</v>
      </c>
      <c r="S247" s="17" t="s">
        <v>109</v>
      </c>
      <c r="T247" s="142"/>
      <c r="U247" s="143"/>
      <c r="V247" s="5"/>
    </row>
    <row r="248" spans="1:22" ht="15.6" x14ac:dyDescent="0.3">
      <c r="A248" s="24"/>
      <c r="B248" s="54" t="s">
        <v>94</v>
      </c>
      <c r="C248" s="25"/>
      <c r="D248" s="25"/>
      <c r="E248" s="25"/>
      <c r="F248" s="25"/>
      <c r="G248" s="25"/>
      <c r="H248" s="96"/>
      <c r="I248" s="96"/>
      <c r="J248" s="96"/>
      <c r="K248" s="96"/>
      <c r="L248" s="96"/>
      <c r="M248" s="96"/>
      <c r="N248" s="96"/>
      <c r="O248" s="96"/>
      <c r="P248" s="54">
        <v>0</v>
      </c>
      <c r="Q248" s="95">
        <v>0</v>
      </c>
      <c r="R248" s="53">
        <v>0</v>
      </c>
      <c r="S248" s="135">
        <v>0</v>
      </c>
      <c r="T248" s="25"/>
      <c r="U248" s="25"/>
      <c r="V248" s="5"/>
    </row>
    <row r="249" spans="1:22" ht="15.6" x14ac:dyDescent="0.3">
      <c r="A249" s="24"/>
      <c r="B249" s="54" t="s">
        <v>95</v>
      </c>
      <c r="C249" s="25"/>
      <c r="D249" s="25"/>
      <c r="E249" s="25"/>
      <c r="F249" s="25"/>
      <c r="G249" s="25"/>
      <c r="H249" s="96"/>
      <c r="I249" s="96"/>
      <c r="J249" s="96"/>
      <c r="K249" s="96"/>
      <c r="L249" s="96"/>
      <c r="M249" s="96"/>
      <c r="N249" s="96"/>
      <c r="O249" s="96"/>
      <c r="P249" s="54">
        <v>0</v>
      </c>
      <c r="Q249" s="95">
        <v>0</v>
      </c>
      <c r="R249" s="53">
        <v>0</v>
      </c>
      <c r="S249" s="135">
        <v>0</v>
      </c>
      <c r="T249" s="25"/>
      <c r="U249" s="25"/>
      <c r="V249" s="5"/>
    </row>
    <row r="250" spans="1:22" ht="15.6" x14ac:dyDescent="0.3">
      <c r="A250" s="24"/>
      <c r="B250" s="54" t="s">
        <v>96</v>
      </c>
      <c r="C250" s="25"/>
      <c r="D250" s="25"/>
      <c r="E250" s="25"/>
      <c r="F250" s="25"/>
      <c r="G250" s="25"/>
      <c r="H250" s="96"/>
      <c r="I250" s="96"/>
      <c r="J250" s="96"/>
      <c r="K250" s="96"/>
      <c r="L250" s="96"/>
      <c r="M250" s="96"/>
      <c r="N250" s="96"/>
      <c r="O250" s="96"/>
      <c r="P250" s="54">
        <v>0</v>
      </c>
      <c r="Q250" s="95">
        <v>0</v>
      </c>
      <c r="R250" s="53">
        <v>0</v>
      </c>
      <c r="S250" s="135">
        <v>0</v>
      </c>
      <c r="T250" s="25"/>
      <c r="U250" s="25"/>
      <c r="V250" s="5"/>
    </row>
    <row r="251" spans="1:22" ht="15.6" x14ac:dyDescent="0.3">
      <c r="A251" s="24"/>
      <c r="B251" s="54" t="s">
        <v>171</v>
      </c>
      <c r="C251" s="25"/>
      <c r="D251" s="25"/>
      <c r="E251" s="25"/>
      <c r="F251" s="25"/>
      <c r="G251" s="25"/>
      <c r="H251" s="96"/>
      <c r="I251" s="96"/>
      <c r="J251" s="96"/>
      <c r="K251" s="96"/>
      <c r="L251" s="96"/>
      <c r="M251" s="96"/>
      <c r="N251" s="96"/>
      <c r="O251" s="96"/>
      <c r="P251" s="54">
        <v>0</v>
      </c>
      <c r="Q251" s="95">
        <v>0</v>
      </c>
      <c r="R251" s="53">
        <v>0</v>
      </c>
      <c r="S251" s="135">
        <v>0</v>
      </c>
      <c r="T251" s="25"/>
      <c r="U251" s="25"/>
      <c r="V251" s="5"/>
    </row>
    <row r="252" spans="1:22" ht="15.6" x14ac:dyDescent="0.3">
      <c r="A252" s="24"/>
      <c r="B252" s="54" t="s">
        <v>172</v>
      </c>
      <c r="C252" s="25"/>
      <c r="D252" s="25"/>
      <c r="E252" s="25"/>
      <c r="F252" s="25"/>
      <c r="G252" s="25"/>
      <c r="H252" s="96"/>
      <c r="I252" s="96"/>
      <c r="J252" s="96"/>
      <c r="K252" s="96"/>
      <c r="L252" s="96"/>
      <c r="M252" s="96"/>
      <c r="N252" s="96"/>
      <c r="O252" s="96"/>
      <c r="P252" s="54">
        <v>0</v>
      </c>
      <c r="Q252" s="95">
        <v>0</v>
      </c>
      <c r="R252" s="53">
        <v>0</v>
      </c>
      <c r="S252" s="135">
        <v>0</v>
      </c>
      <c r="T252" s="25"/>
      <c r="U252" s="25"/>
      <c r="V252" s="5"/>
    </row>
    <row r="253" spans="1:22" ht="15.6" x14ac:dyDescent="0.3">
      <c r="A253" s="24"/>
      <c r="B253" s="54" t="s">
        <v>173</v>
      </c>
      <c r="C253" s="25"/>
      <c r="D253" s="25"/>
      <c r="E253" s="25"/>
      <c r="F253" s="25"/>
      <c r="G253" s="25"/>
      <c r="H253" s="96"/>
      <c r="I253" s="96"/>
      <c r="J253" s="96"/>
      <c r="K253" s="96"/>
      <c r="L253" s="96"/>
      <c r="M253" s="96"/>
      <c r="N253" s="96"/>
      <c r="O253" s="96"/>
      <c r="P253" s="54">
        <v>0</v>
      </c>
      <c r="Q253" s="95">
        <v>0</v>
      </c>
      <c r="R253" s="53">
        <v>0</v>
      </c>
      <c r="S253" s="135">
        <v>0</v>
      </c>
      <c r="T253" s="25"/>
      <c r="U253" s="25"/>
      <c r="V253" s="5"/>
    </row>
    <row r="254" spans="1:22" ht="15.6" x14ac:dyDescent="0.3">
      <c r="A254" s="24"/>
      <c r="B254" s="54" t="s">
        <v>174</v>
      </c>
      <c r="C254" s="25"/>
      <c r="D254" s="25"/>
      <c r="E254" s="25"/>
      <c r="F254" s="25"/>
      <c r="G254" s="25"/>
      <c r="H254" s="96"/>
      <c r="I254" s="96"/>
      <c r="J254" s="96"/>
      <c r="K254" s="96"/>
      <c r="L254" s="96"/>
      <c r="M254" s="96"/>
      <c r="N254" s="96"/>
      <c r="O254" s="96"/>
      <c r="P254" s="54">
        <v>0</v>
      </c>
      <c r="Q254" s="95">
        <v>0</v>
      </c>
      <c r="R254" s="53">
        <v>0</v>
      </c>
      <c r="S254" s="135">
        <v>0</v>
      </c>
      <c r="T254" s="25"/>
      <c r="U254" s="25"/>
      <c r="V254" s="5"/>
    </row>
    <row r="255" spans="1:22" ht="15.6" x14ac:dyDescent="0.3">
      <c r="A255" s="24"/>
      <c r="B255" s="54" t="s">
        <v>175</v>
      </c>
      <c r="C255" s="25"/>
      <c r="D255" s="25"/>
      <c r="E255" s="25"/>
      <c r="F255" s="25"/>
      <c r="G255" s="25"/>
      <c r="H255" s="96"/>
      <c r="I255" s="96"/>
      <c r="J255" s="96"/>
      <c r="K255" s="96"/>
      <c r="L255" s="96"/>
      <c r="M255" s="96"/>
      <c r="N255" s="96"/>
      <c r="O255" s="96"/>
      <c r="P255" s="54">
        <v>0</v>
      </c>
      <c r="Q255" s="95">
        <v>0</v>
      </c>
      <c r="R255" s="53">
        <v>0</v>
      </c>
      <c r="S255" s="135">
        <v>0</v>
      </c>
      <c r="T255" s="25"/>
      <c r="U255" s="25"/>
      <c r="V255" s="5"/>
    </row>
    <row r="256" spans="1:22" ht="15.6" x14ac:dyDescent="0.3">
      <c r="A256" s="24"/>
      <c r="B256" s="54"/>
      <c r="C256" s="25"/>
      <c r="D256" s="25"/>
      <c r="E256" s="25"/>
      <c r="F256" s="25"/>
      <c r="G256" s="25"/>
      <c r="H256" s="96"/>
      <c r="I256" s="96"/>
      <c r="J256" s="96"/>
      <c r="K256" s="96"/>
      <c r="L256" s="96"/>
      <c r="M256" s="96"/>
      <c r="N256" s="96"/>
      <c r="O256" s="96"/>
      <c r="P256" s="54"/>
      <c r="Q256" s="95"/>
      <c r="R256" s="53"/>
      <c r="S256" s="135"/>
      <c r="T256" s="25"/>
      <c r="U256" s="25"/>
      <c r="V256" s="5"/>
    </row>
    <row r="257" spans="1:22" ht="15.6" x14ac:dyDescent="0.3">
      <c r="A257" s="24"/>
      <c r="B257" s="25" t="s">
        <v>123</v>
      </c>
      <c r="C257" s="25"/>
      <c r="D257" s="25"/>
      <c r="E257" s="25"/>
      <c r="F257" s="25"/>
      <c r="G257" s="25"/>
      <c r="H257" s="96"/>
      <c r="I257" s="96"/>
      <c r="J257" s="96"/>
      <c r="K257" s="96"/>
      <c r="L257" s="96"/>
      <c r="M257" s="96"/>
      <c r="N257" s="96"/>
      <c r="O257" s="96"/>
      <c r="P257" s="34">
        <f>SUM(P248:P255)</f>
        <v>0</v>
      </c>
      <c r="Q257" s="95">
        <f>SUM(Q248:Q255)</f>
        <v>0</v>
      </c>
      <c r="R257" s="53">
        <f>SUM(R248:R255)</f>
        <v>0</v>
      </c>
      <c r="S257" s="135">
        <f>SUM(S248:S255)</f>
        <v>0</v>
      </c>
      <c r="T257" s="25"/>
      <c r="U257" s="25"/>
      <c r="V257" s="5"/>
    </row>
    <row r="258" spans="1:22" ht="15.6" x14ac:dyDescent="0.3">
      <c r="A258" s="24"/>
      <c r="B258" s="25"/>
      <c r="C258" s="25"/>
      <c r="D258" s="25"/>
      <c r="E258" s="25"/>
      <c r="F258" s="25"/>
      <c r="G258" s="25"/>
      <c r="H258" s="96"/>
      <c r="I258" s="96"/>
      <c r="J258" s="96"/>
      <c r="K258" s="96"/>
      <c r="L258" s="96"/>
      <c r="M258" s="96"/>
      <c r="N258" s="96"/>
      <c r="O258" s="96"/>
      <c r="P258" s="34"/>
      <c r="Q258" s="135"/>
      <c r="R258" s="53"/>
      <c r="S258" s="135"/>
      <c r="T258" s="25"/>
      <c r="U258" s="25"/>
      <c r="V258" s="5"/>
    </row>
    <row r="259" spans="1:22" ht="15.6" x14ac:dyDescent="0.3">
      <c r="A259" s="24"/>
      <c r="B259" s="145" t="s">
        <v>180</v>
      </c>
      <c r="C259" s="25"/>
      <c r="D259" s="25"/>
      <c r="E259" s="25"/>
      <c r="F259" s="25"/>
      <c r="G259" s="25"/>
      <c r="H259" s="96"/>
      <c r="I259" s="96"/>
      <c r="J259" s="96"/>
      <c r="K259" s="96"/>
      <c r="L259" s="96"/>
      <c r="M259" s="96"/>
      <c r="N259" s="96"/>
      <c r="O259" s="96"/>
      <c r="P259" s="146"/>
      <c r="Q259" s="147"/>
      <c r="R259" s="148">
        <f>+R257+R245+R233</f>
        <v>680368</v>
      </c>
      <c r="S259" s="147"/>
      <c r="T259" s="25"/>
      <c r="U259" s="25"/>
      <c r="V259" s="5"/>
    </row>
    <row r="260" spans="1:22" ht="15.6" x14ac:dyDescent="0.3">
      <c r="A260" s="24"/>
      <c r="B260" s="25"/>
      <c r="C260" s="25"/>
      <c r="D260" s="25"/>
      <c r="E260" s="25"/>
      <c r="F260" s="25"/>
      <c r="G260" s="25"/>
      <c r="H260" s="96"/>
      <c r="I260" s="96"/>
      <c r="J260" s="96"/>
      <c r="K260" s="96"/>
      <c r="L260" s="96"/>
      <c r="M260" s="96"/>
      <c r="N260" s="96"/>
      <c r="O260" s="96"/>
      <c r="P260" s="96"/>
      <c r="Q260" s="96"/>
      <c r="R260" s="53"/>
      <c r="S260" s="96"/>
      <c r="T260" s="25"/>
      <c r="U260" s="25"/>
      <c r="V260" s="5"/>
    </row>
    <row r="261" spans="1:22" ht="15.6" x14ac:dyDescent="0.3">
      <c r="A261" s="6"/>
      <c r="B261" s="8"/>
      <c r="C261" s="8"/>
      <c r="D261" s="8"/>
      <c r="E261" s="8"/>
      <c r="F261" s="8"/>
      <c r="G261" s="8"/>
      <c r="H261" s="97"/>
      <c r="I261" s="97"/>
      <c r="J261" s="97"/>
      <c r="K261" s="97"/>
      <c r="L261" s="97"/>
      <c r="M261" s="97"/>
      <c r="N261" s="97"/>
      <c r="O261" s="97"/>
      <c r="P261" s="97"/>
      <c r="Q261" s="97"/>
      <c r="R261" s="98"/>
      <c r="S261" s="97"/>
      <c r="T261" s="8"/>
      <c r="U261" s="8"/>
      <c r="V261" s="5"/>
    </row>
    <row r="262" spans="1:22" ht="15.6" x14ac:dyDescent="0.3">
      <c r="A262" s="99"/>
      <c r="B262" s="14" t="s">
        <v>97</v>
      </c>
      <c r="C262" s="15"/>
      <c r="D262" s="15"/>
      <c r="E262" s="15"/>
      <c r="F262" s="17" t="s">
        <v>103</v>
      </c>
      <c r="G262" s="15"/>
      <c r="H262" s="14" t="s">
        <v>105</v>
      </c>
      <c r="I262" s="159"/>
      <c r="J262" s="159"/>
      <c r="K262" s="159"/>
      <c r="L262" s="12"/>
      <c r="M262" s="12"/>
      <c r="N262" s="12"/>
      <c r="O262" s="12"/>
      <c r="P262" s="12"/>
      <c r="Q262" s="12"/>
      <c r="R262" s="12"/>
      <c r="S262" s="12"/>
      <c r="T262" s="12"/>
      <c r="U262" s="12"/>
      <c r="V262" s="5"/>
    </row>
    <row r="263" spans="1:22" ht="15.6" x14ac:dyDescent="0.3">
      <c r="A263" s="99"/>
      <c r="B263" s="159"/>
      <c r="C263" s="8"/>
      <c r="D263" s="8"/>
      <c r="E263" s="8"/>
      <c r="F263" s="8"/>
      <c r="G263" s="8"/>
      <c r="H263" s="8"/>
      <c r="I263" s="159"/>
      <c r="J263" s="159"/>
      <c r="K263" s="159"/>
      <c r="L263" s="12"/>
      <c r="M263" s="12"/>
      <c r="N263" s="12"/>
      <c r="O263" s="12"/>
      <c r="P263" s="12"/>
      <c r="Q263" s="12"/>
      <c r="R263" s="12"/>
      <c r="S263" s="12"/>
      <c r="T263" s="12"/>
      <c r="U263" s="12"/>
      <c r="V263" s="5"/>
    </row>
    <row r="264" spans="1:22" ht="15.6" x14ac:dyDescent="0.3">
      <c r="A264" s="99"/>
      <c r="B264" s="13" t="s">
        <v>98</v>
      </c>
      <c r="C264" s="13"/>
      <c r="D264" s="13"/>
      <c r="E264" s="13"/>
      <c r="F264" s="133" t="s">
        <v>159</v>
      </c>
      <c r="G264" s="13"/>
      <c r="H264" s="13" t="s">
        <v>167</v>
      </c>
      <c r="I264" s="159"/>
      <c r="J264" s="159"/>
      <c r="K264" s="159"/>
      <c r="L264" s="12"/>
      <c r="M264" s="12"/>
      <c r="N264" s="12"/>
      <c r="O264" s="12"/>
      <c r="P264" s="12"/>
      <c r="Q264" s="12"/>
      <c r="R264" s="12"/>
      <c r="S264" s="12"/>
      <c r="T264" s="12"/>
      <c r="U264" s="12"/>
      <c r="V264" s="5"/>
    </row>
    <row r="265" spans="1:22" ht="15.6" x14ac:dyDescent="0.3">
      <c r="A265" s="99"/>
      <c r="B265" s="13" t="s">
        <v>273</v>
      </c>
      <c r="C265" s="13"/>
      <c r="D265" s="13"/>
      <c r="E265" s="13"/>
      <c r="F265" s="133" t="s">
        <v>274</v>
      </c>
      <c r="G265" s="13"/>
      <c r="H265" s="13" t="s">
        <v>275</v>
      </c>
      <c r="I265" s="159"/>
      <c r="J265" s="159"/>
      <c r="K265" s="159"/>
      <c r="L265" s="12"/>
      <c r="M265" s="12"/>
      <c r="N265" s="12"/>
      <c r="O265" s="12"/>
      <c r="P265" s="12"/>
      <c r="Q265" s="12"/>
      <c r="R265" s="12"/>
      <c r="S265" s="12"/>
      <c r="T265" s="12"/>
      <c r="U265" s="12"/>
      <c r="V265" s="5"/>
    </row>
    <row r="266" spans="1:22" ht="15.6" x14ac:dyDescent="0.3">
      <c r="A266" s="99"/>
      <c r="B266" s="13" t="s">
        <v>99</v>
      </c>
      <c r="C266" s="13"/>
      <c r="D266" s="13"/>
      <c r="E266" s="13"/>
      <c r="F266" s="133" t="s">
        <v>158</v>
      </c>
      <c r="G266" s="13"/>
      <c r="H266" s="13" t="s">
        <v>168</v>
      </c>
      <c r="I266" s="159"/>
      <c r="J266" s="159"/>
      <c r="K266" s="159"/>
      <c r="L266" s="12"/>
      <c r="M266" s="12"/>
      <c r="N266" s="12"/>
      <c r="O266" s="12"/>
      <c r="P266" s="12"/>
      <c r="Q266" s="12"/>
      <c r="R266" s="12"/>
      <c r="S266" s="12"/>
      <c r="T266" s="12"/>
      <c r="U266" s="12"/>
      <c r="V266" s="5"/>
    </row>
    <row r="267" spans="1:22" ht="15.6" x14ac:dyDescent="0.3">
      <c r="A267" s="99"/>
      <c r="B267" s="13"/>
      <c r="C267" s="13"/>
      <c r="D267" s="13"/>
      <c r="E267" s="13"/>
      <c r="F267" s="13"/>
      <c r="G267" s="100"/>
      <c r="H267" s="12"/>
      <c r="I267" s="12"/>
      <c r="J267" s="12"/>
      <c r="K267" s="12"/>
      <c r="L267" s="12"/>
      <c r="M267" s="12"/>
      <c r="N267" s="12"/>
      <c r="O267" s="12"/>
      <c r="P267" s="12"/>
      <c r="Q267" s="12"/>
      <c r="R267" s="12"/>
      <c r="S267" s="12"/>
      <c r="T267" s="12"/>
      <c r="U267" s="12"/>
      <c r="V267" s="5"/>
    </row>
    <row r="268" spans="1:22" ht="18" thickBot="1" x14ac:dyDescent="0.35">
      <c r="A268" s="99"/>
      <c r="B268" s="49" t="str">
        <f>B189</f>
        <v>PM9 INVESTOR REPORT QUARTER ENDING OCTOBER 2005</v>
      </c>
      <c r="C268" s="13"/>
      <c r="D268" s="13"/>
      <c r="E268" s="13"/>
      <c r="F268" s="13"/>
      <c r="G268" s="100"/>
      <c r="H268" s="12"/>
      <c r="I268" s="12"/>
      <c r="J268" s="12"/>
      <c r="K268" s="12"/>
      <c r="L268" s="12"/>
      <c r="M268" s="12"/>
      <c r="N268" s="12"/>
      <c r="O268" s="12"/>
      <c r="P268" s="12"/>
      <c r="Q268" s="12"/>
      <c r="R268" s="12"/>
      <c r="S268" s="12"/>
      <c r="T268" s="12"/>
      <c r="U268" s="12"/>
      <c r="V268" s="5"/>
    </row>
    <row r="269" spans="1:22" x14ac:dyDescent="0.25">
      <c r="A269" s="101"/>
      <c r="B269" s="101"/>
      <c r="C269" s="101"/>
      <c r="D269" s="101"/>
      <c r="E269" s="101"/>
      <c r="F269" s="101"/>
      <c r="G269" s="101"/>
      <c r="H269" s="101"/>
      <c r="I269" s="101"/>
      <c r="J269" s="101"/>
      <c r="K269" s="101"/>
      <c r="L269" s="101"/>
      <c r="M269" s="101"/>
      <c r="N269" s="101"/>
      <c r="O269" s="101"/>
      <c r="P269" s="101"/>
      <c r="Q269" s="101"/>
      <c r="R269" s="101"/>
      <c r="S269" s="101"/>
      <c r="T269" s="101"/>
      <c r="U269" s="101"/>
    </row>
  </sheetData>
  <phoneticPr fontId="0" type="noConversion"/>
  <hyperlinks>
    <hyperlink ref="J9" r:id="rId1" xr:uid="{00000000-0004-0000-0000-000000000000}"/>
    <hyperlink ref="N221" r:id="rId2" xr:uid="{00000000-0004-0000-00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0" max="14" man="1"/>
    <brk id="189" max="14"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D2926"/>
  </sheetPr>
  <dimension ref="A1:W278"/>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t="s">
        <v>263</v>
      </c>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0.68769999999999998</v>
      </c>
      <c r="R16" s="17" t="s">
        <v>149</v>
      </c>
      <c r="S16" s="140">
        <v>0.31230000000000002</v>
      </c>
      <c r="T16" s="16"/>
      <c r="U16" s="15"/>
      <c r="V16" s="5"/>
    </row>
    <row r="17" spans="1:22" ht="15.6" x14ac:dyDescent="0.3">
      <c r="A17" s="6"/>
      <c r="B17" s="14" t="s">
        <v>4</v>
      </c>
      <c r="C17" s="15"/>
      <c r="D17" s="15"/>
      <c r="E17" s="15"/>
      <c r="F17" s="15"/>
      <c r="G17" s="15"/>
      <c r="H17" s="15"/>
      <c r="I17" s="15"/>
      <c r="J17" s="15"/>
      <c r="K17" s="15"/>
      <c r="L17" s="15"/>
      <c r="M17" s="15"/>
      <c r="N17" s="15"/>
      <c r="O17" s="15"/>
      <c r="P17" s="15"/>
      <c r="Q17" s="169"/>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39500</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205031.57279999999</v>
      </c>
      <c r="E30" s="32"/>
      <c r="F30" s="125">
        <f>F29*F36</f>
        <v>210364.764</v>
      </c>
      <c r="G30" s="31"/>
      <c r="H30" s="150">
        <f>H29*H36</f>
        <v>35554.595999999998</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188230.64320000002</v>
      </c>
      <c r="E31" s="36"/>
      <c r="F31" s="126">
        <f>F35*F29</f>
        <v>193126.81600000002</v>
      </c>
      <c r="G31" s="35"/>
      <c r="H31" s="155">
        <f>H35*H29</f>
        <v>32641.140000000003</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205031.57279999999</v>
      </c>
      <c r="E33" s="32"/>
      <c r="F33" s="31">
        <f>F32*F36</f>
        <v>144885.0276</v>
      </c>
      <c r="G33" s="31"/>
      <c r="H33" s="31">
        <f>H32*H36</f>
        <v>20088.346740000001</v>
      </c>
      <c r="I33" s="31"/>
      <c r="J33" s="31">
        <f>J32*J36</f>
        <v>7000</v>
      </c>
      <c r="K33" s="31"/>
      <c r="L33" s="31">
        <f>L32*L36</f>
        <v>20300</v>
      </c>
      <c r="M33" s="31"/>
      <c r="N33" s="31">
        <f>N32*N36</f>
        <v>3000</v>
      </c>
      <c r="O33" s="31"/>
      <c r="P33" s="31">
        <f>P32*P36</f>
        <v>45300</v>
      </c>
      <c r="Q33" s="31"/>
      <c r="R33" s="31"/>
      <c r="S33" s="161"/>
      <c r="T33" s="31">
        <f>SUM(C33:P33)</f>
        <v>445604.94714</v>
      </c>
      <c r="U33" s="34"/>
      <c r="V33" s="5"/>
    </row>
    <row r="34" spans="1:22" ht="15.6" x14ac:dyDescent="0.3">
      <c r="A34" s="28"/>
      <c r="B34" s="29" t="s">
        <v>291</v>
      </c>
      <c r="C34" s="36"/>
      <c r="D34" s="35">
        <f>D35*D32</f>
        <v>188230.64320000002</v>
      </c>
      <c r="E34" s="36"/>
      <c r="F34" s="35">
        <f>F35*F32</f>
        <v>133012.69440000001</v>
      </c>
      <c r="G34" s="35"/>
      <c r="H34" s="35">
        <f>H35*H32</f>
        <v>18442.2441</v>
      </c>
      <c r="I34" s="35"/>
      <c r="J34" s="35">
        <f>J35*J32</f>
        <v>7000</v>
      </c>
      <c r="K34" s="35"/>
      <c r="L34" s="35">
        <f>L35*L32</f>
        <v>20300</v>
      </c>
      <c r="M34" s="35"/>
      <c r="N34" s="35">
        <f>N35*N32</f>
        <v>3000</v>
      </c>
      <c r="O34" s="35"/>
      <c r="P34" s="35">
        <f>P35*P32</f>
        <v>45300</v>
      </c>
      <c r="Q34" s="35"/>
      <c r="R34" s="35"/>
      <c r="S34" s="37"/>
      <c r="T34" s="35">
        <f>SUM(C34:P34)</f>
        <v>415285.58170000004</v>
      </c>
      <c r="U34" s="34"/>
      <c r="V34" s="5"/>
    </row>
    <row r="35" spans="1:22" ht="15.6" x14ac:dyDescent="0.3">
      <c r="A35" s="28"/>
      <c r="B35" s="123" t="s">
        <v>139</v>
      </c>
      <c r="C35" s="127"/>
      <c r="D35" s="167">
        <v>0.54401920000000004</v>
      </c>
      <c r="E35" s="168"/>
      <c r="F35" s="167">
        <v>0.54401920000000004</v>
      </c>
      <c r="G35" s="167"/>
      <c r="H35" s="167">
        <v>0.54401900000000003</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67">
        <v>0.59257680000000001</v>
      </c>
      <c r="E36" s="168"/>
      <c r="F36" s="167">
        <v>0.59257680000000001</v>
      </c>
      <c r="G36" s="167"/>
      <c r="H36" s="167">
        <v>0.59257660000000001</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6.5225000000000005E-2</v>
      </c>
      <c r="E38" s="25"/>
      <c r="F38" s="38">
        <v>4.7550000000000002E-2</v>
      </c>
      <c r="G38" s="39"/>
      <c r="H38" s="38">
        <v>5.0487499999999998E-2</v>
      </c>
      <c r="I38" s="39"/>
      <c r="J38" s="38">
        <v>6.6324999999999995E-2</v>
      </c>
      <c r="K38" s="39"/>
      <c r="L38" s="38">
        <v>4.8649999999999999E-2</v>
      </c>
      <c r="M38" s="39"/>
      <c r="N38" s="38">
        <v>6.8625000000000005E-2</v>
      </c>
      <c r="O38" s="39"/>
      <c r="P38" s="38">
        <v>5.0950000000000002E-2</v>
      </c>
      <c r="Q38" s="39"/>
      <c r="R38" s="38"/>
      <c r="S38" s="160"/>
      <c r="T38" s="39"/>
      <c r="U38" s="25"/>
      <c r="V38" s="5"/>
    </row>
    <row r="39" spans="1:22" ht="15.6" x14ac:dyDescent="0.3">
      <c r="A39" s="24"/>
      <c r="B39" s="25" t="s">
        <v>14</v>
      </c>
      <c r="C39" s="25"/>
      <c r="D39" s="38">
        <v>6.5674999999999997E-2</v>
      </c>
      <c r="E39" s="25"/>
      <c r="F39" s="38">
        <v>4.6859999999999999E-2</v>
      </c>
      <c r="G39" s="39"/>
      <c r="H39" s="38">
        <v>5.7375000000000002E-2</v>
      </c>
      <c r="I39" s="39"/>
      <c r="J39" s="38">
        <v>6.6775000000000001E-2</v>
      </c>
      <c r="K39" s="39"/>
      <c r="L39" s="38">
        <v>4.7960000000000003E-2</v>
      </c>
      <c r="M39" s="39"/>
      <c r="N39" s="38">
        <v>6.9074999999999998E-2</v>
      </c>
      <c r="O39" s="39"/>
      <c r="P39" s="38">
        <v>5.0259999999999999E-2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6.5225000000000005E-2</v>
      </c>
      <c r="E41" s="25"/>
      <c r="F41" s="38">
        <v>6.5324999999999994E-2</v>
      </c>
      <c r="G41" s="39"/>
      <c r="H41" s="38">
        <v>6.5454999999999999E-2</v>
      </c>
      <c r="I41" s="39"/>
      <c r="J41" s="38">
        <f>+J38</f>
        <v>6.6324999999999995E-2</v>
      </c>
      <c r="K41" s="39"/>
      <c r="L41" s="38">
        <v>6.6619999999999999E-2</v>
      </c>
      <c r="M41" s="39"/>
      <c r="N41" s="38">
        <f>+N38</f>
        <v>6.8625000000000005E-2</v>
      </c>
      <c r="O41" s="39"/>
      <c r="P41" s="38">
        <v>6.9065000000000001E-2</v>
      </c>
      <c r="Q41" s="39"/>
      <c r="R41" s="38"/>
      <c r="S41" s="160"/>
      <c r="T41" s="39">
        <f>SUMPRODUCT(D41:P41,D33:P33)/T33</f>
        <v>6.5761976359993188E-2</v>
      </c>
      <c r="U41" s="25"/>
      <c r="V41" s="5"/>
    </row>
    <row r="42" spans="1:22" ht="15.6" x14ac:dyDescent="0.3">
      <c r="A42" s="24"/>
      <c r="B42" s="25" t="s">
        <v>294</v>
      </c>
      <c r="C42" s="25"/>
      <c r="D42" s="38">
        <f>+D39</f>
        <v>6.5674999999999997E-2</v>
      </c>
      <c r="E42" s="25"/>
      <c r="F42" s="38">
        <v>6.5775E-2</v>
      </c>
      <c r="G42" s="39"/>
      <c r="H42" s="38">
        <v>6.5905000000000005E-2</v>
      </c>
      <c r="I42" s="39"/>
      <c r="J42" s="38">
        <f>+J39</f>
        <v>6.6775000000000001E-2</v>
      </c>
      <c r="K42" s="39"/>
      <c r="L42" s="38">
        <v>6.7070000000000005E-2</v>
      </c>
      <c r="M42" s="39"/>
      <c r="N42" s="38">
        <f>+N39</f>
        <v>6.9074999999999998E-2</v>
      </c>
      <c r="O42" s="39"/>
      <c r="P42" s="38">
        <v>6.9514999999999993E-2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0.22255875454486501</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39493</v>
      </c>
      <c r="U53" s="25"/>
      <c r="V53" s="5"/>
    </row>
    <row r="54" spans="1:23" ht="15.6" x14ac:dyDescent="0.3">
      <c r="A54" s="24"/>
      <c r="B54" s="25" t="s">
        <v>130</v>
      </c>
      <c r="C54" s="25"/>
      <c r="D54" s="25"/>
      <c r="E54" s="25"/>
      <c r="F54" s="25"/>
      <c r="G54" s="25"/>
      <c r="H54" s="58"/>
      <c r="I54" s="58"/>
      <c r="J54" s="58"/>
      <c r="K54" s="58"/>
      <c r="L54" s="58"/>
      <c r="M54" s="58"/>
      <c r="N54" s="58"/>
      <c r="O54" s="58"/>
      <c r="P54" s="25">
        <f>+T54-R54+1</f>
        <v>92</v>
      </c>
      <c r="Q54" s="25"/>
      <c r="R54" s="45">
        <v>39309</v>
      </c>
      <c r="S54" s="46"/>
      <c r="T54" s="45">
        <v>39400</v>
      </c>
      <c r="U54" s="25"/>
      <c r="V54" s="5"/>
    </row>
    <row r="55" spans="1:23" ht="15.6" x14ac:dyDescent="0.3">
      <c r="A55" s="24"/>
      <c r="B55" s="25" t="s">
        <v>131</v>
      </c>
      <c r="C55" s="25"/>
      <c r="D55" s="25"/>
      <c r="E55" s="25"/>
      <c r="F55" s="25"/>
      <c r="G55" s="25"/>
      <c r="H55" s="25"/>
      <c r="I55" s="25"/>
      <c r="J55" s="25"/>
      <c r="K55" s="25"/>
      <c r="L55" s="25"/>
      <c r="M55" s="25"/>
      <c r="N55" s="25"/>
      <c r="O55" s="25"/>
      <c r="P55" s="25">
        <f>+T55-R55+1</f>
        <v>92</v>
      </c>
      <c r="Q55" s="25"/>
      <c r="R55" s="45">
        <v>39401</v>
      </c>
      <c r="S55" s="46"/>
      <c r="T55" s="45">
        <v>39492</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39479</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277</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445605</v>
      </c>
      <c r="M66" s="34"/>
      <c r="N66" s="34">
        <f>30319+2722+842</f>
        <v>33883</v>
      </c>
      <c r="O66" s="34"/>
      <c r="P66" s="34">
        <f>2722+842</f>
        <v>3564</v>
      </c>
      <c r="Q66" s="34"/>
      <c r="R66" s="34">
        <v>0</v>
      </c>
      <c r="S66" s="34"/>
      <c r="T66" s="53">
        <f>+L66-N66+P66-R66</f>
        <v>415286</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445605</v>
      </c>
      <c r="M69" s="34"/>
      <c r="N69" s="34">
        <f>SUM(N66:N68)</f>
        <v>33883</v>
      </c>
      <c r="O69" s="34"/>
      <c r="P69" s="34">
        <f>SUM(P66:P68)</f>
        <v>3564</v>
      </c>
      <c r="Q69" s="34"/>
      <c r="R69" s="34">
        <f>SUM(R66:R68)</f>
        <v>0</v>
      </c>
      <c r="S69" s="34"/>
      <c r="T69" s="54">
        <f>SUM(T66:T68)</f>
        <v>415286</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2"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2" ht="15.6" x14ac:dyDescent="0.3">
      <c r="A82" s="24"/>
      <c r="B82" s="25" t="s">
        <v>27</v>
      </c>
      <c r="C82" s="34"/>
      <c r="D82" s="34"/>
      <c r="E82" s="34"/>
      <c r="F82" s="54"/>
      <c r="G82" s="34"/>
      <c r="H82" s="54"/>
      <c r="I82" s="54"/>
      <c r="J82" s="54">
        <f>SUM(J69:J81)</f>
        <v>700000</v>
      </c>
      <c r="K82" s="34"/>
      <c r="L82" s="54">
        <f>SUM(L69:L81)</f>
        <v>445605</v>
      </c>
      <c r="M82" s="34"/>
      <c r="N82" s="34"/>
      <c r="O82" s="34"/>
      <c r="P82" s="34"/>
      <c r="Q82" s="34"/>
      <c r="R82" s="54"/>
      <c r="S82" s="34"/>
      <c r="T82" s="54">
        <f>SUM(T69:T81)</f>
        <v>415286</v>
      </c>
      <c r="U82" s="25"/>
      <c r="V82" s="5"/>
    </row>
    <row r="83" spans="1:22"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2" ht="15.6" x14ac:dyDescent="0.3">
      <c r="A84" s="6"/>
      <c r="B84" s="8"/>
      <c r="C84" s="8"/>
      <c r="D84" s="8"/>
      <c r="E84" s="8"/>
      <c r="F84" s="8"/>
      <c r="G84" s="8"/>
      <c r="H84" s="8"/>
      <c r="I84" s="8"/>
      <c r="J84" s="8"/>
      <c r="K84" s="8"/>
      <c r="L84" s="8"/>
      <c r="M84" s="8"/>
      <c r="N84" s="8"/>
      <c r="O84" s="8"/>
      <c r="P84" s="8"/>
      <c r="Q84" s="8"/>
      <c r="R84" s="8"/>
      <c r="S84" s="8"/>
      <c r="T84" s="8"/>
      <c r="U84" s="8"/>
      <c r="V84" s="5"/>
    </row>
    <row r="85" spans="1:22" ht="15.6" x14ac:dyDescent="0.3">
      <c r="A85" s="6"/>
      <c r="B85" s="51" t="s">
        <v>28</v>
      </c>
      <c r="C85" s="14"/>
      <c r="D85" s="14"/>
      <c r="E85" s="14"/>
      <c r="F85" s="14"/>
      <c r="G85" s="14"/>
      <c r="H85" s="17"/>
      <c r="I85" s="17"/>
      <c r="J85" s="158" t="s">
        <v>101</v>
      </c>
      <c r="K85" s="17"/>
      <c r="L85" s="157">
        <f>+R195</f>
        <v>39478</v>
      </c>
      <c r="M85" s="17"/>
      <c r="N85" s="17"/>
      <c r="O85" s="17"/>
      <c r="P85" s="17"/>
      <c r="Q85" s="17"/>
      <c r="R85" s="17" t="s">
        <v>114</v>
      </c>
      <c r="S85" s="17"/>
      <c r="T85" s="17" t="s">
        <v>122</v>
      </c>
      <c r="U85" s="8"/>
      <c r="V85" s="5"/>
    </row>
    <row r="86" spans="1:22"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2" ht="15.6" x14ac:dyDescent="0.3">
      <c r="A87" s="24"/>
      <c r="B87" s="25" t="s">
        <v>30</v>
      </c>
      <c r="C87" s="25"/>
      <c r="D87" s="25"/>
      <c r="E87" s="25"/>
      <c r="F87" s="25"/>
      <c r="G87" s="25"/>
      <c r="H87" s="40"/>
      <c r="I87" s="57"/>
      <c r="J87" s="40"/>
      <c r="K87" s="25"/>
      <c r="L87" s="128"/>
      <c r="M87" s="25"/>
      <c r="N87" s="25"/>
      <c r="O87" s="25"/>
      <c r="P87" s="25"/>
      <c r="Q87" s="25"/>
      <c r="R87" s="34">
        <f>33883-28</f>
        <v>33855</v>
      </c>
      <c r="S87" s="25"/>
      <c r="T87" s="53"/>
      <c r="U87" s="25"/>
      <c r="V87" s="5"/>
    </row>
    <row r="88" spans="1:22" ht="15.6" x14ac:dyDescent="0.3">
      <c r="A88" s="24"/>
      <c r="B88" s="25" t="s">
        <v>254</v>
      </c>
      <c r="C88" s="25"/>
      <c r="D88" s="25"/>
      <c r="E88" s="25"/>
      <c r="F88" s="25"/>
      <c r="G88" s="25"/>
      <c r="H88" s="40"/>
      <c r="I88" s="57"/>
      <c r="J88" s="40"/>
      <c r="K88" s="25"/>
      <c r="L88" s="128"/>
      <c r="M88" s="25"/>
      <c r="N88" s="25"/>
      <c r="O88" s="25"/>
      <c r="P88" s="25"/>
      <c r="Q88" s="25"/>
      <c r="R88" s="34"/>
      <c r="S88" s="25"/>
      <c r="T88" s="53">
        <f>7036+3051-2413-803</f>
        <v>6871</v>
      </c>
      <c r="U88" s="25"/>
      <c r="V88" s="5"/>
    </row>
    <row r="89" spans="1:22" ht="15.6" x14ac:dyDescent="0.3">
      <c r="A89" s="24"/>
      <c r="B89" s="25" t="s">
        <v>255</v>
      </c>
      <c r="C89" s="25"/>
      <c r="D89" s="25"/>
      <c r="E89" s="25"/>
      <c r="F89" s="25"/>
      <c r="G89" s="25"/>
      <c r="H89" s="40"/>
      <c r="I89" s="57"/>
      <c r="J89" s="40"/>
      <c r="K89" s="25"/>
      <c r="L89" s="128"/>
      <c r="M89" s="25"/>
      <c r="N89" s="25"/>
      <c r="O89" s="25"/>
      <c r="P89" s="25"/>
      <c r="Q89" s="25"/>
      <c r="R89" s="34"/>
      <c r="S89" s="25"/>
      <c r="T89" s="53">
        <f>274+231</f>
        <v>505</v>
      </c>
      <c r="U89" s="25"/>
      <c r="V89" s="5"/>
    </row>
    <row r="90" spans="1:22" ht="15.6" x14ac:dyDescent="0.3">
      <c r="A90" s="24"/>
      <c r="B90" s="25" t="s">
        <v>256</v>
      </c>
      <c r="C90" s="25"/>
      <c r="D90" s="25"/>
      <c r="E90" s="25"/>
      <c r="F90" s="25"/>
      <c r="G90" s="25"/>
      <c r="H90" s="40"/>
      <c r="I90" s="57"/>
      <c r="J90" s="40"/>
      <c r="K90" s="25"/>
      <c r="L90" s="128"/>
      <c r="M90" s="25"/>
      <c r="N90" s="25"/>
      <c r="O90" s="25"/>
      <c r="P90" s="25"/>
      <c r="Q90" s="25"/>
      <c r="R90" s="34"/>
      <c r="S90" s="25"/>
      <c r="T90" s="53">
        <v>847</v>
      </c>
      <c r="U90" s="25"/>
      <c r="V90" s="5"/>
    </row>
    <row r="91" spans="1:22" ht="15.6" x14ac:dyDescent="0.3">
      <c r="A91" s="24"/>
      <c r="B91" s="25" t="s">
        <v>270</v>
      </c>
      <c r="C91" s="25"/>
      <c r="D91" s="25"/>
      <c r="E91" s="25"/>
      <c r="F91" s="25"/>
      <c r="G91" s="25"/>
      <c r="H91" s="40"/>
      <c r="I91" s="57"/>
      <c r="J91" s="40"/>
      <c r="K91" s="25"/>
      <c r="L91" s="128"/>
      <c r="M91" s="25"/>
      <c r="N91" s="25"/>
      <c r="O91" s="25"/>
      <c r="P91" s="25"/>
      <c r="Q91" s="25"/>
      <c r="R91" s="34"/>
      <c r="S91" s="25"/>
      <c r="T91" s="53">
        <f>9+441</f>
        <v>450</v>
      </c>
      <c r="U91" s="25"/>
      <c r="V91" s="5"/>
    </row>
    <row r="92" spans="1:22" ht="15.6" x14ac:dyDescent="0.3">
      <c r="A92" s="24"/>
      <c r="B92" s="25" t="s">
        <v>144</v>
      </c>
      <c r="C92" s="25"/>
      <c r="D92" s="25"/>
      <c r="E92" s="25"/>
      <c r="F92" s="25"/>
      <c r="G92" s="25"/>
      <c r="H92" s="25"/>
      <c r="I92" s="25"/>
      <c r="J92" s="25"/>
      <c r="K92" s="25"/>
      <c r="L92" s="25"/>
      <c r="M92" s="25"/>
      <c r="N92" s="25"/>
      <c r="O92" s="25"/>
      <c r="P92" s="25"/>
      <c r="Q92" s="25"/>
      <c r="R92" s="34"/>
      <c r="S92" s="25"/>
      <c r="T92" s="53">
        <v>0</v>
      </c>
      <c r="U92" s="25"/>
      <c r="V92" s="5"/>
    </row>
    <row r="93" spans="1:22" ht="15.6" x14ac:dyDescent="0.3">
      <c r="A93" s="24"/>
      <c r="B93" s="25" t="s">
        <v>233</v>
      </c>
      <c r="C93" s="25"/>
      <c r="D93" s="25"/>
      <c r="E93" s="25"/>
      <c r="F93" s="25"/>
      <c r="G93" s="25"/>
      <c r="H93" s="25"/>
      <c r="I93" s="25"/>
      <c r="J93" s="25"/>
      <c r="K93" s="25"/>
      <c r="L93" s="25"/>
      <c r="M93" s="25"/>
      <c r="N93" s="25"/>
      <c r="O93" s="25"/>
      <c r="P93" s="25"/>
      <c r="Q93" s="25"/>
      <c r="R93" s="34"/>
      <c r="S93" s="25"/>
      <c r="T93" s="53">
        <v>0</v>
      </c>
      <c r="U93" s="25"/>
      <c r="V93" s="5"/>
    </row>
    <row r="94" spans="1:22" ht="15.6" x14ac:dyDescent="0.3">
      <c r="A94" s="24"/>
      <c r="B94" s="25" t="s">
        <v>32</v>
      </c>
      <c r="C94" s="25"/>
      <c r="D94" s="25"/>
      <c r="E94" s="25"/>
      <c r="F94" s="25"/>
      <c r="G94" s="25"/>
      <c r="H94" s="25"/>
      <c r="I94" s="25"/>
      <c r="J94" s="25"/>
      <c r="K94" s="25"/>
      <c r="L94" s="25"/>
      <c r="M94" s="25"/>
      <c r="N94" s="25"/>
      <c r="O94" s="25"/>
      <c r="P94" s="25"/>
      <c r="Q94" s="25"/>
      <c r="R94" s="34">
        <f>SUM(R86:R93)</f>
        <v>33855</v>
      </c>
      <c r="S94" s="25"/>
      <c r="T94" s="54">
        <f>SUM(T86:T93)</f>
        <v>8673</v>
      </c>
      <c r="U94" s="25"/>
      <c r="V94" s="5"/>
    </row>
    <row r="95" spans="1:22" ht="15.6" x14ac:dyDescent="0.3">
      <c r="A95" s="24"/>
      <c r="B95" s="25" t="s">
        <v>176</v>
      </c>
      <c r="C95" s="25"/>
      <c r="D95" s="25"/>
      <c r="E95" s="25"/>
      <c r="F95" s="25"/>
      <c r="G95" s="25"/>
      <c r="H95" s="25"/>
      <c r="I95" s="25"/>
      <c r="J95" s="25"/>
      <c r="K95" s="25"/>
      <c r="L95" s="25"/>
      <c r="M95" s="25"/>
      <c r="N95" s="25"/>
      <c r="O95" s="25"/>
      <c r="P95" s="25"/>
      <c r="Q95" s="25"/>
      <c r="R95" s="34">
        <v>-119</v>
      </c>
      <c r="S95" s="25"/>
      <c r="T95" s="54">
        <f>-R95</f>
        <v>119</v>
      </c>
      <c r="U95" s="25"/>
      <c r="V95" s="5"/>
    </row>
    <row r="96" spans="1:22" ht="15.6" x14ac:dyDescent="0.3">
      <c r="A96" s="24"/>
      <c r="B96" s="25" t="s">
        <v>33</v>
      </c>
      <c r="C96" s="25"/>
      <c r="D96" s="25"/>
      <c r="E96" s="25"/>
      <c r="F96" s="25"/>
      <c r="G96" s="25"/>
      <c r="H96" s="25"/>
      <c r="I96" s="25"/>
      <c r="J96" s="25"/>
      <c r="K96" s="25"/>
      <c r="L96" s="25"/>
      <c r="M96" s="25"/>
      <c r="N96" s="25"/>
      <c r="O96" s="25"/>
      <c r="P96" s="25"/>
      <c r="Q96" s="25"/>
      <c r="R96" s="34">
        <f>-T96</f>
        <v>0</v>
      </c>
      <c r="S96" s="25"/>
      <c r="T96" s="53">
        <v>0</v>
      </c>
      <c r="U96" s="25"/>
      <c r="V96" s="5"/>
    </row>
    <row r="97" spans="1:23" ht="15.6" x14ac:dyDescent="0.3">
      <c r="A97" s="24"/>
      <c r="B97" s="25" t="s">
        <v>278</v>
      </c>
      <c r="C97" s="25"/>
      <c r="D97" s="25"/>
      <c r="E97" s="25"/>
      <c r="F97" s="25"/>
      <c r="G97" s="25"/>
      <c r="H97" s="25"/>
      <c r="I97" s="25"/>
      <c r="J97" s="25"/>
      <c r="K97" s="25"/>
      <c r="L97" s="25"/>
      <c r="M97" s="25"/>
      <c r="N97" s="25"/>
      <c r="O97" s="25"/>
      <c r="P97" s="25"/>
      <c r="Q97" s="25"/>
      <c r="R97" s="34"/>
      <c r="S97" s="25"/>
      <c r="T97" s="53">
        <v>0</v>
      </c>
      <c r="U97" s="25"/>
      <c r="V97" s="5"/>
    </row>
    <row r="98" spans="1:23" ht="15.6" x14ac:dyDescent="0.3">
      <c r="A98" s="24"/>
      <c r="B98" s="25" t="s">
        <v>34</v>
      </c>
      <c r="C98" s="25"/>
      <c r="D98" s="25"/>
      <c r="E98" s="25"/>
      <c r="F98" s="25"/>
      <c r="G98" s="25"/>
      <c r="H98" s="25"/>
      <c r="I98" s="25"/>
      <c r="J98" s="25"/>
      <c r="K98" s="25"/>
      <c r="L98" s="25"/>
      <c r="M98" s="25"/>
      <c r="N98" s="25"/>
      <c r="O98" s="25"/>
      <c r="P98" s="25"/>
      <c r="Q98" s="25"/>
      <c r="R98" s="34">
        <f>R94+R96+R95</f>
        <v>33736</v>
      </c>
      <c r="S98" s="25"/>
      <c r="T98" s="54">
        <f>T94+T96+T95+T97</f>
        <v>8792</v>
      </c>
      <c r="U98" s="25"/>
      <c r="V98" s="5"/>
      <c r="W98" s="166"/>
    </row>
    <row r="99" spans="1:23" ht="15.6" x14ac:dyDescent="0.3">
      <c r="A99" s="24"/>
      <c r="B99" s="119" t="s">
        <v>35</v>
      </c>
      <c r="C99" s="25"/>
      <c r="D99" s="25"/>
      <c r="E99" s="25"/>
      <c r="F99" s="25"/>
      <c r="G99" s="25"/>
      <c r="H99" s="25"/>
      <c r="I99" s="25"/>
      <c r="J99" s="25"/>
      <c r="K99" s="25"/>
      <c r="L99" s="25"/>
      <c r="M99" s="25"/>
      <c r="N99" s="25"/>
      <c r="O99" s="25"/>
      <c r="P99" s="25"/>
      <c r="Q99" s="25"/>
      <c r="R99" s="34"/>
      <c r="S99" s="25"/>
      <c r="T99" s="53"/>
      <c r="U99" s="25"/>
      <c r="V99" s="5"/>
    </row>
    <row r="100" spans="1:23" ht="15.6" x14ac:dyDescent="0.3">
      <c r="A100" s="24">
        <v>1</v>
      </c>
      <c r="B100" s="25" t="s">
        <v>36</v>
      </c>
      <c r="C100" s="25"/>
      <c r="D100" s="25"/>
      <c r="E100" s="25"/>
      <c r="F100" s="25"/>
      <c r="G100" s="25"/>
      <c r="H100" s="25"/>
      <c r="I100" s="25"/>
      <c r="J100" s="25"/>
      <c r="K100" s="25"/>
      <c r="L100" s="25"/>
      <c r="M100" s="25"/>
      <c r="N100" s="25"/>
      <c r="O100" s="25"/>
      <c r="P100" s="25"/>
      <c r="Q100" s="25"/>
      <c r="R100" s="25"/>
      <c r="S100" s="25"/>
      <c r="T100" s="53">
        <v>0</v>
      </c>
      <c r="U100" s="25"/>
      <c r="V100" s="5"/>
    </row>
    <row r="101" spans="1:23" ht="15.6" x14ac:dyDescent="0.3">
      <c r="A101" s="24">
        <f>+A100+1</f>
        <v>2</v>
      </c>
      <c r="B101" s="25" t="s">
        <v>37</v>
      </c>
      <c r="C101" s="25"/>
      <c r="D101" s="25"/>
      <c r="E101" s="25"/>
      <c r="F101" s="25"/>
      <c r="G101" s="25"/>
      <c r="H101" s="25"/>
      <c r="I101" s="25"/>
      <c r="J101" s="25"/>
      <c r="K101" s="25"/>
      <c r="L101" s="25"/>
      <c r="M101" s="25"/>
      <c r="N101" s="25"/>
      <c r="O101" s="25"/>
      <c r="P101" s="25"/>
      <c r="Q101" s="25"/>
      <c r="R101" s="25"/>
      <c r="S101" s="25"/>
      <c r="T101" s="53">
        <v>-2</v>
      </c>
      <c r="U101" s="25"/>
      <c r="V101" s="5"/>
    </row>
    <row r="102" spans="1:23" ht="15.6" x14ac:dyDescent="0.3">
      <c r="A102" s="24">
        <f>+A101+1</f>
        <v>3</v>
      </c>
      <c r="B102" s="25" t="s">
        <v>160</v>
      </c>
      <c r="C102" s="25"/>
      <c r="D102" s="25"/>
      <c r="E102" s="25"/>
      <c r="F102" s="25"/>
      <c r="G102" s="25"/>
      <c r="H102" s="25"/>
      <c r="I102" s="25"/>
      <c r="J102" s="25"/>
      <c r="K102" s="25"/>
      <c r="L102" s="25"/>
      <c r="M102" s="25"/>
      <c r="N102" s="25"/>
      <c r="O102" s="25"/>
      <c r="P102" s="25"/>
      <c r="Q102" s="25"/>
      <c r="R102" s="25"/>
      <c r="S102" s="25"/>
      <c r="T102" s="53">
        <f>-169-24-6</f>
        <v>-199</v>
      </c>
      <c r="U102" s="25"/>
      <c r="V102" s="5"/>
    </row>
    <row r="103" spans="1:23" ht="15.6" x14ac:dyDescent="0.3">
      <c r="A103" s="24" t="s">
        <v>136</v>
      </c>
      <c r="B103" s="25" t="s">
        <v>125</v>
      </c>
      <c r="C103" s="25"/>
      <c r="D103" s="25"/>
      <c r="E103" s="25"/>
      <c r="F103" s="25"/>
      <c r="G103" s="25"/>
      <c r="H103" s="25"/>
      <c r="I103" s="25"/>
      <c r="J103" s="25"/>
      <c r="K103" s="25"/>
      <c r="L103" s="25"/>
      <c r="M103" s="25"/>
      <c r="N103" s="25"/>
      <c r="O103" s="25"/>
      <c r="P103" s="25"/>
      <c r="Q103" s="25"/>
      <c r="R103" s="25"/>
      <c r="S103" s="25"/>
      <c r="T103" s="53">
        <v>0</v>
      </c>
      <c r="U103" s="25"/>
      <c r="V103" s="5"/>
    </row>
    <row r="104" spans="1:23" ht="15.6" x14ac:dyDescent="0.3">
      <c r="A104" s="24" t="s">
        <v>137</v>
      </c>
      <c r="B104" s="25" t="s">
        <v>267</v>
      </c>
      <c r="C104" s="25"/>
      <c r="D104" s="25"/>
      <c r="E104" s="25"/>
      <c r="F104" s="25"/>
      <c r="G104" s="25"/>
      <c r="H104" s="25"/>
      <c r="I104" s="25"/>
      <c r="J104" s="25"/>
      <c r="K104" s="25"/>
      <c r="L104" s="25"/>
      <c r="M104" s="25"/>
      <c r="N104" s="25"/>
      <c r="O104" s="25"/>
      <c r="P104" s="25"/>
      <c r="Q104" s="25"/>
      <c r="R104" s="25"/>
      <c r="S104" s="25"/>
      <c r="T104" s="53">
        <v>-2</v>
      </c>
      <c r="U104" s="25"/>
      <c r="V104" s="5"/>
    </row>
    <row r="105" spans="1:23" ht="15.6" x14ac:dyDescent="0.3">
      <c r="A105" s="24" t="s">
        <v>162</v>
      </c>
      <c r="B105" s="25" t="s">
        <v>218</v>
      </c>
      <c r="C105" s="25"/>
      <c r="D105" s="25"/>
      <c r="E105" s="25"/>
      <c r="F105" s="25"/>
      <c r="G105" s="25"/>
      <c r="H105" s="25"/>
      <c r="I105" s="25"/>
      <c r="J105" s="25"/>
      <c r="K105" s="25"/>
      <c r="L105" s="25"/>
      <c r="M105" s="25"/>
      <c r="N105" s="25"/>
      <c r="O105" s="25"/>
      <c r="P105" s="25"/>
      <c r="Q105" s="25"/>
      <c r="R105" s="25"/>
      <c r="S105" s="25"/>
      <c r="T105" s="53">
        <v>-3371</v>
      </c>
      <c r="U105" s="25"/>
      <c r="V105" s="5"/>
      <c r="W105" s="110"/>
    </row>
    <row r="106" spans="1:23" ht="15.6" x14ac:dyDescent="0.3">
      <c r="A106" s="24" t="s">
        <v>163</v>
      </c>
      <c r="B106" s="25" t="s">
        <v>219</v>
      </c>
      <c r="C106" s="25"/>
      <c r="D106" s="25"/>
      <c r="E106" s="25"/>
      <c r="F106" s="25"/>
      <c r="G106" s="25"/>
      <c r="H106" s="25"/>
      <c r="I106" s="25"/>
      <c r="J106" s="25"/>
      <c r="K106" s="25"/>
      <c r="L106" s="25"/>
      <c r="M106" s="25"/>
      <c r="N106" s="25"/>
      <c r="O106" s="25"/>
      <c r="P106" s="25"/>
      <c r="Q106" s="25"/>
      <c r="R106" s="25"/>
      <c r="S106" s="25"/>
      <c r="T106" s="53">
        <v>-2385</v>
      </c>
      <c r="U106" s="25"/>
      <c r="V106" s="5"/>
      <c r="W106" s="110"/>
    </row>
    <row r="107" spans="1:23" ht="15.6" x14ac:dyDescent="0.3">
      <c r="A107" s="24" t="s">
        <v>252</v>
      </c>
      <c r="B107" s="25" t="s">
        <v>242</v>
      </c>
      <c r="C107" s="25"/>
      <c r="D107" s="25"/>
      <c r="E107" s="25"/>
      <c r="F107" s="25"/>
      <c r="G107" s="25"/>
      <c r="H107" s="25"/>
      <c r="I107" s="25"/>
      <c r="J107" s="25"/>
      <c r="K107" s="25"/>
      <c r="L107" s="25"/>
      <c r="M107" s="25"/>
      <c r="N107" s="25"/>
      <c r="O107" s="25"/>
      <c r="P107" s="25"/>
      <c r="Q107" s="25"/>
      <c r="R107" s="25"/>
      <c r="S107" s="25"/>
      <c r="T107" s="53">
        <v>-331</v>
      </c>
      <c r="U107" s="25"/>
      <c r="V107" s="170"/>
      <c r="W107" s="110"/>
    </row>
    <row r="108" spans="1:23" ht="15.6" x14ac:dyDescent="0.3">
      <c r="A108" s="24" t="s">
        <v>245</v>
      </c>
      <c r="B108" s="25" t="s">
        <v>220</v>
      </c>
      <c r="C108" s="25"/>
      <c r="D108" s="25"/>
      <c r="E108" s="25"/>
      <c r="F108" s="25"/>
      <c r="G108" s="25"/>
      <c r="H108" s="25"/>
      <c r="I108" s="25"/>
      <c r="J108" s="25"/>
      <c r="K108" s="25"/>
      <c r="L108" s="25"/>
      <c r="M108" s="25"/>
      <c r="N108" s="25"/>
      <c r="O108" s="25"/>
      <c r="P108" s="25"/>
      <c r="Q108" s="25"/>
      <c r="R108" s="25"/>
      <c r="S108" s="25"/>
      <c r="T108" s="53">
        <v>-117</v>
      </c>
      <c r="U108" s="25"/>
      <c r="V108" s="5"/>
      <c r="W108" s="110"/>
    </row>
    <row r="109" spans="1:23" ht="15.6" x14ac:dyDescent="0.3">
      <c r="A109" s="24" t="s">
        <v>246</v>
      </c>
      <c r="B109" s="25" t="s">
        <v>221</v>
      </c>
      <c r="C109" s="25"/>
      <c r="D109" s="25"/>
      <c r="E109" s="25"/>
      <c r="F109" s="25"/>
      <c r="G109" s="25"/>
      <c r="H109" s="25"/>
      <c r="I109" s="25"/>
      <c r="J109" s="25"/>
      <c r="K109" s="25"/>
      <c r="L109" s="25"/>
      <c r="M109" s="25"/>
      <c r="N109" s="25"/>
      <c r="O109" s="25"/>
      <c r="P109" s="25"/>
      <c r="Q109" s="25"/>
      <c r="R109" s="25"/>
      <c r="S109" s="25"/>
      <c r="T109" s="53">
        <v>-341</v>
      </c>
      <c r="U109" s="25"/>
      <c r="V109" s="5"/>
      <c r="W109" s="110"/>
    </row>
    <row r="110" spans="1:23" ht="15.6" x14ac:dyDescent="0.3">
      <c r="A110" s="24" t="s">
        <v>247</v>
      </c>
      <c r="B110" s="25" t="s">
        <v>222</v>
      </c>
      <c r="C110" s="25"/>
      <c r="D110" s="25"/>
      <c r="E110" s="25"/>
      <c r="F110" s="25"/>
      <c r="G110" s="25"/>
      <c r="H110" s="25"/>
      <c r="I110" s="25"/>
      <c r="J110" s="25"/>
      <c r="K110" s="25"/>
      <c r="L110" s="25"/>
      <c r="M110" s="25"/>
      <c r="N110" s="25"/>
      <c r="O110" s="25"/>
      <c r="P110" s="25"/>
      <c r="Q110" s="25"/>
      <c r="R110" s="25"/>
      <c r="S110" s="25"/>
      <c r="T110" s="53">
        <v>-52</v>
      </c>
      <c r="U110" s="25"/>
      <c r="V110" s="5"/>
      <c r="W110" s="110"/>
    </row>
    <row r="111" spans="1:23" ht="15.6" x14ac:dyDescent="0.3">
      <c r="A111" s="24" t="s">
        <v>248</v>
      </c>
      <c r="B111" s="25" t="s">
        <v>223</v>
      </c>
      <c r="C111" s="25"/>
      <c r="D111" s="25"/>
      <c r="E111" s="25"/>
      <c r="F111" s="25"/>
      <c r="G111" s="25"/>
      <c r="H111" s="25"/>
      <c r="I111" s="25"/>
      <c r="J111" s="25"/>
      <c r="K111" s="25"/>
      <c r="L111" s="25"/>
      <c r="M111" s="25"/>
      <c r="N111" s="25"/>
      <c r="O111" s="25"/>
      <c r="P111" s="25"/>
      <c r="Q111" s="25"/>
      <c r="R111" s="25"/>
      <c r="S111" s="25"/>
      <c r="T111" s="53">
        <v>-788</v>
      </c>
      <c r="U111" s="25"/>
      <c r="V111" s="5"/>
      <c r="W111" s="110"/>
    </row>
    <row r="112" spans="1:23" ht="15.6" x14ac:dyDescent="0.3">
      <c r="A112" s="24">
        <v>7</v>
      </c>
      <c r="B112" s="25" t="s">
        <v>38</v>
      </c>
      <c r="C112" s="25"/>
      <c r="D112" s="25"/>
      <c r="E112" s="25"/>
      <c r="F112" s="25"/>
      <c r="G112" s="25"/>
      <c r="H112" s="25"/>
      <c r="I112" s="25"/>
      <c r="J112" s="25"/>
      <c r="K112" s="25"/>
      <c r="L112" s="25"/>
      <c r="M112" s="25"/>
      <c r="N112" s="25"/>
      <c r="O112" s="25"/>
      <c r="P112" s="25"/>
      <c r="Q112" s="25"/>
      <c r="R112" s="25"/>
      <c r="S112" s="25"/>
      <c r="T112" s="53">
        <v>-8</v>
      </c>
      <c r="U112" s="25"/>
      <c r="V112" s="5"/>
    </row>
    <row r="113" spans="1:22" ht="15.6" x14ac:dyDescent="0.3">
      <c r="A113" s="24">
        <f t="shared" ref="A113:A118" si="0">+A112+1</f>
        <v>8</v>
      </c>
      <c r="B113" s="25" t="s">
        <v>49</v>
      </c>
      <c r="C113" s="25"/>
      <c r="D113" s="25"/>
      <c r="E113" s="25"/>
      <c r="F113" s="25"/>
      <c r="G113" s="25"/>
      <c r="H113" s="25"/>
      <c r="I113" s="25"/>
      <c r="J113" s="25"/>
      <c r="K113" s="25"/>
      <c r="L113" s="25"/>
      <c r="M113" s="25"/>
      <c r="N113" s="25"/>
      <c r="O113" s="25"/>
      <c r="P113" s="25"/>
      <c r="Q113" s="25"/>
      <c r="R113" s="34">
        <f>-T113</f>
        <v>28</v>
      </c>
      <c r="S113" s="25"/>
      <c r="T113" s="53">
        <v>-28</v>
      </c>
      <c r="U113" s="25"/>
      <c r="V113" s="5"/>
    </row>
    <row r="114" spans="1:22" ht="15.6" x14ac:dyDescent="0.3">
      <c r="A114" s="24">
        <f t="shared" si="0"/>
        <v>9</v>
      </c>
      <c r="B114" s="25" t="s">
        <v>134</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39</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40</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161</v>
      </c>
      <c r="C117" s="25"/>
      <c r="D117" s="25"/>
      <c r="E117" s="25"/>
      <c r="F117" s="25"/>
      <c r="G117" s="25"/>
      <c r="H117" s="25"/>
      <c r="I117" s="25"/>
      <c r="J117" s="25"/>
      <c r="K117" s="25"/>
      <c r="L117" s="25"/>
      <c r="M117" s="25"/>
      <c r="N117" s="25"/>
      <c r="O117" s="25"/>
      <c r="P117" s="25"/>
      <c r="Q117" s="25"/>
      <c r="R117" s="25"/>
      <c r="S117" s="25"/>
      <c r="T117" s="53">
        <v>-169</v>
      </c>
      <c r="U117" s="25"/>
      <c r="V117" s="5"/>
    </row>
    <row r="118" spans="1:22" ht="15.6" x14ac:dyDescent="0.3">
      <c r="A118" s="24">
        <f t="shared" si="0"/>
        <v>13</v>
      </c>
      <c r="B118" s="25" t="s">
        <v>135</v>
      </c>
      <c r="C118" s="25"/>
      <c r="D118" s="25"/>
      <c r="E118" s="25"/>
      <c r="F118" s="25"/>
      <c r="G118" s="25"/>
      <c r="H118" s="25"/>
      <c r="I118" s="25"/>
      <c r="J118" s="25"/>
      <c r="K118" s="25"/>
      <c r="L118" s="25"/>
      <c r="M118" s="25"/>
      <c r="N118" s="25"/>
      <c r="O118" s="25"/>
      <c r="P118" s="25"/>
      <c r="Q118" s="25"/>
      <c r="R118" s="25"/>
      <c r="S118" s="25"/>
      <c r="T118" s="53">
        <f>-T98-SUM(T100:T117)</f>
        <v>-999</v>
      </c>
      <c r="U118" s="25"/>
      <c r="V118" s="5"/>
    </row>
    <row r="119" spans="1:22" ht="15.6" x14ac:dyDescent="0.3">
      <c r="A119" s="24"/>
      <c r="B119" s="119" t="s">
        <v>41</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229</v>
      </c>
      <c r="C120" s="25"/>
      <c r="D120" s="25"/>
      <c r="E120" s="25"/>
      <c r="F120" s="25"/>
      <c r="G120" s="25"/>
      <c r="H120" s="25"/>
      <c r="I120" s="25"/>
      <c r="J120" s="25"/>
      <c r="K120" s="25"/>
      <c r="L120" s="25"/>
      <c r="M120" s="25"/>
      <c r="N120" s="25"/>
      <c r="O120" s="25"/>
      <c r="P120" s="25"/>
      <c r="Q120" s="25"/>
      <c r="R120" s="34">
        <f>-R179</f>
        <v>0</v>
      </c>
      <c r="S120" s="34"/>
      <c r="T120" s="53"/>
      <c r="U120" s="25"/>
      <c r="V120" s="5"/>
    </row>
    <row r="121" spans="1:22" ht="15.6" x14ac:dyDescent="0.3">
      <c r="A121" s="24"/>
      <c r="B121" s="25" t="s">
        <v>230</v>
      </c>
      <c r="C121" s="25"/>
      <c r="D121" s="25"/>
      <c r="E121" s="25"/>
      <c r="F121" s="25"/>
      <c r="G121" s="25"/>
      <c r="H121" s="25"/>
      <c r="I121" s="25"/>
      <c r="J121" s="25"/>
      <c r="K121" s="25"/>
      <c r="L121" s="25"/>
      <c r="M121" s="25"/>
      <c r="N121" s="25"/>
      <c r="O121" s="25"/>
      <c r="P121" s="25"/>
      <c r="Q121" s="25"/>
      <c r="R121" s="34">
        <v>-120</v>
      </c>
      <c r="S121" s="34"/>
      <c r="T121" s="53"/>
      <c r="U121" s="25"/>
      <c r="V121" s="5"/>
    </row>
    <row r="122" spans="1:22" ht="15.6" x14ac:dyDescent="0.3">
      <c r="A122" s="24"/>
      <c r="B122" s="25" t="s">
        <v>42</v>
      </c>
      <c r="C122" s="25"/>
      <c r="D122" s="25"/>
      <c r="E122" s="25"/>
      <c r="F122" s="25"/>
      <c r="G122" s="25"/>
      <c r="H122" s="25"/>
      <c r="I122" s="25"/>
      <c r="J122" s="25"/>
      <c r="K122" s="25"/>
      <c r="L122" s="25"/>
      <c r="M122" s="25"/>
      <c r="N122" s="25"/>
      <c r="O122" s="25"/>
      <c r="P122" s="25"/>
      <c r="Q122" s="25"/>
      <c r="R122" s="34">
        <f>-Q179</f>
        <v>-3325</v>
      </c>
      <c r="S122" s="34"/>
      <c r="T122" s="53"/>
      <c r="U122" s="25"/>
      <c r="V122" s="5"/>
    </row>
    <row r="123" spans="1:22" ht="15.6" x14ac:dyDescent="0.3">
      <c r="A123" s="24"/>
      <c r="B123" s="25" t="s">
        <v>235</v>
      </c>
      <c r="C123" s="25"/>
      <c r="D123" s="25"/>
      <c r="E123" s="25"/>
      <c r="F123" s="25"/>
      <c r="G123" s="25"/>
      <c r="H123" s="25"/>
      <c r="I123" s="25"/>
      <c r="J123" s="25"/>
      <c r="K123" s="25"/>
      <c r="L123" s="25"/>
      <c r="M123" s="25"/>
      <c r="N123" s="25"/>
      <c r="O123" s="25"/>
      <c r="P123" s="25"/>
      <c r="Q123" s="25"/>
      <c r="R123" s="34">
        <v>-16801</v>
      </c>
      <c r="S123" s="34"/>
      <c r="T123" s="53"/>
      <c r="U123" s="25"/>
      <c r="V123" s="5"/>
    </row>
    <row r="124" spans="1:22" ht="15.6" x14ac:dyDescent="0.3">
      <c r="A124" s="24"/>
      <c r="B124" s="25" t="s">
        <v>236</v>
      </c>
      <c r="C124" s="25"/>
      <c r="D124" s="25"/>
      <c r="E124" s="25"/>
      <c r="F124" s="25"/>
      <c r="G124" s="25"/>
      <c r="H124" s="25"/>
      <c r="I124" s="25"/>
      <c r="J124" s="25"/>
      <c r="K124" s="25"/>
      <c r="L124" s="25"/>
      <c r="M124" s="25"/>
      <c r="N124" s="25"/>
      <c r="O124" s="25"/>
      <c r="P124" s="25"/>
      <c r="Q124" s="25"/>
      <c r="R124" s="34">
        <v>-11872</v>
      </c>
      <c r="S124" s="34"/>
      <c r="T124" s="53"/>
      <c r="U124" s="25"/>
      <c r="V124" s="5"/>
    </row>
    <row r="125" spans="1:22" ht="15.6" x14ac:dyDescent="0.3">
      <c r="A125" s="24"/>
      <c r="B125" s="25" t="s">
        <v>241</v>
      </c>
      <c r="C125" s="25"/>
      <c r="D125" s="25"/>
      <c r="E125" s="25"/>
      <c r="F125" s="25"/>
      <c r="G125" s="25"/>
      <c r="H125" s="25"/>
      <c r="I125" s="25"/>
      <c r="J125" s="25"/>
      <c r="K125" s="25"/>
      <c r="L125" s="25"/>
      <c r="M125" s="25"/>
      <c r="N125" s="25"/>
      <c r="O125" s="25"/>
      <c r="P125" s="25"/>
      <c r="Q125" s="25"/>
      <c r="R125" s="34">
        <v>-1646</v>
      </c>
      <c r="S125" s="34"/>
      <c r="T125" s="53"/>
      <c r="U125" s="25"/>
      <c r="V125" s="5"/>
    </row>
    <row r="126" spans="1:22" ht="15.6" x14ac:dyDescent="0.3">
      <c r="A126" s="24"/>
      <c r="B126" s="25" t="s">
        <v>237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238</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239</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240</v>
      </c>
      <c r="C129" s="25"/>
      <c r="D129" s="25"/>
      <c r="E129" s="25"/>
      <c r="F129" s="25"/>
      <c r="G129" s="25"/>
      <c r="H129" s="25"/>
      <c r="I129" s="25"/>
      <c r="J129" s="25"/>
      <c r="K129" s="25"/>
      <c r="L129" s="25"/>
      <c r="M129" s="25"/>
      <c r="N129" s="25"/>
      <c r="O129" s="25"/>
      <c r="P129" s="25"/>
      <c r="Q129" s="25"/>
      <c r="R129" s="34">
        <v>0</v>
      </c>
      <c r="S129" s="34"/>
      <c r="T129" s="53"/>
      <c r="U129" s="25"/>
      <c r="V129" s="5"/>
    </row>
    <row r="130" spans="1:22" ht="15.6" x14ac:dyDescent="0.3">
      <c r="A130" s="24"/>
      <c r="B130" s="25" t="s">
        <v>43</v>
      </c>
      <c r="C130" s="25"/>
      <c r="D130" s="25"/>
      <c r="E130" s="25"/>
      <c r="F130" s="25"/>
      <c r="G130" s="25"/>
      <c r="H130" s="25"/>
      <c r="I130" s="25"/>
      <c r="J130" s="25"/>
      <c r="K130" s="25"/>
      <c r="L130" s="25"/>
      <c r="M130" s="25"/>
      <c r="N130" s="25"/>
      <c r="O130" s="25"/>
      <c r="P130" s="25"/>
      <c r="Q130" s="25"/>
      <c r="R130" s="34">
        <f>SUM(R120:R129)</f>
        <v>-33764</v>
      </c>
      <c r="S130" s="34"/>
      <c r="T130" s="34">
        <f>SUM(T99:T128)</f>
        <v>-8792</v>
      </c>
      <c r="U130" s="25"/>
      <c r="V130" s="5"/>
    </row>
    <row r="131" spans="1:22" ht="15.6" x14ac:dyDescent="0.3">
      <c r="A131" s="24"/>
      <c r="B131" s="25" t="s">
        <v>44</v>
      </c>
      <c r="C131" s="25"/>
      <c r="D131" s="25"/>
      <c r="E131" s="25"/>
      <c r="F131" s="25"/>
      <c r="G131" s="25"/>
      <c r="H131" s="25"/>
      <c r="I131" s="25"/>
      <c r="J131" s="25"/>
      <c r="K131" s="25"/>
      <c r="L131" s="25"/>
      <c r="M131" s="25"/>
      <c r="N131" s="25"/>
      <c r="O131" s="25"/>
      <c r="P131" s="25"/>
      <c r="Q131" s="25"/>
      <c r="R131" s="34">
        <f>R98+R130+R113</f>
        <v>0</v>
      </c>
      <c r="S131" s="34"/>
      <c r="T131" s="34">
        <f>T98+T130</f>
        <v>0</v>
      </c>
      <c r="U131" s="25"/>
      <c r="V131" s="5"/>
    </row>
    <row r="132" spans="1:22" ht="15.6" x14ac:dyDescent="0.3">
      <c r="A132" s="24"/>
      <c r="B132" s="25"/>
      <c r="C132" s="25"/>
      <c r="D132" s="25"/>
      <c r="E132" s="25"/>
      <c r="F132" s="25"/>
      <c r="G132" s="25"/>
      <c r="H132" s="25"/>
      <c r="I132" s="25"/>
      <c r="J132" s="25"/>
      <c r="K132" s="25"/>
      <c r="L132" s="25"/>
      <c r="M132" s="25"/>
      <c r="N132" s="25"/>
      <c r="O132" s="25"/>
      <c r="P132" s="25"/>
      <c r="Q132" s="25"/>
      <c r="R132" s="34"/>
      <c r="S132" s="34"/>
      <c r="T132" s="34"/>
      <c r="U132" s="25"/>
      <c r="V132" s="5"/>
    </row>
    <row r="133" spans="1:22" ht="15.6" x14ac:dyDescent="0.3">
      <c r="A133" s="6"/>
      <c r="B133" s="8"/>
      <c r="C133" s="8"/>
      <c r="D133" s="8"/>
      <c r="E133" s="8"/>
      <c r="F133" s="8"/>
      <c r="G133" s="8"/>
      <c r="H133" s="8"/>
      <c r="I133" s="8"/>
      <c r="J133" s="8"/>
      <c r="K133" s="8"/>
      <c r="L133" s="8"/>
      <c r="M133" s="8"/>
      <c r="N133" s="8"/>
      <c r="O133" s="8"/>
      <c r="P133" s="8"/>
      <c r="Q133" s="8"/>
      <c r="R133" s="8"/>
      <c r="S133" s="8"/>
      <c r="T133" s="52"/>
      <c r="U133" s="8"/>
      <c r="V133" s="5"/>
    </row>
    <row r="134" spans="1:22" ht="18" thickBot="1" x14ac:dyDescent="0.35">
      <c r="A134" s="102"/>
      <c r="B134" s="103" t="str">
        <f>B61</f>
        <v>PM9 INVESTOR REPORT QUARTER ENDING JANUARY 2008</v>
      </c>
      <c r="C134" s="104"/>
      <c r="D134" s="104"/>
      <c r="E134" s="104"/>
      <c r="F134" s="104"/>
      <c r="G134" s="104"/>
      <c r="H134" s="104"/>
      <c r="I134" s="104"/>
      <c r="J134" s="104"/>
      <c r="K134" s="104"/>
      <c r="L134" s="104"/>
      <c r="M134" s="104"/>
      <c r="N134" s="104"/>
      <c r="O134" s="104"/>
      <c r="P134" s="104"/>
      <c r="Q134" s="104"/>
      <c r="R134" s="104"/>
      <c r="S134" s="104"/>
      <c r="T134" s="107"/>
      <c r="U134" s="106"/>
      <c r="V134" s="5"/>
    </row>
    <row r="135" spans="1:22" ht="15.6" x14ac:dyDescent="0.3">
      <c r="A135" s="2"/>
      <c r="B135" s="60" t="s">
        <v>45</v>
      </c>
      <c r="C135" s="4"/>
      <c r="D135" s="4"/>
      <c r="E135" s="4"/>
      <c r="F135" s="4"/>
      <c r="G135" s="4"/>
      <c r="H135" s="4"/>
      <c r="I135" s="4"/>
      <c r="J135" s="4"/>
      <c r="K135" s="4"/>
      <c r="L135" s="4"/>
      <c r="M135" s="4"/>
      <c r="N135" s="4"/>
      <c r="O135" s="4"/>
      <c r="P135" s="4"/>
      <c r="Q135" s="4"/>
      <c r="R135" s="4"/>
      <c r="S135" s="4"/>
      <c r="T135" s="50"/>
      <c r="U135" s="4"/>
      <c r="V135" s="5"/>
    </row>
    <row r="136" spans="1:22" ht="15.6" x14ac:dyDescent="0.3">
      <c r="A136" s="6"/>
      <c r="B136" s="21"/>
      <c r="C136" s="8"/>
      <c r="D136" s="8"/>
      <c r="E136" s="8"/>
      <c r="F136" s="8"/>
      <c r="G136" s="8"/>
      <c r="H136" s="8"/>
      <c r="I136" s="8"/>
      <c r="J136" s="8"/>
      <c r="K136" s="8"/>
      <c r="L136" s="8"/>
      <c r="M136" s="8"/>
      <c r="N136" s="8"/>
      <c r="O136" s="8"/>
      <c r="P136" s="8"/>
      <c r="Q136" s="8"/>
      <c r="R136" s="8"/>
      <c r="S136" s="8"/>
      <c r="T136" s="52"/>
      <c r="U136" s="8"/>
      <c r="V136" s="5"/>
    </row>
    <row r="137" spans="1:22" ht="15.6" x14ac:dyDescent="0.3">
      <c r="A137" s="6"/>
      <c r="B137" s="120" t="s">
        <v>46</v>
      </c>
      <c r="C137" s="8"/>
      <c r="D137" s="8"/>
      <c r="E137" s="8"/>
      <c r="F137" s="8"/>
      <c r="G137" s="8"/>
      <c r="H137" s="8"/>
      <c r="I137" s="8"/>
      <c r="J137" s="8"/>
      <c r="K137" s="8"/>
      <c r="L137" s="8"/>
      <c r="M137" s="8"/>
      <c r="N137" s="8"/>
      <c r="O137" s="8"/>
      <c r="P137" s="8"/>
      <c r="Q137" s="8"/>
      <c r="R137" s="8"/>
      <c r="S137" s="8"/>
      <c r="T137" s="52"/>
      <c r="U137" s="8"/>
      <c r="V137" s="5"/>
    </row>
    <row r="138" spans="1:22" ht="15.6" x14ac:dyDescent="0.3">
      <c r="A138" s="24"/>
      <c r="B138" s="25" t="s">
        <v>47</v>
      </c>
      <c r="C138" s="25"/>
      <c r="D138" s="25"/>
      <c r="E138" s="25"/>
      <c r="F138" s="25"/>
      <c r="G138" s="25"/>
      <c r="H138" s="25"/>
      <c r="I138" s="25"/>
      <c r="J138" s="25"/>
      <c r="K138" s="25"/>
      <c r="L138" s="25"/>
      <c r="M138" s="25"/>
      <c r="N138" s="25"/>
      <c r="O138" s="25"/>
      <c r="P138" s="25"/>
      <c r="Q138" s="25"/>
      <c r="R138" s="25"/>
      <c r="S138" s="25"/>
      <c r="T138" s="53">
        <f>+T32*0.0176</f>
        <v>12320</v>
      </c>
      <c r="U138" s="25"/>
      <c r="V138" s="5"/>
    </row>
    <row r="139" spans="1:22" ht="15.6" x14ac:dyDescent="0.3">
      <c r="A139" s="24"/>
      <c r="B139" s="25" t="s">
        <v>48</v>
      </c>
      <c r="C139" s="25"/>
      <c r="D139" s="25"/>
      <c r="E139" s="25"/>
      <c r="F139" s="25"/>
      <c r="G139" s="25"/>
      <c r="H139" s="25"/>
      <c r="I139" s="25"/>
      <c r="J139" s="25"/>
      <c r="K139" s="25"/>
      <c r="L139" s="25"/>
      <c r="M139" s="25"/>
      <c r="N139" s="25"/>
      <c r="O139" s="25"/>
      <c r="P139" s="25"/>
      <c r="Q139" s="25"/>
      <c r="R139" s="25"/>
      <c r="S139" s="25"/>
      <c r="T139" s="53">
        <v>12320</v>
      </c>
      <c r="U139" s="25"/>
      <c r="V139" s="5"/>
    </row>
    <row r="140" spans="1:22" ht="15.6" x14ac:dyDescent="0.3">
      <c r="A140" s="24"/>
      <c r="B140" s="25" t="s">
        <v>145</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132</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133</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232</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49</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138</v>
      </c>
      <c r="C145" s="25"/>
      <c r="D145" s="25"/>
      <c r="E145" s="25"/>
      <c r="F145" s="25"/>
      <c r="G145" s="25"/>
      <c r="H145" s="25"/>
      <c r="I145" s="25"/>
      <c r="J145" s="25"/>
      <c r="K145" s="25"/>
      <c r="L145" s="25"/>
      <c r="M145" s="25"/>
      <c r="N145" s="25"/>
      <c r="O145" s="25"/>
      <c r="P145" s="25"/>
      <c r="Q145" s="25"/>
      <c r="R145" s="25"/>
      <c r="S145" s="25"/>
      <c r="T145" s="53">
        <v>0</v>
      </c>
      <c r="U145" s="25"/>
      <c r="V145" s="5"/>
    </row>
    <row r="146" spans="1:23" ht="15.6" x14ac:dyDescent="0.3">
      <c r="A146" s="24"/>
      <c r="B146" s="25" t="s">
        <v>231</v>
      </c>
      <c r="C146" s="25"/>
      <c r="D146" s="25"/>
      <c r="E146" s="25"/>
      <c r="F146" s="25"/>
      <c r="G146" s="25"/>
      <c r="H146" s="25"/>
      <c r="I146" s="25"/>
      <c r="J146" s="25"/>
      <c r="K146" s="25"/>
      <c r="L146" s="25"/>
      <c r="M146" s="25"/>
      <c r="N146" s="25"/>
      <c r="O146" s="25"/>
      <c r="P146" s="25"/>
      <c r="Q146" s="25"/>
      <c r="R146" s="25"/>
      <c r="S146" s="25"/>
      <c r="T146" s="53">
        <v>0</v>
      </c>
      <c r="U146" s="25"/>
      <c r="V146" s="5"/>
      <c r="W146" s="110"/>
    </row>
    <row r="147" spans="1:23" ht="15.6" x14ac:dyDescent="0.3">
      <c r="A147" s="24"/>
      <c r="B147" s="25" t="s">
        <v>50</v>
      </c>
      <c r="C147" s="25"/>
      <c r="D147" s="25"/>
      <c r="E147" s="25"/>
      <c r="F147" s="25"/>
      <c r="G147" s="25"/>
      <c r="H147" s="25"/>
      <c r="I147" s="25"/>
      <c r="J147" s="25"/>
      <c r="K147" s="25"/>
      <c r="L147" s="25"/>
      <c r="M147" s="25"/>
      <c r="N147" s="25"/>
      <c r="O147" s="25"/>
      <c r="P147" s="25"/>
      <c r="Q147" s="25"/>
      <c r="R147" s="25"/>
      <c r="S147" s="25"/>
      <c r="T147" s="53">
        <f>SUM(T139:T146)</f>
        <v>12320</v>
      </c>
      <c r="U147" s="25"/>
      <c r="V147" s="5"/>
    </row>
    <row r="148" spans="1:23" ht="15.6" x14ac:dyDescent="0.3">
      <c r="A148" s="24"/>
      <c r="B148" s="25"/>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141" t="s">
        <v>264</v>
      </c>
      <c r="C149" s="25"/>
      <c r="D149" s="25"/>
      <c r="E149" s="25"/>
      <c r="F149" s="25"/>
      <c r="G149" s="25"/>
      <c r="H149" s="25"/>
      <c r="I149" s="25"/>
      <c r="J149" s="25"/>
      <c r="K149" s="25"/>
      <c r="L149" s="25"/>
      <c r="M149" s="25"/>
      <c r="N149" s="25"/>
      <c r="O149" s="25"/>
      <c r="P149" s="25"/>
      <c r="Q149" s="25"/>
      <c r="R149" s="25"/>
      <c r="S149" s="25"/>
      <c r="T149" s="53"/>
      <c r="U149" s="25"/>
      <c r="V149" s="5"/>
    </row>
    <row r="150" spans="1:23" ht="15.6" x14ac:dyDescent="0.3">
      <c r="A150" s="24"/>
      <c r="B150" s="25" t="s">
        <v>170</v>
      </c>
      <c r="C150" s="25"/>
      <c r="D150" s="25"/>
      <c r="E150" s="25"/>
      <c r="F150" s="25"/>
      <c r="G150" s="25"/>
      <c r="H150" s="25"/>
      <c r="I150" s="25"/>
      <c r="J150" s="25"/>
      <c r="K150" s="25"/>
      <c r="L150" s="25"/>
      <c r="M150" s="25"/>
      <c r="N150" s="25"/>
      <c r="O150" s="25"/>
      <c r="P150" s="25"/>
      <c r="Q150" s="25"/>
      <c r="R150" s="25"/>
      <c r="S150" s="25"/>
      <c r="T150" s="53">
        <v>10000</v>
      </c>
      <c r="U150" s="25"/>
      <c r="V150" s="5"/>
    </row>
    <row r="151" spans="1:23" ht="15.6" x14ac:dyDescent="0.3">
      <c r="A151" s="24"/>
      <c r="B151" s="25" t="s">
        <v>260</v>
      </c>
      <c r="C151" s="25"/>
      <c r="D151" s="25"/>
      <c r="E151" s="25"/>
      <c r="F151" s="25"/>
      <c r="G151" s="25"/>
      <c r="H151" s="25"/>
      <c r="I151" s="25"/>
      <c r="J151" s="25"/>
      <c r="K151" s="25"/>
      <c r="L151" s="25"/>
      <c r="M151" s="25"/>
      <c r="N151" s="25"/>
      <c r="O151" s="25"/>
      <c r="P151" s="25"/>
      <c r="Q151" s="25"/>
      <c r="R151" s="25"/>
      <c r="S151" s="25"/>
      <c r="T151" s="53">
        <v>6000</v>
      </c>
      <c r="U151" s="25"/>
      <c r="V151" s="5"/>
    </row>
    <row r="152" spans="1:23" ht="15.6" x14ac:dyDescent="0.3">
      <c r="A152" s="24"/>
      <c r="B152" s="25" t="s">
        <v>228</v>
      </c>
      <c r="C152" s="25"/>
      <c r="D152" s="25"/>
      <c r="E152" s="25"/>
      <c r="F152" s="25"/>
      <c r="G152" s="25"/>
      <c r="H152" s="25"/>
      <c r="I152" s="25"/>
      <c r="J152" s="25"/>
      <c r="K152" s="25"/>
      <c r="L152" s="25"/>
      <c r="M152" s="25"/>
      <c r="N152" s="25"/>
      <c r="O152" s="25"/>
      <c r="P152" s="25"/>
      <c r="Q152" s="25"/>
      <c r="R152" s="25"/>
      <c r="S152" s="25"/>
      <c r="T152" s="53">
        <v>0</v>
      </c>
      <c r="U152" s="25"/>
      <c r="V152" s="5"/>
    </row>
    <row r="153" spans="1:23" ht="15.6" x14ac:dyDescent="0.3">
      <c r="A153" s="24"/>
      <c r="B153" s="25" t="s">
        <v>266</v>
      </c>
      <c r="C153" s="25"/>
      <c r="D153" s="25"/>
      <c r="E153" s="25"/>
      <c r="F153" s="25"/>
      <c r="G153" s="25"/>
      <c r="H153" s="25"/>
      <c r="I153" s="25"/>
      <c r="J153" s="25"/>
      <c r="K153" s="25"/>
      <c r="L153" s="25"/>
      <c r="M153" s="25"/>
      <c r="N153" s="25"/>
      <c r="O153" s="25"/>
      <c r="P153" s="25"/>
      <c r="Q153" s="25"/>
      <c r="R153" s="25"/>
      <c r="S153" s="25"/>
      <c r="T153" s="53">
        <v>6000</v>
      </c>
      <c r="U153" s="25"/>
      <c r="V153" s="5"/>
    </row>
    <row r="154" spans="1:23" ht="15.6" x14ac:dyDescent="0.3">
      <c r="A154" s="24"/>
      <c r="B154" s="25"/>
      <c r="C154" s="25"/>
      <c r="D154" s="25"/>
      <c r="E154" s="25"/>
      <c r="F154" s="25"/>
      <c r="G154" s="25"/>
      <c r="H154" s="25"/>
      <c r="I154" s="25"/>
      <c r="J154" s="25"/>
      <c r="K154" s="25"/>
      <c r="L154" s="25"/>
      <c r="M154" s="25"/>
      <c r="N154" s="25"/>
      <c r="O154" s="25"/>
      <c r="P154" s="25"/>
      <c r="Q154" s="25"/>
      <c r="R154" s="25"/>
      <c r="S154" s="25"/>
      <c r="T154" s="53"/>
      <c r="U154" s="25"/>
      <c r="V154" s="5"/>
    </row>
    <row r="155" spans="1:23" ht="15.6" x14ac:dyDescent="0.3">
      <c r="A155" s="24"/>
      <c r="B155" s="25"/>
      <c r="C155" s="25"/>
      <c r="D155" s="25"/>
      <c r="E155" s="25"/>
      <c r="F155" s="25"/>
      <c r="G155" s="25"/>
      <c r="H155" s="25"/>
      <c r="I155" s="25"/>
      <c r="J155" s="25"/>
      <c r="K155" s="25"/>
      <c r="L155" s="25"/>
      <c r="M155" s="25"/>
      <c r="N155" s="25"/>
      <c r="O155" s="25"/>
      <c r="P155" s="25"/>
      <c r="Q155" s="25"/>
      <c r="R155" s="25"/>
      <c r="S155" s="25"/>
      <c r="T155" s="61"/>
      <c r="U155" s="25"/>
      <c r="V155" s="5"/>
    </row>
    <row r="156" spans="1:23" ht="15.6" x14ac:dyDescent="0.3">
      <c r="A156" s="6"/>
      <c r="B156" s="120" t="s">
        <v>25</v>
      </c>
      <c r="C156" s="8"/>
      <c r="D156" s="8"/>
      <c r="E156" s="8"/>
      <c r="F156" s="8"/>
      <c r="G156" s="8"/>
      <c r="H156" s="8"/>
      <c r="I156" s="8"/>
      <c r="J156" s="8"/>
      <c r="K156" s="8"/>
      <c r="L156" s="8"/>
      <c r="M156" s="8"/>
      <c r="N156" s="8"/>
      <c r="O156" s="8"/>
      <c r="P156" s="8"/>
      <c r="Q156" s="8"/>
      <c r="R156" s="8"/>
      <c r="S156" s="8"/>
      <c r="T156" s="52"/>
      <c r="U156" s="8"/>
      <c r="V156" s="5"/>
    </row>
    <row r="157" spans="1:23" ht="15.6" x14ac:dyDescent="0.3">
      <c r="A157" s="24"/>
      <c r="B157" s="25" t="s">
        <v>51</v>
      </c>
      <c r="C157" s="25"/>
      <c r="D157" s="25"/>
      <c r="E157" s="25"/>
      <c r="F157" s="25"/>
      <c r="G157" s="25"/>
      <c r="H157" s="25"/>
      <c r="I157" s="25"/>
      <c r="J157" s="25"/>
      <c r="K157" s="25"/>
      <c r="L157" s="25"/>
      <c r="M157" s="25"/>
      <c r="N157" s="25"/>
      <c r="O157" s="25"/>
      <c r="P157" s="25"/>
      <c r="Q157" s="25"/>
      <c r="R157" s="25"/>
      <c r="S157" s="25"/>
      <c r="T157" s="59" t="s">
        <v>127</v>
      </c>
      <c r="U157" s="25"/>
      <c r="V157" s="5"/>
    </row>
    <row r="158" spans="1:23" ht="15.6" x14ac:dyDescent="0.3">
      <c r="A158" s="24"/>
      <c r="B158" s="25" t="s">
        <v>52</v>
      </c>
      <c r="C158" s="160"/>
      <c r="D158" s="160"/>
      <c r="E158" s="160"/>
      <c r="F158" s="160"/>
      <c r="G158" s="160"/>
      <c r="H158" s="160"/>
      <c r="I158" s="160"/>
      <c r="J158" s="160"/>
      <c r="K158" s="160"/>
      <c r="L158" s="160"/>
      <c r="M158" s="160"/>
      <c r="N158" s="160"/>
      <c r="O158" s="160"/>
      <c r="P158" s="160"/>
      <c r="Q158" s="160"/>
      <c r="R158" s="160"/>
      <c r="S158" s="160"/>
      <c r="T158" s="59" t="s">
        <v>127</v>
      </c>
      <c r="U158" s="25"/>
      <c r="V158" s="5"/>
    </row>
    <row r="159" spans="1:23" ht="15.6" x14ac:dyDescent="0.3">
      <c r="A159" s="24"/>
      <c r="B159" s="25" t="s">
        <v>53</v>
      </c>
      <c r="C159" s="25"/>
      <c r="D159" s="25"/>
      <c r="E159" s="25"/>
      <c r="F159" s="25"/>
      <c r="G159" s="25"/>
      <c r="H159" s="25"/>
      <c r="I159" s="25"/>
      <c r="J159" s="25"/>
      <c r="K159" s="25"/>
      <c r="L159" s="25"/>
      <c r="M159" s="25"/>
      <c r="N159" s="25"/>
      <c r="O159" s="25"/>
      <c r="P159" s="25"/>
      <c r="Q159" s="25"/>
      <c r="R159" s="25"/>
      <c r="S159" s="25"/>
      <c r="T159" s="59" t="s">
        <v>127</v>
      </c>
      <c r="U159" s="25"/>
      <c r="V159" s="5"/>
    </row>
    <row r="160" spans="1:23" ht="15.6" x14ac:dyDescent="0.3">
      <c r="A160" s="24"/>
      <c r="B160" s="25" t="s">
        <v>54</v>
      </c>
      <c r="C160" s="25"/>
      <c r="D160" s="25"/>
      <c r="E160" s="25"/>
      <c r="F160" s="25"/>
      <c r="G160" s="25"/>
      <c r="H160" s="25"/>
      <c r="I160" s="25"/>
      <c r="J160" s="25"/>
      <c r="K160" s="25"/>
      <c r="L160" s="25"/>
      <c r="M160" s="25"/>
      <c r="N160" s="25"/>
      <c r="O160" s="25"/>
      <c r="P160" s="25"/>
      <c r="Q160" s="25"/>
      <c r="R160" s="25"/>
      <c r="S160" s="25"/>
      <c r="T160" s="59" t="s">
        <v>127</v>
      </c>
      <c r="U160" s="25"/>
      <c r="V160" s="5"/>
    </row>
    <row r="161" spans="1:22" ht="15.6" x14ac:dyDescent="0.3">
      <c r="A161" s="24"/>
      <c r="B161" s="25"/>
      <c r="C161" s="25"/>
      <c r="D161" s="25"/>
      <c r="E161" s="25"/>
      <c r="F161" s="25"/>
      <c r="G161" s="25"/>
      <c r="H161" s="25"/>
      <c r="I161" s="25"/>
      <c r="J161" s="25"/>
      <c r="K161" s="25"/>
      <c r="L161" s="25"/>
      <c r="M161" s="25"/>
      <c r="N161" s="25"/>
      <c r="O161" s="25"/>
      <c r="P161" s="25"/>
      <c r="Q161" s="25"/>
      <c r="R161" s="25"/>
      <c r="S161" s="25"/>
      <c r="T161" s="61"/>
      <c r="U161" s="25"/>
      <c r="V161" s="5"/>
    </row>
    <row r="162" spans="1:22" ht="15.6" x14ac:dyDescent="0.3">
      <c r="A162" s="6"/>
      <c r="B162" s="120" t="s">
        <v>55</v>
      </c>
      <c r="C162" s="8"/>
      <c r="D162" s="8"/>
      <c r="E162" s="8"/>
      <c r="F162" s="8"/>
      <c r="G162" s="8"/>
      <c r="H162" s="8"/>
      <c r="I162" s="8"/>
      <c r="J162" s="8"/>
      <c r="K162" s="8"/>
      <c r="L162" s="8"/>
      <c r="M162" s="8"/>
      <c r="N162" s="8"/>
      <c r="O162" s="8"/>
      <c r="P162" s="8"/>
      <c r="Q162" s="8"/>
      <c r="R162" s="8"/>
      <c r="S162" s="8"/>
      <c r="T162" s="63"/>
      <c r="U162" s="8"/>
      <c r="V162" s="5"/>
    </row>
    <row r="163" spans="1:22" ht="15.6" x14ac:dyDescent="0.3">
      <c r="A163" s="24"/>
      <c r="B163" s="25" t="s">
        <v>56</v>
      </c>
      <c r="C163" s="25"/>
      <c r="D163" s="25"/>
      <c r="E163" s="25"/>
      <c r="F163" s="25"/>
      <c r="G163" s="25"/>
      <c r="H163" s="25"/>
      <c r="I163" s="25"/>
      <c r="J163" s="25"/>
      <c r="K163" s="25"/>
      <c r="L163" s="25"/>
      <c r="M163" s="25"/>
      <c r="N163" s="25"/>
      <c r="O163" s="25"/>
      <c r="P163" s="25"/>
      <c r="Q163" s="25"/>
      <c r="R163" s="25"/>
      <c r="S163" s="25"/>
      <c r="T163" s="53">
        <v>0</v>
      </c>
      <c r="U163" s="25"/>
      <c r="V163" s="5"/>
    </row>
    <row r="164" spans="1:22" ht="15.6" x14ac:dyDescent="0.3">
      <c r="A164" s="24"/>
      <c r="B164" s="25" t="s">
        <v>57</v>
      </c>
      <c r="C164" s="25"/>
      <c r="D164" s="25"/>
      <c r="E164" s="25"/>
      <c r="F164" s="25"/>
      <c r="G164" s="25"/>
      <c r="H164" s="25"/>
      <c r="I164" s="25"/>
      <c r="J164" s="25"/>
      <c r="K164" s="25"/>
      <c r="L164" s="25"/>
      <c r="M164" s="25"/>
      <c r="N164" s="25"/>
      <c r="O164" s="25"/>
      <c r="P164" s="25"/>
      <c r="Q164" s="25"/>
      <c r="R164" s="25"/>
      <c r="S164" s="25"/>
      <c r="T164" s="53">
        <f>-T113</f>
        <v>28</v>
      </c>
      <c r="U164" s="25"/>
      <c r="V164" s="5"/>
    </row>
    <row r="165" spans="1:22" ht="15.6" x14ac:dyDescent="0.3">
      <c r="A165" s="24"/>
      <c r="B165" s="25" t="s">
        <v>58</v>
      </c>
      <c r="C165" s="25"/>
      <c r="D165" s="25"/>
      <c r="E165" s="25"/>
      <c r="F165" s="25"/>
      <c r="G165" s="25"/>
      <c r="H165" s="25"/>
      <c r="I165" s="25"/>
      <c r="J165" s="25"/>
      <c r="K165" s="25"/>
      <c r="L165" s="25"/>
      <c r="M165" s="25"/>
      <c r="N165" s="25"/>
      <c r="O165" s="25"/>
      <c r="P165" s="25"/>
      <c r="Q165" s="25"/>
      <c r="R165" s="25"/>
      <c r="S165" s="25"/>
      <c r="T165" s="53">
        <f>T164+T163</f>
        <v>28</v>
      </c>
      <c r="U165" s="25"/>
      <c r="V165" s="5"/>
    </row>
    <row r="166" spans="1:22" ht="15.6" x14ac:dyDescent="0.3">
      <c r="A166" s="24"/>
      <c r="B166" s="25" t="s">
        <v>309</v>
      </c>
      <c r="C166" s="25"/>
      <c r="D166" s="25"/>
      <c r="E166" s="25"/>
      <c r="F166" s="25"/>
      <c r="G166" s="25"/>
      <c r="H166" s="25"/>
      <c r="I166" s="25"/>
      <c r="J166" s="25"/>
      <c r="K166" s="25"/>
      <c r="L166" s="25"/>
      <c r="M166" s="25"/>
      <c r="N166" s="25"/>
      <c r="O166" s="25"/>
      <c r="P166" s="25"/>
      <c r="Q166" s="25"/>
      <c r="R166" s="25"/>
      <c r="S166" s="25"/>
      <c r="T166" s="53">
        <f>T113</f>
        <v>-28</v>
      </c>
      <c r="U166" s="25"/>
      <c r="V166" s="5"/>
    </row>
    <row r="167" spans="1:22" ht="15.6" x14ac:dyDescent="0.3">
      <c r="A167" s="24"/>
      <c r="B167" s="25" t="s">
        <v>59</v>
      </c>
      <c r="C167" s="25"/>
      <c r="D167" s="25"/>
      <c r="E167" s="25"/>
      <c r="F167" s="25"/>
      <c r="G167" s="25"/>
      <c r="H167" s="25"/>
      <c r="I167" s="25"/>
      <c r="J167" s="25"/>
      <c r="K167" s="25"/>
      <c r="L167" s="25"/>
      <c r="M167" s="25"/>
      <c r="N167" s="25"/>
      <c r="O167" s="25"/>
      <c r="P167" s="25"/>
      <c r="Q167" s="25"/>
      <c r="R167" s="25"/>
      <c r="S167" s="25"/>
      <c r="T167" s="53">
        <f>T165+T166</f>
        <v>0</v>
      </c>
      <c r="U167" s="25"/>
      <c r="V167" s="5"/>
    </row>
    <row r="168" spans="1:22" ht="16.2" thickBot="1" x14ac:dyDescent="0.35">
      <c r="A168" s="24"/>
      <c r="B168" s="25"/>
      <c r="C168" s="25"/>
      <c r="D168" s="25"/>
      <c r="E168" s="25"/>
      <c r="F168" s="25"/>
      <c r="G168" s="25"/>
      <c r="H168" s="25"/>
      <c r="I168" s="25"/>
      <c r="J168" s="25"/>
      <c r="K168" s="25"/>
      <c r="L168" s="25"/>
      <c r="M168" s="25"/>
      <c r="N168" s="25"/>
      <c r="O168" s="25"/>
      <c r="P168" s="25"/>
      <c r="Q168" s="25"/>
      <c r="R168" s="25"/>
      <c r="S168" s="25"/>
      <c r="T168" s="61"/>
      <c r="U168" s="25"/>
      <c r="V168" s="5"/>
    </row>
    <row r="169" spans="1:22" ht="15.6" x14ac:dyDescent="0.3">
      <c r="A169" s="2"/>
      <c r="B169" s="4"/>
      <c r="C169" s="4"/>
      <c r="D169" s="4"/>
      <c r="E169" s="4"/>
      <c r="F169" s="4"/>
      <c r="G169" s="4"/>
      <c r="H169" s="4"/>
      <c r="I169" s="4"/>
      <c r="J169" s="4"/>
      <c r="K169" s="4"/>
      <c r="L169" s="4"/>
      <c r="M169" s="4"/>
      <c r="N169" s="4"/>
      <c r="O169" s="4"/>
      <c r="P169" s="4"/>
      <c r="Q169" s="4"/>
      <c r="R169" s="4"/>
      <c r="S169" s="4"/>
      <c r="T169" s="50"/>
      <c r="U169" s="4"/>
      <c r="V169" s="5"/>
    </row>
    <row r="170" spans="1:22" ht="15.6" x14ac:dyDescent="0.3">
      <c r="A170" s="6"/>
      <c r="B170" s="120" t="s">
        <v>60</v>
      </c>
      <c r="C170" s="8"/>
      <c r="D170" s="8"/>
      <c r="E170" s="8"/>
      <c r="F170" s="8"/>
      <c r="G170" s="8"/>
      <c r="H170" s="8"/>
      <c r="I170" s="8"/>
      <c r="J170" s="8"/>
      <c r="K170" s="8"/>
      <c r="L170" s="8"/>
      <c r="M170" s="8"/>
      <c r="N170" s="8"/>
      <c r="O170" s="8"/>
      <c r="P170" s="8"/>
      <c r="Q170" s="8"/>
      <c r="R170" s="8"/>
      <c r="S170" s="8"/>
      <c r="T170" s="52"/>
      <c r="U170" s="8"/>
      <c r="V170" s="5"/>
    </row>
    <row r="171" spans="1:22" ht="15.6" x14ac:dyDescent="0.3">
      <c r="A171" s="6"/>
      <c r="B171" s="21"/>
      <c r="C171" s="8"/>
      <c r="D171" s="8"/>
      <c r="E171" s="8"/>
      <c r="F171" s="8"/>
      <c r="G171" s="8"/>
      <c r="H171" s="8"/>
      <c r="I171" s="8"/>
      <c r="J171" s="8"/>
      <c r="K171" s="8"/>
      <c r="L171" s="8"/>
      <c r="M171" s="8"/>
      <c r="N171" s="8"/>
      <c r="O171" s="8"/>
      <c r="P171" s="8"/>
      <c r="Q171" s="8"/>
      <c r="R171" s="8"/>
      <c r="S171" s="8"/>
      <c r="T171" s="52"/>
      <c r="U171" s="8"/>
      <c r="V171" s="5"/>
    </row>
    <row r="172" spans="1:22" ht="15.6" x14ac:dyDescent="0.3">
      <c r="A172" s="24"/>
      <c r="B172" s="25" t="s">
        <v>61</v>
      </c>
      <c r="C172" s="25"/>
      <c r="D172" s="25"/>
      <c r="E172" s="25"/>
      <c r="F172" s="25"/>
      <c r="G172" s="25"/>
      <c r="H172" s="25"/>
      <c r="I172" s="25"/>
      <c r="J172" s="25"/>
      <c r="K172" s="25"/>
      <c r="L172" s="25"/>
      <c r="M172" s="25"/>
      <c r="N172" s="25"/>
      <c r="O172" s="25"/>
      <c r="P172" s="25"/>
      <c r="Q172" s="25"/>
      <c r="R172" s="25"/>
      <c r="S172" s="25"/>
      <c r="T172" s="53">
        <f>T69</f>
        <v>415286</v>
      </c>
      <c r="U172" s="25"/>
      <c r="V172" s="5"/>
    </row>
    <row r="173" spans="1:22" ht="15.6" x14ac:dyDescent="0.3">
      <c r="A173" s="24"/>
      <c r="B173" s="25" t="s">
        <v>62</v>
      </c>
      <c r="C173" s="25"/>
      <c r="D173" s="25"/>
      <c r="E173" s="25"/>
      <c r="F173" s="25"/>
      <c r="G173" s="25"/>
      <c r="H173" s="25"/>
      <c r="I173" s="25"/>
      <c r="J173" s="25"/>
      <c r="K173" s="25"/>
      <c r="L173" s="25"/>
      <c r="M173" s="25"/>
      <c r="N173" s="25"/>
      <c r="O173" s="25"/>
      <c r="P173" s="25"/>
      <c r="Q173" s="25"/>
      <c r="R173" s="25"/>
      <c r="S173" s="25"/>
      <c r="T173" s="53">
        <f>T82</f>
        <v>415286</v>
      </c>
      <c r="U173" s="25"/>
      <c r="V173" s="5"/>
    </row>
    <row r="174" spans="1:22" ht="16.2" thickBot="1" x14ac:dyDescent="0.35">
      <c r="A174" s="24"/>
      <c r="B174" s="25"/>
      <c r="C174" s="25"/>
      <c r="D174" s="25"/>
      <c r="E174" s="25"/>
      <c r="F174" s="25"/>
      <c r="G174" s="25"/>
      <c r="H174" s="25"/>
      <c r="I174" s="25"/>
      <c r="J174" s="25"/>
      <c r="K174" s="25"/>
      <c r="L174" s="25"/>
      <c r="M174" s="25"/>
      <c r="N174" s="25"/>
      <c r="O174" s="25"/>
      <c r="P174" s="25"/>
      <c r="Q174" s="25"/>
      <c r="R174" s="25"/>
      <c r="S174" s="25"/>
      <c r="T174" s="61"/>
      <c r="U174" s="25"/>
      <c r="V174" s="5"/>
    </row>
    <row r="175" spans="1:22" ht="15.6" x14ac:dyDescent="0.3">
      <c r="A175" s="2"/>
      <c r="B175" s="4"/>
      <c r="C175" s="4"/>
      <c r="D175" s="4"/>
      <c r="E175" s="4"/>
      <c r="F175" s="4"/>
      <c r="G175" s="4"/>
      <c r="H175" s="4"/>
      <c r="I175" s="4"/>
      <c r="J175" s="4"/>
      <c r="K175" s="4"/>
      <c r="L175" s="4"/>
      <c r="M175" s="4"/>
      <c r="N175" s="4"/>
      <c r="O175" s="4"/>
      <c r="P175" s="4"/>
      <c r="Q175" s="4"/>
      <c r="R175" s="4"/>
      <c r="S175" s="4"/>
      <c r="T175" s="50"/>
      <c r="U175" s="4"/>
      <c r="V175" s="5"/>
    </row>
    <row r="176" spans="1:22" ht="15.6" x14ac:dyDescent="0.3">
      <c r="A176" s="6"/>
      <c r="B176" s="120" t="s">
        <v>63</v>
      </c>
      <c r="C176" s="118"/>
      <c r="D176" s="118"/>
      <c r="E176" s="118"/>
      <c r="F176" s="118"/>
      <c r="G176" s="118"/>
      <c r="H176" s="121"/>
      <c r="I176" s="121"/>
      <c r="J176" s="121"/>
      <c r="K176" s="121"/>
      <c r="L176" s="121"/>
      <c r="M176" s="121"/>
      <c r="N176" s="121"/>
      <c r="O176" s="121"/>
      <c r="P176" s="121"/>
      <c r="Q176" s="121" t="s">
        <v>107</v>
      </c>
      <c r="R176" s="121" t="s">
        <v>234</v>
      </c>
      <c r="S176" s="112"/>
      <c r="T176" s="122" t="s">
        <v>123</v>
      </c>
      <c r="U176" s="10"/>
      <c r="V176" s="5"/>
    </row>
    <row r="177" spans="1:22" ht="15.6" x14ac:dyDescent="0.3">
      <c r="A177" s="24"/>
      <c r="B177" s="25" t="s">
        <v>64</v>
      </c>
      <c r="C177" s="25"/>
      <c r="D177" s="25"/>
      <c r="E177" s="25"/>
      <c r="F177" s="25"/>
      <c r="G177" s="25"/>
      <c r="H177" s="25"/>
      <c r="I177" s="25"/>
      <c r="J177" s="25"/>
      <c r="K177" s="25"/>
      <c r="L177" s="25"/>
      <c r="M177" s="25"/>
      <c r="N177" s="25"/>
      <c r="O177" s="25"/>
      <c r="P177" s="25"/>
      <c r="Q177" s="53">
        <v>112000</v>
      </c>
      <c r="R177" s="40"/>
      <c r="S177" s="25"/>
      <c r="T177" s="53"/>
      <c r="U177" s="25"/>
      <c r="V177" s="5"/>
    </row>
    <row r="178" spans="1:22" ht="15.6" x14ac:dyDescent="0.3">
      <c r="A178" s="24"/>
      <c r="B178" s="25" t="s">
        <v>65</v>
      </c>
      <c r="C178" s="25"/>
      <c r="D178" s="25"/>
      <c r="E178" s="25"/>
      <c r="F178" s="25"/>
      <c r="G178" s="25"/>
      <c r="H178" s="25"/>
      <c r="I178" s="25"/>
      <c r="J178" s="25"/>
      <c r="K178" s="25"/>
      <c r="L178" s="25"/>
      <c r="M178" s="25"/>
      <c r="N178" s="25"/>
      <c r="O178" s="25"/>
      <c r="P178" s="25"/>
      <c r="Q178" s="53">
        <f>+'Oct 07'!Q179</f>
        <v>34275</v>
      </c>
      <c r="R178" s="53">
        <f>+'Oct 07'!R179</f>
        <v>2379</v>
      </c>
      <c r="S178" s="25"/>
      <c r="T178" s="53">
        <f>Q178+R178</f>
        <v>36654</v>
      </c>
      <c r="U178" s="25"/>
      <c r="V178" s="5"/>
    </row>
    <row r="179" spans="1:22" ht="15.6" x14ac:dyDescent="0.3">
      <c r="A179" s="24"/>
      <c r="B179" s="25" t="s">
        <v>66</v>
      </c>
      <c r="C179" s="25"/>
      <c r="D179" s="25"/>
      <c r="E179" s="25"/>
      <c r="F179" s="25"/>
      <c r="G179" s="25"/>
      <c r="H179" s="25"/>
      <c r="I179" s="25"/>
      <c r="J179" s="25"/>
      <c r="K179" s="25"/>
      <c r="L179" s="25"/>
      <c r="M179" s="25"/>
      <c r="N179" s="25"/>
      <c r="O179" s="25"/>
      <c r="P179" s="25"/>
      <c r="Q179" s="34">
        <v>3325</v>
      </c>
      <c r="R179" s="34">
        <v>0</v>
      </c>
      <c r="S179" s="25"/>
      <c r="T179" s="53">
        <f>Q179+R179</f>
        <v>3325</v>
      </c>
      <c r="U179" s="25"/>
      <c r="V179" s="5"/>
    </row>
    <row r="180" spans="1:22" ht="15.6" x14ac:dyDescent="0.3">
      <c r="A180" s="24"/>
      <c r="B180" s="25" t="s">
        <v>67</v>
      </c>
      <c r="C180" s="25"/>
      <c r="D180" s="25"/>
      <c r="E180" s="25"/>
      <c r="F180" s="25"/>
      <c r="G180" s="25"/>
      <c r="H180" s="25"/>
      <c r="I180" s="25"/>
      <c r="J180" s="25"/>
      <c r="K180" s="25"/>
      <c r="L180" s="25"/>
      <c r="M180" s="25"/>
      <c r="N180" s="25"/>
      <c r="O180" s="25"/>
      <c r="P180" s="25"/>
      <c r="Q180" s="53">
        <f>Q178+Q179</f>
        <v>37600</v>
      </c>
      <c r="R180" s="53">
        <f>R179+R178</f>
        <v>2379</v>
      </c>
      <c r="S180" s="25"/>
      <c r="T180" s="53">
        <f>Q180+R180</f>
        <v>39979</v>
      </c>
      <c r="U180" s="25"/>
      <c r="V180" s="5"/>
    </row>
    <row r="181" spans="1:22" ht="15.6" x14ac:dyDescent="0.3">
      <c r="A181" s="24"/>
      <c r="B181" s="25" t="s">
        <v>68</v>
      </c>
      <c r="C181" s="25"/>
      <c r="D181" s="25"/>
      <c r="E181" s="25"/>
      <c r="F181" s="25"/>
      <c r="G181" s="25"/>
      <c r="H181" s="25"/>
      <c r="I181" s="25"/>
      <c r="J181" s="25"/>
      <c r="K181" s="25"/>
      <c r="L181" s="25"/>
      <c r="M181" s="25"/>
      <c r="N181" s="25"/>
      <c r="O181" s="25"/>
      <c r="P181" s="25"/>
      <c r="Q181" s="53">
        <f>Q177-Q180-R180</f>
        <v>72021</v>
      </c>
      <c r="R181" s="40"/>
      <c r="S181" s="25"/>
      <c r="T181" s="53"/>
      <c r="U181" s="25"/>
      <c r="V181" s="5"/>
    </row>
    <row r="182" spans="1:22" ht="16.2" thickBot="1" x14ac:dyDescent="0.35">
      <c r="A182" s="24"/>
      <c r="B182" s="25"/>
      <c r="C182" s="25"/>
      <c r="D182" s="25"/>
      <c r="E182" s="25"/>
      <c r="F182" s="25"/>
      <c r="G182" s="25"/>
      <c r="H182" s="25"/>
      <c r="I182" s="25"/>
      <c r="J182" s="25"/>
      <c r="K182" s="25"/>
      <c r="L182" s="25"/>
      <c r="M182" s="25"/>
      <c r="N182" s="25"/>
      <c r="O182" s="25"/>
      <c r="P182" s="25"/>
      <c r="Q182" s="25"/>
      <c r="R182" s="25"/>
      <c r="S182" s="25"/>
      <c r="T182" s="61"/>
      <c r="U182" s="25"/>
      <c r="V182" s="5"/>
    </row>
    <row r="183" spans="1:22" ht="15.6" x14ac:dyDescent="0.3">
      <c r="A183" s="2"/>
      <c r="B183" s="4"/>
      <c r="C183" s="4"/>
      <c r="D183" s="4"/>
      <c r="E183" s="4"/>
      <c r="F183" s="4"/>
      <c r="G183" s="4"/>
      <c r="H183" s="4"/>
      <c r="I183" s="4"/>
      <c r="J183" s="4"/>
      <c r="K183" s="4"/>
      <c r="L183" s="4"/>
      <c r="M183" s="4"/>
      <c r="N183" s="4"/>
      <c r="O183" s="4"/>
      <c r="P183" s="4"/>
      <c r="Q183" s="4"/>
      <c r="R183" s="4"/>
      <c r="S183" s="4"/>
      <c r="T183" s="50"/>
      <c r="U183" s="4"/>
      <c r="V183" s="5"/>
    </row>
    <row r="184" spans="1:22" ht="15.6" x14ac:dyDescent="0.3">
      <c r="A184" s="6"/>
      <c r="B184" s="120" t="s">
        <v>69</v>
      </c>
      <c r="C184" s="8"/>
      <c r="D184" s="8"/>
      <c r="E184" s="8"/>
      <c r="F184" s="8"/>
      <c r="G184" s="8"/>
      <c r="H184" s="8"/>
      <c r="I184" s="8"/>
      <c r="J184" s="8"/>
      <c r="K184" s="8"/>
      <c r="L184" s="8"/>
      <c r="M184" s="8"/>
      <c r="N184" s="8"/>
      <c r="O184" s="8"/>
      <c r="P184" s="8"/>
      <c r="Q184" s="8"/>
      <c r="R184" s="8"/>
      <c r="S184" s="8"/>
      <c r="T184" s="65"/>
      <c r="U184" s="8"/>
      <c r="V184" s="5"/>
    </row>
    <row r="185" spans="1:22" ht="15.6" x14ac:dyDescent="0.3">
      <c r="A185" s="24"/>
      <c r="B185" s="25" t="s">
        <v>70</v>
      </c>
      <c r="C185" s="25"/>
      <c r="D185" s="25"/>
      <c r="E185" s="25"/>
      <c r="F185" s="25"/>
      <c r="G185" s="25"/>
      <c r="H185" s="25"/>
      <c r="I185" s="25"/>
      <c r="J185" s="25"/>
      <c r="K185" s="25"/>
      <c r="L185" s="25"/>
      <c r="M185" s="25"/>
      <c r="N185" s="25"/>
      <c r="O185" s="25"/>
      <c r="P185" s="25"/>
      <c r="Q185" s="25"/>
      <c r="R185" s="25"/>
      <c r="S185" s="25"/>
      <c r="T185" s="59">
        <f>(T98+T100+T101+T102+T103+T104)/-(T105+T106+T107)</f>
        <v>1.4110399211434204</v>
      </c>
      <c r="U185" s="25" t="s">
        <v>124</v>
      </c>
      <c r="V185" s="5"/>
    </row>
    <row r="186" spans="1:22" ht="15.6" x14ac:dyDescent="0.3">
      <c r="A186" s="24"/>
      <c r="B186" s="25" t="s">
        <v>71</v>
      </c>
      <c r="C186" s="25"/>
      <c r="D186" s="25"/>
      <c r="E186" s="25"/>
      <c r="F186" s="25"/>
      <c r="G186" s="25"/>
      <c r="H186" s="25"/>
      <c r="I186" s="25"/>
      <c r="J186" s="25"/>
      <c r="K186" s="25"/>
      <c r="L186" s="25"/>
      <c r="M186" s="25"/>
      <c r="N186" s="25"/>
      <c r="O186" s="25"/>
      <c r="P186" s="25"/>
      <c r="Q186" s="25"/>
      <c r="R186" s="25"/>
      <c r="S186" s="25"/>
      <c r="T186" s="66">
        <v>1.38</v>
      </c>
      <c r="U186" s="25" t="s">
        <v>124</v>
      </c>
      <c r="V186" s="5"/>
    </row>
    <row r="187" spans="1:22" ht="15.6" x14ac:dyDescent="0.3">
      <c r="A187" s="24"/>
      <c r="B187" s="25" t="s">
        <v>72</v>
      </c>
      <c r="C187" s="25"/>
      <c r="D187" s="25"/>
      <c r="E187" s="25"/>
      <c r="F187" s="25"/>
      <c r="G187" s="25"/>
      <c r="H187" s="25"/>
      <c r="I187" s="25"/>
      <c r="J187" s="25"/>
      <c r="K187" s="25"/>
      <c r="L187" s="25"/>
      <c r="M187" s="25"/>
      <c r="N187" s="25"/>
      <c r="O187" s="25"/>
      <c r="P187" s="25"/>
      <c r="Q187" s="25"/>
      <c r="R187" s="25"/>
      <c r="S187" s="25"/>
      <c r="T187" s="59">
        <f>(T98+T100+T101+T102+T103+T104+T105+T106+T107)/-(T108+T109)</f>
        <v>5.462882096069869</v>
      </c>
      <c r="U187" s="25" t="s">
        <v>124</v>
      </c>
      <c r="V187" s="5"/>
    </row>
    <row r="188" spans="1:22" ht="15.6" x14ac:dyDescent="0.3">
      <c r="A188" s="24"/>
      <c r="B188" s="25" t="s">
        <v>73</v>
      </c>
      <c r="C188" s="25"/>
      <c r="D188" s="25"/>
      <c r="E188" s="25"/>
      <c r="F188" s="25"/>
      <c r="G188" s="25"/>
      <c r="H188" s="25"/>
      <c r="I188" s="25"/>
      <c r="J188" s="25"/>
      <c r="K188" s="25"/>
      <c r="L188" s="25"/>
      <c r="M188" s="25"/>
      <c r="N188" s="25"/>
      <c r="O188" s="25"/>
      <c r="P188" s="25"/>
      <c r="Q188" s="25"/>
      <c r="R188" s="25"/>
      <c r="S188" s="25"/>
      <c r="T188" s="67">
        <v>7.12</v>
      </c>
      <c r="U188" s="25" t="s">
        <v>124</v>
      </c>
      <c r="V188" s="5"/>
    </row>
    <row r="189" spans="1:22" ht="15.6" x14ac:dyDescent="0.3">
      <c r="A189" s="24"/>
      <c r="B189" s="25" t="s">
        <v>243</v>
      </c>
      <c r="C189" s="25"/>
      <c r="D189" s="25"/>
      <c r="E189" s="25"/>
      <c r="F189" s="25"/>
      <c r="G189" s="25"/>
      <c r="H189" s="25"/>
      <c r="I189" s="25"/>
      <c r="J189" s="25"/>
      <c r="K189" s="25"/>
      <c r="L189" s="25"/>
      <c r="M189" s="25"/>
      <c r="N189" s="25"/>
      <c r="O189" s="25"/>
      <c r="P189" s="25"/>
      <c r="Q189" s="25"/>
      <c r="R189" s="25"/>
      <c r="S189" s="25"/>
      <c r="T189" s="59">
        <f>(T98+T100+T101+T102+T103+T104+T105+T106+T107+T108+T109)/-(T110+T111)</f>
        <v>2.4333333333333331</v>
      </c>
      <c r="U189" s="25" t="s">
        <v>124</v>
      </c>
      <c r="V189" s="5"/>
    </row>
    <row r="190" spans="1:22" ht="15.6" x14ac:dyDescent="0.3">
      <c r="A190" s="24"/>
      <c r="B190" s="25" t="s">
        <v>244</v>
      </c>
      <c r="C190" s="25"/>
      <c r="D190" s="25"/>
      <c r="E190" s="25"/>
      <c r="F190" s="25"/>
      <c r="G190" s="25"/>
      <c r="H190" s="25"/>
      <c r="I190" s="25"/>
      <c r="J190" s="25"/>
      <c r="K190" s="25"/>
      <c r="L190" s="25"/>
      <c r="M190" s="25"/>
      <c r="N190" s="25"/>
      <c r="O190" s="25"/>
      <c r="P190" s="25"/>
      <c r="Q190" s="25"/>
      <c r="R190" s="25"/>
      <c r="S190" s="25"/>
      <c r="T190" s="67">
        <v>3.31</v>
      </c>
      <c r="U190" s="25" t="s">
        <v>124</v>
      </c>
      <c r="V190" s="5"/>
    </row>
    <row r="191" spans="1:22"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5"/>
    </row>
    <row r="193" spans="1:22" ht="15.6" x14ac:dyDescent="0.3">
      <c r="A193" s="6"/>
      <c r="B193" s="8"/>
      <c r="C193" s="8"/>
      <c r="D193" s="8"/>
      <c r="E193" s="8"/>
      <c r="F193" s="8"/>
      <c r="G193" s="8"/>
      <c r="H193" s="8"/>
      <c r="I193" s="8"/>
      <c r="J193" s="8"/>
      <c r="K193" s="8"/>
      <c r="L193" s="8"/>
      <c r="M193" s="8"/>
      <c r="N193" s="8"/>
      <c r="O193" s="8"/>
      <c r="P193" s="8"/>
      <c r="Q193" s="8"/>
      <c r="R193" s="8"/>
      <c r="S193" s="8"/>
      <c r="T193" s="8"/>
      <c r="U193" s="8"/>
      <c r="V193" s="5"/>
    </row>
    <row r="194" spans="1:22" ht="18" thickBot="1" x14ac:dyDescent="0.35">
      <c r="A194" s="102"/>
      <c r="B194" s="103" t="str">
        <f>B134</f>
        <v>PM9 INVESTOR REPORT QUARTER ENDING JANUARY 2008</v>
      </c>
      <c r="C194" s="162"/>
      <c r="D194" s="162"/>
      <c r="E194" s="162"/>
      <c r="F194" s="162"/>
      <c r="G194" s="162"/>
      <c r="H194" s="162"/>
      <c r="I194" s="162"/>
      <c r="J194" s="162"/>
      <c r="K194" s="162"/>
      <c r="L194" s="162"/>
      <c r="M194" s="162"/>
      <c r="N194" s="162"/>
      <c r="O194" s="162"/>
      <c r="P194" s="162"/>
      <c r="Q194" s="162"/>
      <c r="R194" s="162"/>
      <c r="S194" s="162"/>
      <c r="T194" s="162"/>
      <c r="U194" s="163"/>
      <c r="V194" s="5"/>
    </row>
    <row r="195" spans="1:22" ht="15.6" x14ac:dyDescent="0.3">
      <c r="A195" s="68"/>
      <c r="B195" s="60" t="s">
        <v>74</v>
      </c>
      <c r="C195" s="69"/>
      <c r="D195" s="69"/>
      <c r="E195" s="69"/>
      <c r="F195" s="69"/>
      <c r="G195" s="70"/>
      <c r="H195" s="70"/>
      <c r="I195" s="70"/>
      <c r="J195" s="70"/>
      <c r="K195" s="70"/>
      <c r="L195" s="70"/>
      <c r="M195" s="70"/>
      <c r="N195" s="70"/>
      <c r="O195" s="70"/>
      <c r="P195" s="70"/>
      <c r="Q195" s="70"/>
      <c r="R195" s="71">
        <v>39478</v>
      </c>
      <c r="S195" s="4"/>
      <c r="T195" s="4"/>
      <c r="U195" s="4"/>
      <c r="V195" s="5"/>
    </row>
    <row r="196" spans="1:22" ht="15.6" x14ac:dyDescent="0.3">
      <c r="A196" s="72"/>
      <c r="B196" s="73"/>
      <c r="C196" s="74"/>
      <c r="D196" s="74"/>
      <c r="E196" s="74"/>
      <c r="F196" s="74"/>
      <c r="G196" s="75"/>
      <c r="H196" s="75"/>
      <c r="I196" s="75"/>
      <c r="J196" s="75"/>
      <c r="K196" s="75"/>
      <c r="L196" s="75"/>
      <c r="M196" s="75"/>
      <c r="N196" s="75"/>
      <c r="O196" s="75"/>
      <c r="P196" s="75"/>
      <c r="Q196" s="75"/>
      <c r="R196" s="75"/>
      <c r="S196" s="8"/>
      <c r="T196" s="8"/>
      <c r="U196" s="8"/>
      <c r="V196" s="5"/>
    </row>
    <row r="197" spans="1:22" ht="15.6" x14ac:dyDescent="0.3">
      <c r="A197" s="76"/>
      <c r="B197" s="77" t="s">
        <v>75</v>
      </c>
      <c r="C197" s="78"/>
      <c r="D197" s="78"/>
      <c r="E197" s="78"/>
      <c r="F197" s="78"/>
      <c r="G197" s="64"/>
      <c r="H197" s="64"/>
      <c r="I197" s="64"/>
      <c r="J197" s="64"/>
      <c r="K197" s="64"/>
      <c r="L197" s="64"/>
      <c r="M197" s="64"/>
      <c r="N197" s="64"/>
      <c r="O197" s="64"/>
      <c r="P197" s="64"/>
      <c r="Q197" s="64"/>
      <c r="R197" s="79">
        <v>5.8209999999999998E-2</v>
      </c>
      <c r="S197" s="25"/>
      <c r="T197" s="25"/>
      <c r="U197" s="25"/>
      <c r="V197" s="5"/>
    </row>
    <row r="198" spans="1:22" ht="15.6" x14ac:dyDescent="0.3">
      <c r="A198" s="76"/>
      <c r="B198" s="77" t="s">
        <v>164</v>
      </c>
      <c r="C198" s="78"/>
      <c r="D198" s="78"/>
      <c r="E198" s="78"/>
      <c r="F198" s="78"/>
      <c r="G198" s="64"/>
      <c r="H198" s="64"/>
      <c r="I198" s="64"/>
      <c r="J198" s="64"/>
      <c r="K198" s="64"/>
      <c r="L198" s="64"/>
      <c r="M198" s="64"/>
      <c r="N198" s="64"/>
      <c r="O198" s="64"/>
      <c r="P198" s="64"/>
      <c r="Q198" s="64"/>
      <c r="R198" s="39">
        <f>'Oct 05'!R193</f>
        <v>4.8438496428571419E-2</v>
      </c>
      <c r="S198" s="25"/>
      <c r="T198" s="25"/>
      <c r="U198" s="25"/>
      <c r="V198" s="5"/>
    </row>
    <row r="199" spans="1:22" ht="15.6" x14ac:dyDescent="0.3">
      <c r="A199" s="76"/>
      <c r="B199" s="77" t="s">
        <v>76</v>
      </c>
      <c r="C199" s="78"/>
      <c r="D199" s="78"/>
      <c r="E199" s="78"/>
      <c r="F199" s="78"/>
      <c r="G199" s="64"/>
      <c r="H199" s="64"/>
      <c r="I199" s="64"/>
      <c r="J199" s="64"/>
      <c r="K199" s="64"/>
      <c r="L199" s="64"/>
      <c r="M199" s="64"/>
      <c r="N199" s="64"/>
      <c r="O199" s="64"/>
      <c r="P199" s="64"/>
      <c r="Q199" s="64"/>
      <c r="R199" s="79">
        <f>R197-R198</f>
        <v>9.7715035714285789E-3</v>
      </c>
      <c r="S199" s="25"/>
      <c r="T199" s="25"/>
      <c r="U199" s="25"/>
      <c r="V199" s="5"/>
    </row>
    <row r="200" spans="1:22" ht="15.6" x14ac:dyDescent="0.3">
      <c r="A200" s="76"/>
      <c r="B200" s="77" t="s">
        <v>77</v>
      </c>
      <c r="C200" s="78"/>
      <c r="D200" s="78"/>
      <c r="E200" s="78"/>
      <c r="F200" s="78"/>
      <c r="G200" s="64"/>
      <c r="H200" s="64"/>
      <c r="I200" s="64"/>
      <c r="J200" s="64"/>
      <c r="K200" s="64"/>
      <c r="L200" s="64"/>
      <c r="M200" s="64"/>
      <c r="N200" s="64"/>
      <c r="O200" s="64"/>
      <c r="P200" s="64"/>
      <c r="Q200" s="64"/>
      <c r="R200" s="79">
        <v>6.7390000000000005E-2</v>
      </c>
      <c r="S200" s="25"/>
      <c r="T200" s="25"/>
      <c r="U200" s="25"/>
      <c r="V200" s="5"/>
    </row>
    <row r="201" spans="1:22" ht="15.6" x14ac:dyDescent="0.3">
      <c r="A201" s="76"/>
      <c r="B201" s="77" t="s">
        <v>257</v>
      </c>
      <c r="C201" s="78"/>
      <c r="D201" s="78"/>
      <c r="E201" s="78"/>
      <c r="F201" s="78"/>
      <c r="G201" s="64"/>
      <c r="H201" s="64"/>
      <c r="I201" s="64"/>
      <c r="J201" s="64"/>
      <c r="K201" s="64"/>
      <c r="L201" s="64"/>
      <c r="M201" s="64"/>
      <c r="N201" s="64"/>
      <c r="O201" s="64"/>
      <c r="P201" s="64"/>
      <c r="Q201" s="64"/>
      <c r="R201" s="79">
        <f>+T41</f>
        <v>6.5761976359993188E-2</v>
      </c>
      <c r="S201" s="25"/>
      <c r="T201" s="25"/>
      <c r="U201" s="25"/>
      <c r="V201" s="5"/>
    </row>
    <row r="202" spans="1:22" ht="15.6" x14ac:dyDescent="0.3">
      <c r="A202" s="76"/>
      <c r="B202" s="77" t="s">
        <v>78</v>
      </c>
      <c r="C202" s="78"/>
      <c r="D202" s="78"/>
      <c r="E202" s="78"/>
      <c r="F202" s="78"/>
      <c r="G202" s="64"/>
      <c r="H202" s="64"/>
      <c r="I202" s="64"/>
      <c r="J202" s="64"/>
      <c r="K202" s="64"/>
      <c r="L202" s="64"/>
      <c r="M202" s="64"/>
      <c r="N202" s="64"/>
      <c r="O202" s="64"/>
      <c r="P202" s="64"/>
      <c r="Q202" s="64"/>
      <c r="R202" s="79">
        <f>R200-R201</f>
        <v>1.6280236400068177E-3</v>
      </c>
      <c r="S202" s="25"/>
      <c r="T202" s="25"/>
      <c r="U202" s="25"/>
      <c r="V202" s="5"/>
    </row>
    <row r="203" spans="1:22" ht="15.6" x14ac:dyDescent="0.3">
      <c r="A203" s="76"/>
      <c r="B203" s="77" t="s">
        <v>268</v>
      </c>
      <c r="C203" s="78"/>
      <c r="D203" s="78"/>
      <c r="E203" s="78"/>
      <c r="F203" s="78"/>
      <c r="G203" s="64"/>
      <c r="H203" s="64"/>
      <c r="I203" s="64"/>
      <c r="J203" s="64"/>
      <c r="K203" s="64"/>
      <c r="L203" s="64"/>
      <c r="M203" s="64"/>
      <c r="N203" s="64"/>
      <c r="O203" s="64"/>
      <c r="P203" s="64"/>
      <c r="Q203" s="64"/>
      <c r="R203" s="79">
        <f>+T98/L69</f>
        <v>1.9730478787266751E-2</v>
      </c>
      <c r="S203" s="25"/>
      <c r="T203" s="25"/>
      <c r="U203" s="25"/>
      <c r="V203" s="5"/>
    </row>
    <row r="204" spans="1:22" ht="15.6" x14ac:dyDescent="0.3">
      <c r="A204" s="76"/>
      <c r="B204" s="77" t="s">
        <v>249</v>
      </c>
      <c r="C204" s="78"/>
      <c r="D204" s="78"/>
      <c r="E204" s="78"/>
      <c r="F204" s="78"/>
      <c r="G204" s="64"/>
      <c r="H204" s="64"/>
      <c r="I204" s="64"/>
      <c r="J204" s="64"/>
      <c r="K204" s="64"/>
      <c r="L204" s="64"/>
      <c r="M204" s="64"/>
      <c r="N204" s="64"/>
      <c r="O204" s="64"/>
      <c r="P204" s="64"/>
      <c r="Q204" s="64"/>
      <c r="R204" s="132">
        <v>51622</v>
      </c>
      <c r="S204" s="25"/>
      <c r="T204" s="25"/>
      <c r="U204" s="25"/>
      <c r="V204" s="5"/>
    </row>
    <row r="205" spans="1:22" ht="15.6" x14ac:dyDescent="0.3">
      <c r="A205" s="76"/>
      <c r="B205" s="77" t="s">
        <v>250</v>
      </c>
      <c r="C205" s="78"/>
      <c r="D205" s="78"/>
      <c r="E205" s="78"/>
      <c r="F205" s="78"/>
      <c r="G205" s="64"/>
      <c r="H205" s="64"/>
      <c r="I205" s="64"/>
      <c r="J205" s="64"/>
      <c r="K205" s="64"/>
      <c r="L205" s="64"/>
      <c r="M205" s="64"/>
      <c r="N205" s="64"/>
      <c r="O205" s="64"/>
      <c r="P205" s="64"/>
      <c r="Q205" s="64"/>
      <c r="R205" s="132">
        <v>51622</v>
      </c>
      <c r="S205" s="25"/>
      <c r="T205" s="25"/>
      <c r="U205" s="25"/>
      <c r="V205" s="5"/>
    </row>
    <row r="206" spans="1:22" ht="15.6" x14ac:dyDescent="0.3">
      <c r="A206" s="76"/>
      <c r="B206" s="77" t="s">
        <v>251</v>
      </c>
      <c r="C206" s="78"/>
      <c r="D206" s="78"/>
      <c r="E206" s="78"/>
      <c r="F206" s="78"/>
      <c r="G206" s="64"/>
      <c r="H206" s="64"/>
      <c r="I206" s="64"/>
      <c r="J206" s="64"/>
      <c r="K206" s="64"/>
      <c r="L206" s="64"/>
      <c r="M206" s="64"/>
      <c r="N206" s="64"/>
      <c r="O206" s="64"/>
      <c r="P206" s="64"/>
      <c r="Q206" s="64"/>
      <c r="R206" s="132">
        <v>51622</v>
      </c>
      <c r="S206" s="25"/>
      <c r="T206" s="25"/>
      <c r="U206" s="25"/>
      <c r="V206" s="5"/>
    </row>
    <row r="207" spans="1:22" ht="15.6" x14ac:dyDescent="0.3">
      <c r="A207" s="76"/>
      <c r="B207" s="77" t="s">
        <v>79</v>
      </c>
      <c r="C207" s="78"/>
      <c r="D207" s="78"/>
      <c r="E207" s="78"/>
      <c r="F207" s="78"/>
      <c r="G207" s="64"/>
      <c r="H207" s="64"/>
      <c r="I207" s="64"/>
      <c r="J207" s="64"/>
      <c r="K207" s="64"/>
      <c r="L207" s="64"/>
      <c r="M207" s="64"/>
      <c r="N207" s="64"/>
      <c r="O207" s="64"/>
      <c r="P207" s="64"/>
      <c r="Q207" s="64"/>
      <c r="R207" s="136">
        <v>20.95</v>
      </c>
      <c r="S207" s="25" t="s">
        <v>119</v>
      </c>
      <c r="T207" s="25"/>
      <c r="U207" s="25"/>
      <c r="V207" s="5"/>
    </row>
    <row r="208" spans="1:22" ht="15.6" x14ac:dyDescent="0.3">
      <c r="A208" s="76"/>
      <c r="B208" s="77" t="s">
        <v>80</v>
      </c>
      <c r="C208" s="78"/>
      <c r="D208" s="78"/>
      <c r="E208" s="78"/>
      <c r="F208" s="78"/>
      <c r="G208" s="64"/>
      <c r="H208" s="64"/>
      <c r="I208" s="64"/>
      <c r="J208" s="64"/>
      <c r="K208" s="64"/>
      <c r="L208" s="64"/>
      <c r="M208" s="64"/>
      <c r="N208" s="64"/>
      <c r="O208" s="64"/>
      <c r="P208" s="64"/>
      <c r="Q208" s="64"/>
      <c r="R208" s="136">
        <v>18.510000000000002</v>
      </c>
      <c r="S208" s="25" t="s">
        <v>119</v>
      </c>
      <c r="T208" s="25"/>
      <c r="U208" s="25"/>
      <c r="V208" s="5"/>
    </row>
    <row r="209" spans="1:22" ht="15.6" x14ac:dyDescent="0.3">
      <c r="A209" s="76"/>
      <c r="B209" s="77" t="s">
        <v>81</v>
      </c>
      <c r="C209" s="78"/>
      <c r="D209" s="78"/>
      <c r="E209" s="78"/>
      <c r="F209" s="78"/>
      <c r="G209" s="64"/>
      <c r="H209" s="64"/>
      <c r="I209" s="64"/>
      <c r="J209" s="64"/>
      <c r="K209" s="64"/>
      <c r="L209" s="64"/>
      <c r="M209" s="64"/>
      <c r="N209" s="64"/>
      <c r="O209" s="64"/>
      <c r="P209" s="64"/>
      <c r="Q209" s="64"/>
      <c r="R209" s="79">
        <f>+N66/L66</f>
        <v>7.6038195262620484E-2</v>
      </c>
      <c r="S209" s="25"/>
      <c r="T209" s="25"/>
      <c r="U209" s="25"/>
      <c r="V209" s="5"/>
    </row>
    <row r="210" spans="1:22" ht="15.6" x14ac:dyDescent="0.3">
      <c r="A210" s="76"/>
      <c r="B210" s="77" t="s">
        <v>82</v>
      </c>
      <c r="C210" s="78"/>
      <c r="D210" s="78"/>
      <c r="E210" s="78"/>
      <c r="F210" s="78"/>
      <c r="G210" s="64"/>
      <c r="H210" s="64"/>
      <c r="I210" s="64"/>
      <c r="J210" s="64"/>
      <c r="K210" s="64"/>
      <c r="L210" s="64"/>
      <c r="M210" s="64"/>
      <c r="N210" s="64"/>
      <c r="O210" s="64"/>
      <c r="P210" s="64"/>
      <c r="Q210" s="64"/>
      <c r="R210" s="79">
        <v>0.20730000000000001</v>
      </c>
      <c r="S210" s="25"/>
      <c r="T210" s="25"/>
      <c r="U210" s="25"/>
      <c r="V210" s="5"/>
    </row>
    <row r="211" spans="1:22" ht="15.6" x14ac:dyDescent="0.3">
      <c r="A211" s="76"/>
      <c r="B211" s="77"/>
      <c r="C211" s="77"/>
      <c r="D211" s="77"/>
      <c r="E211" s="77"/>
      <c r="F211" s="77"/>
      <c r="G211" s="25"/>
      <c r="H211" s="25"/>
      <c r="I211" s="25"/>
      <c r="J211" s="25"/>
      <c r="K211" s="25"/>
      <c r="L211" s="25"/>
      <c r="M211" s="25"/>
      <c r="N211" s="25"/>
      <c r="O211" s="25"/>
      <c r="P211" s="25"/>
      <c r="Q211" s="25"/>
      <c r="R211" s="61"/>
      <c r="S211" s="25"/>
      <c r="T211" s="80"/>
      <c r="U211" s="25"/>
      <c r="V211" s="5"/>
    </row>
    <row r="212" spans="1:22" ht="15.6" x14ac:dyDescent="0.3">
      <c r="A212" s="81"/>
      <c r="B212" s="14" t="s">
        <v>83</v>
      </c>
      <c r="C212" s="82"/>
      <c r="D212" s="82"/>
      <c r="E212" s="82"/>
      <c r="F212" s="83"/>
      <c r="G212" s="82"/>
      <c r="H212" s="17"/>
      <c r="I212" s="17"/>
      <c r="J212" s="17"/>
      <c r="K212" s="17"/>
      <c r="L212" s="17"/>
      <c r="M212" s="17"/>
      <c r="N212" s="17"/>
      <c r="O212" s="17"/>
      <c r="P212" s="17"/>
      <c r="Q212" s="17" t="s">
        <v>108</v>
      </c>
      <c r="R212" s="84" t="s">
        <v>115</v>
      </c>
      <c r="S212" s="8"/>
      <c r="T212" s="8"/>
      <c r="U212" s="8"/>
      <c r="V212" s="5"/>
    </row>
    <row r="213" spans="1:22" ht="15.6" x14ac:dyDescent="0.3">
      <c r="A213" s="85"/>
      <c r="B213" s="77" t="s">
        <v>84</v>
      </c>
      <c r="C213" s="54"/>
      <c r="D213" s="54"/>
      <c r="E213" s="54"/>
      <c r="F213" s="25"/>
      <c r="G213" s="25"/>
      <c r="H213" s="30"/>
      <c r="I213" s="30"/>
      <c r="J213" s="30"/>
      <c r="K213" s="30"/>
      <c r="L213" s="30"/>
      <c r="M213" s="30"/>
      <c r="N213" s="30"/>
      <c r="O213" s="30"/>
      <c r="P213" s="30"/>
      <c r="Q213" s="30">
        <v>0</v>
      </c>
      <c r="R213" s="86">
        <v>0</v>
      </c>
      <c r="S213" s="25"/>
      <c r="T213" s="80"/>
      <c r="U213" s="87"/>
      <c r="V213" s="5"/>
    </row>
    <row r="214" spans="1:22" ht="15.6" x14ac:dyDescent="0.3">
      <c r="A214" s="85"/>
      <c r="B214" s="77" t="s">
        <v>156</v>
      </c>
      <c r="C214" s="54"/>
      <c r="D214" s="54"/>
      <c r="E214" s="54"/>
      <c r="F214" s="25"/>
      <c r="G214" s="25"/>
      <c r="H214" s="30"/>
      <c r="I214" s="30"/>
      <c r="J214" s="30"/>
      <c r="K214" s="30"/>
      <c r="L214" s="30"/>
      <c r="M214" s="30"/>
      <c r="N214" s="30"/>
      <c r="O214" s="30"/>
      <c r="P214" s="30"/>
      <c r="Q214" s="156">
        <f>+P253</f>
        <v>32</v>
      </c>
      <c r="R214" s="86">
        <f>+R253</f>
        <v>5304</v>
      </c>
      <c r="S214" s="25"/>
      <c r="T214" s="80"/>
      <c r="U214" s="87"/>
      <c r="V214" s="5"/>
    </row>
    <row r="215" spans="1:22" ht="15.6" x14ac:dyDescent="0.3">
      <c r="A215" s="85"/>
      <c r="B215" s="77" t="s">
        <v>85</v>
      </c>
      <c r="C215" s="54"/>
      <c r="D215" s="54"/>
      <c r="E215" s="54"/>
      <c r="F215" s="25"/>
      <c r="G215" s="25"/>
      <c r="H215" s="30"/>
      <c r="I215" s="30"/>
      <c r="J215" s="30"/>
      <c r="K215" s="30"/>
      <c r="L215" s="30"/>
      <c r="M215" s="30"/>
      <c r="N215" s="30"/>
      <c r="O215" s="30"/>
      <c r="P215" s="30"/>
      <c r="Q215" s="30">
        <v>0</v>
      </c>
      <c r="R215" s="86">
        <v>0</v>
      </c>
      <c r="S215" s="25"/>
      <c r="T215" s="80"/>
      <c r="U215" s="87"/>
      <c r="V215" s="5"/>
    </row>
    <row r="216" spans="1:22" ht="15.6" x14ac:dyDescent="0.3">
      <c r="A216" s="85"/>
      <c r="B216" s="123" t="s">
        <v>86</v>
      </c>
      <c r="C216" s="54"/>
      <c r="D216" s="54"/>
      <c r="E216" s="54"/>
      <c r="F216" s="25"/>
      <c r="G216" s="25"/>
      <c r="H216" s="25"/>
      <c r="I216" s="25"/>
      <c r="J216" s="25"/>
      <c r="K216" s="25"/>
      <c r="L216" s="25"/>
      <c r="M216" s="25"/>
      <c r="N216" s="25"/>
      <c r="O216" s="25"/>
      <c r="P216" s="25"/>
      <c r="Q216" s="25"/>
      <c r="R216" s="86">
        <v>0</v>
      </c>
      <c r="S216" s="25"/>
      <c r="T216" s="80"/>
      <c r="U216" s="87"/>
      <c r="V216" s="5"/>
    </row>
    <row r="217" spans="1:22" ht="15.6" x14ac:dyDescent="0.3">
      <c r="A217" s="85"/>
      <c r="B217" s="123" t="s">
        <v>87</v>
      </c>
      <c r="C217" s="54"/>
      <c r="D217" s="54"/>
      <c r="E217" s="54"/>
      <c r="F217" s="25"/>
      <c r="G217" s="25"/>
      <c r="H217" s="25"/>
      <c r="I217" s="25"/>
      <c r="J217" s="25"/>
      <c r="K217" s="25"/>
      <c r="L217" s="25"/>
      <c r="M217" s="25"/>
      <c r="N217" s="25"/>
      <c r="O217" s="25"/>
      <c r="P217" s="25"/>
      <c r="Q217" s="25"/>
      <c r="R217" s="62" t="s">
        <v>116</v>
      </c>
      <c r="S217" s="25"/>
      <c r="T217" s="80"/>
      <c r="U217" s="87"/>
      <c r="V217" s="5"/>
    </row>
    <row r="218" spans="1:22" ht="15.6" x14ac:dyDescent="0.3">
      <c r="A218" s="88"/>
      <c r="B218" s="123" t="s">
        <v>88</v>
      </c>
      <c r="C218" s="77"/>
      <c r="D218" s="77"/>
      <c r="E218" s="77"/>
      <c r="F218" s="77"/>
      <c r="G218" s="25"/>
      <c r="H218" s="25"/>
      <c r="I218" s="25"/>
      <c r="J218" s="25"/>
      <c r="K218" s="25"/>
      <c r="L218" s="25"/>
      <c r="M218" s="25"/>
      <c r="N218" s="25"/>
      <c r="O218" s="25"/>
      <c r="P218" s="25"/>
      <c r="Q218" s="25"/>
      <c r="R218" s="86"/>
      <c r="S218" s="25"/>
      <c r="T218" s="80"/>
      <c r="U218" s="89"/>
      <c r="V218" s="5"/>
    </row>
    <row r="219" spans="1:22" ht="15.6" x14ac:dyDescent="0.3">
      <c r="A219" s="88"/>
      <c r="B219" s="134" t="s">
        <v>89</v>
      </c>
      <c r="C219" s="77"/>
      <c r="D219" s="77"/>
      <c r="E219" s="77"/>
      <c r="F219" s="77"/>
      <c r="G219" s="25"/>
      <c r="H219" s="25"/>
      <c r="I219" s="25"/>
      <c r="J219" s="25"/>
      <c r="K219" s="25"/>
      <c r="L219" s="25"/>
      <c r="M219" s="25"/>
      <c r="N219" s="25"/>
      <c r="O219" s="25"/>
      <c r="P219" s="25"/>
      <c r="Q219" s="30"/>
      <c r="R219" s="86">
        <f>T164</f>
        <v>28</v>
      </c>
      <c r="S219" s="25"/>
      <c r="T219" s="80"/>
      <c r="U219" s="89"/>
      <c r="V219" s="5"/>
    </row>
    <row r="220" spans="1:22" ht="15.6" x14ac:dyDescent="0.3">
      <c r="A220" s="85"/>
      <c r="B220" s="77" t="s">
        <v>90</v>
      </c>
      <c r="C220" s="54"/>
      <c r="D220" s="54"/>
      <c r="E220" s="54"/>
      <c r="F220" s="54"/>
      <c r="G220" s="25"/>
      <c r="H220" s="25"/>
      <c r="I220" s="25"/>
      <c r="J220" s="25"/>
      <c r="K220" s="25"/>
      <c r="L220" s="25"/>
      <c r="M220" s="25"/>
      <c r="N220" s="25"/>
      <c r="O220" s="25"/>
      <c r="P220" s="25"/>
      <c r="Q220" s="30"/>
      <c r="R220" s="86">
        <f>'Oct 07'!R219+'Jan 08'!R219</f>
        <v>332</v>
      </c>
      <c r="S220" s="25"/>
      <c r="T220" s="80"/>
      <c r="U220" s="89"/>
      <c r="V220" s="5"/>
    </row>
    <row r="221" spans="1:22" ht="15.6" x14ac:dyDescent="0.3">
      <c r="A221" s="88"/>
      <c r="B221" s="123" t="s">
        <v>288</v>
      </c>
      <c r="C221" s="77"/>
      <c r="D221" s="77"/>
      <c r="E221" s="77"/>
      <c r="F221" s="77"/>
      <c r="G221" s="25"/>
      <c r="H221" s="25"/>
      <c r="I221" s="25"/>
      <c r="J221" s="25"/>
      <c r="K221" s="25"/>
      <c r="L221" s="25"/>
      <c r="M221" s="25"/>
      <c r="N221" s="25"/>
      <c r="O221" s="25"/>
      <c r="P221" s="25"/>
      <c r="Q221" s="30"/>
      <c r="R221" s="86"/>
      <c r="S221" s="25"/>
      <c r="T221" s="80"/>
      <c r="U221" s="89"/>
      <c r="V221" s="5"/>
    </row>
    <row r="222" spans="1:22" ht="15.6" x14ac:dyDescent="0.3">
      <c r="A222" s="88"/>
      <c r="B222" s="77" t="s">
        <v>286</v>
      </c>
      <c r="C222" s="77"/>
      <c r="D222" s="77"/>
      <c r="E222" s="77"/>
      <c r="F222" s="77"/>
      <c r="G222" s="25"/>
      <c r="H222" s="25"/>
      <c r="I222" s="25"/>
      <c r="J222" s="25"/>
      <c r="K222" s="25"/>
      <c r="L222" s="25"/>
      <c r="M222" s="25"/>
      <c r="N222" s="25"/>
      <c r="O222" s="25"/>
      <c r="P222" s="25"/>
      <c r="Q222" s="30">
        <v>0</v>
      </c>
      <c r="R222" s="86">
        <v>0</v>
      </c>
      <c r="S222" s="25"/>
      <c r="T222" s="80"/>
      <c r="U222" s="89"/>
      <c r="V222" s="5"/>
    </row>
    <row r="223" spans="1:22" ht="15.6" x14ac:dyDescent="0.3">
      <c r="A223" s="85"/>
      <c r="B223" s="77" t="s">
        <v>92</v>
      </c>
      <c r="C223" s="90"/>
      <c r="D223" s="90"/>
      <c r="E223" s="90"/>
      <c r="F223" s="91"/>
      <c r="G223" s="25"/>
      <c r="H223" s="25"/>
      <c r="I223" s="25"/>
      <c r="J223" s="25"/>
      <c r="K223" s="25"/>
      <c r="L223" s="25"/>
      <c r="M223" s="25"/>
      <c r="N223" s="25"/>
      <c r="O223" s="25"/>
      <c r="P223" s="25"/>
      <c r="Q223" s="30"/>
      <c r="R223" s="62">
        <v>0</v>
      </c>
      <c r="S223" s="25"/>
      <c r="T223" s="80"/>
      <c r="U223" s="89"/>
      <c r="V223" s="5"/>
    </row>
    <row r="224" spans="1:22" ht="15.6" x14ac:dyDescent="0.3">
      <c r="A224" s="85"/>
      <c r="B224" s="77" t="s">
        <v>93</v>
      </c>
      <c r="C224" s="90"/>
      <c r="D224" s="90"/>
      <c r="E224" s="90"/>
      <c r="F224" s="91"/>
      <c r="G224" s="25"/>
      <c r="H224" s="25"/>
      <c r="I224" s="25"/>
      <c r="J224" s="25"/>
      <c r="K224" s="25"/>
      <c r="L224" s="25"/>
      <c r="M224" s="25"/>
      <c r="N224" s="25"/>
      <c r="O224" s="25"/>
      <c r="P224" s="25"/>
      <c r="Q224" s="30"/>
      <c r="R224" s="62">
        <v>0</v>
      </c>
      <c r="S224" s="25"/>
      <c r="T224" s="80"/>
      <c r="U224" s="89"/>
      <c r="V224" s="5"/>
    </row>
    <row r="225" spans="1:23" ht="15.6" x14ac:dyDescent="0.3">
      <c r="A225" s="85"/>
      <c r="B225" s="123" t="s">
        <v>258</v>
      </c>
      <c r="C225" s="90"/>
      <c r="D225" s="90"/>
      <c r="E225" s="90"/>
      <c r="F225" s="91"/>
      <c r="G225" s="25"/>
      <c r="H225" s="25"/>
      <c r="I225" s="25"/>
      <c r="J225" s="25"/>
      <c r="K225" s="25"/>
      <c r="L225" s="25"/>
      <c r="M225" s="25"/>
      <c r="N225" s="25"/>
      <c r="O225" s="25"/>
      <c r="P225" s="25"/>
      <c r="Q225" s="30"/>
      <c r="R225" s="92"/>
      <c r="S225" s="25"/>
      <c r="T225" s="80"/>
      <c r="U225" s="89"/>
      <c r="V225" s="5"/>
    </row>
    <row r="226" spans="1:23" ht="15.6" x14ac:dyDescent="0.3">
      <c r="A226" s="85"/>
      <c r="B226" s="77" t="s">
        <v>286</v>
      </c>
      <c r="C226" s="90"/>
      <c r="D226" s="90"/>
      <c r="E226" s="90"/>
      <c r="F226" s="91"/>
      <c r="G226" s="25"/>
      <c r="H226" s="25"/>
      <c r="I226" s="25"/>
      <c r="J226" s="25"/>
      <c r="K226" s="25"/>
      <c r="L226" s="25"/>
      <c r="M226" s="25"/>
      <c r="N226" s="25"/>
      <c r="O226" s="25"/>
      <c r="P226" s="25"/>
      <c r="Q226" s="30">
        <v>5</v>
      </c>
      <c r="R226" s="86">
        <v>583</v>
      </c>
      <c r="S226" s="25"/>
      <c r="T226" s="80"/>
      <c r="U226" s="89"/>
      <c r="V226" s="5"/>
    </row>
    <row r="227" spans="1:23" ht="15.6" x14ac:dyDescent="0.3">
      <c r="A227" s="85"/>
      <c r="B227" s="77" t="s">
        <v>259</v>
      </c>
      <c r="C227" s="90"/>
      <c r="D227" s="90"/>
      <c r="E227" s="90"/>
      <c r="F227" s="91"/>
      <c r="G227" s="25"/>
      <c r="H227" s="25"/>
      <c r="I227" s="25"/>
      <c r="J227" s="25"/>
      <c r="K227" s="25"/>
      <c r="L227" s="25"/>
      <c r="M227" s="25"/>
      <c r="N227" s="25"/>
      <c r="O227" s="25"/>
      <c r="P227" s="25"/>
      <c r="Q227" s="25"/>
      <c r="R227" s="62">
        <v>7.28</v>
      </c>
      <c r="S227" s="25"/>
      <c r="T227" s="80"/>
      <c r="U227" s="89"/>
      <c r="V227" s="5"/>
    </row>
    <row r="228" spans="1:23" ht="15.6" x14ac:dyDescent="0.3">
      <c r="A228" s="85"/>
      <c r="B228" s="77"/>
      <c r="C228" s="90"/>
      <c r="D228" s="90"/>
      <c r="E228" s="90"/>
      <c r="F228" s="91"/>
      <c r="G228" s="25"/>
      <c r="H228" s="25"/>
      <c r="I228" s="25"/>
      <c r="J228" s="25"/>
      <c r="K228" s="25"/>
      <c r="L228" s="25"/>
      <c r="M228" s="25"/>
      <c r="N228" s="25"/>
      <c r="O228" s="25"/>
      <c r="P228" s="25"/>
      <c r="Q228" s="25"/>
      <c r="R228" s="92"/>
      <c r="S228" s="25"/>
      <c r="T228" s="80"/>
      <c r="U228" s="89"/>
      <c r="V228" s="5"/>
    </row>
    <row r="229" spans="1:23" ht="17.399999999999999" x14ac:dyDescent="0.3">
      <c r="A229" s="85"/>
      <c r="B229" s="153" t="s">
        <v>208</v>
      </c>
      <c r="C229" s="90"/>
      <c r="D229" s="90"/>
      <c r="E229" s="90"/>
      <c r="F229" s="91"/>
      <c r="G229" s="25"/>
      <c r="H229" s="25"/>
      <c r="I229" s="25"/>
      <c r="J229" s="25"/>
      <c r="K229" s="25"/>
      <c r="L229" s="25"/>
      <c r="M229" s="25"/>
      <c r="N229" s="154" t="s">
        <v>207</v>
      </c>
      <c r="O229" s="25"/>
      <c r="P229" s="25"/>
      <c r="Q229" s="25"/>
      <c r="R229" s="92"/>
      <c r="S229" s="25"/>
      <c r="T229" s="80"/>
      <c r="U229" s="89"/>
      <c r="V229" s="5"/>
    </row>
    <row r="230" spans="1:23" ht="15.6" x14ac:dyDescent="0.3">
      <c r="A230" s="85"/>
      <c r="B230" s="77"/>
      <c r="C230" s="90"/>
      <c r="D230" s="90"/>
      <c r="E230" s="90"/>
      <c r="F230" s="91"/>
      <c r="G230" s="25"/>
      <c r="H230" s="25"/>
      <c r="I230" s="25"/>
      <c r="J230" s="25"/>
      <c r="K230" s="25"/>
      <c r="L230" s="25"/>
      <c r="M230" s="25"/>
      <c r="N230" s="25"/>
      <c r="O230" s="25"/>
      <c r="P230" s="25"/>
      <c r="Q230" s="25"/>
      <c r="R230" s="92"/>
      <c r="S230" s="25"/>
      <c r="T230" s="80"/>
      <c r="U230" s="89"/>
      <c r="V230" s="5"/>
    </row>
    <row r="231" spans="1:23" ht="15.6" x14ac:dyDescent="0.3">
      <c r="A231" s="6"/>
      <c r="B231" s="14" t="s">
        <v>177</v>
      </c>
      <c r="C231" s="82"/>
      <c r="D231" s="82"/>
      <c r="E231" s="82"/>
      <c r="F231" s="83"/>
      <c r="G231" s="82"/>
      <c r="H231" s="17"/>
      <c r="I231" s="17"/>
      <c r="J231" s="17"/>
      <c r="K231" s="17"/>
      <c r="L231" s="17"/>
      <c r="M231" s="17"/>
      <c r="N231" s="17"/>
      <c r="O231" s="17"/>
      <c r="P231" s="84" t="s">
        <v>108</v>
      </c>
      <c r="Q231" s="17" t="s">
        <v>109</v>
      </c>
      <c r="R231" s="84" t="s">
        <v>117</v>
      </c>
      <c r="S231" s="17" t="s">
        <v>109</v>
      </c>
      <c r="T231" s="8"/>
      <c r="U231" s="93"/>
      <c r="V231" s="5"/>
    </row>
    <row r="232" spans="1:23" ht="15.6" x14ac:dyDescent="0.3">
      <c r="A232" s="24"/>
      <c r="B232" s="54" t="s">
        <v>94</v>
      </c>
      <c r="C232" s="94"/>
      <c r="D232" s="94"/>
      <c r="E232" s="94"/>
      <c r="F232" s="25"/>
      <c r="G232" s="94"/>
      <c r="H232" s="94"/>
      <c r="I232" s="94"/>
      <c r="J232" s="94"/>
      <c r="K232" s="94"/>
      <c r="L232" s="94"/>
      <c r="M232" s="94"/>
      <c r="N232" s="94"/>
      <c r="O232" s="94"/>
      <c r="P232" s="54">
        <v>3491</v>
      </c>
      <c r="Q232" s="95">
        <f t="shared" ref="Q232:Q239" si="1">P232/$P$241</f>
        <v>0.9833802816901408</v>
      </c>
      <c r="R232" s="53">
        <v>402243</v>
      </c>
      <c r="S232" s="135">
        <f t="shared" ref="S232:S239" si="2">R232/$R$241</f>
        <v>0.98112356152221314</v>
      </c>
      <c r="T232" s="80"/>
      <c r="U232" s="89"/>
      <c r="V232" s="5"/>
    </row>
    <row r="233" spans="1:23" ht="15.6" x14ac:dyDescent="0.3">
      <c r="A233" s="24"/>
      <c r="B233" s="54" t="s">
        <v>95</v>
      </c>
      <c r="C233" s="94"/>
      <c r="D233" s="94"/>
      <c r="E233" s="94"/>
      <c r="F233" s="25"/>
      <c r="G233" s="95"/>
      <c r="H233" s="94"/>
      <c r="I233" s="94"/>
      <c r="J233" s="94"/>
      <c r="K233" s="94"/>
      <c r="L233" s="94"/>
      <c r="M233" s="94"/>
      <c r="N233" s="94"/>
      <c r="O233" s="94"/>
      <c r="P233" s="54">
        <v>43</v>
      </c>
      <c r="Q233" s="95">
        <f t="shared" si="1"/>
        <v>1.2112676056338029E-2</v>
      </c>
      <c r="R233" s="53">
        <v>5654</v>
      </c>
      <c r="S233" s="135">
        <f t="shared" si="2"/>
        <v>1.3790849354361898E-2</v>
      </c>
      <c r="T233" s="80"/>
      <c r="U233" s="89"/>
      <c r="V233" s="5"/>
      <c r="W233" s="110"/>
    </row>
    <row r="234" spans="1:23" ht="15.6" x14ac:dyDescent="0.3">
      <c r="A234" s="24"/>
      <c r="B234" s="54" t="s">
        <v>96</v>
      </c>
      <c r="C234" s="94"/>
      <c r="D234" s="94"/>
      <c r="E234" s="94"/>
      <c r="F234" s="25"/>
      <c r="G234" s="95"/>
      <c r="H234" s="94"/>
      <c r="I234" s="94"/>
      <c r="J234" s="94"/>
      <c r="K234" s="94"/>
      <c r="L234" s="94"/>
      <c r="M234" s="94"/>
      <c r="N234" s="94"/>
      <c r="O234" s="94"/>
      <c r="P234" s="54">
        <v>15</v>
      </c>
      <c r="Q234" s="95">
        <f t="shared" si="1"/>
        <v>4.2253521126760559E-3</v>
      </c>
      <c r="R234" s="53">
        <v>1834</v>
      </c>
      <c r="S234" s="135">
        <f t="shared" si="2"/>
        <v>4.4733671234346876E-3</v>
      </c>
      <c r="T234" s="80"/>
      <c r="U234" s="89"/>
      <c r="V234" s="5"/>
    </row>
    <row r="235" spans="1:23" ht="15.6" x14ac:dyDescent="0.3">
      <c r="A235" s="24"/>
      <c r="B235" s="54" t="s">
        <v>171</v>
      </c>
      <c r="C235" s="94"/>
      <c r="D235" s="94"/>
      <c r="E235" s="94"/>
      <c r="F235" s="25"/>
      <c r="G235" s="95"/>
      <c r="H235" s="94"/>
      <c r="I235" s="94"/>
      <c r="J235" s="94"/>
      <c r="K235" s="94"/>
      <c r="L235" s="94"/>
      <c r="M235" s="94"/>
      <c r="N235" s="94"/>
      <c r="O235" s="94"/>
      <c r="P235" s="54">
        <v>1</v>
      </c>
      <c r="Q235" s="95">
        <f t="shared" si="1"/>
        <v>2.8169014084507044E-4</v>
      </c>
      <c r="R235" s="53">
        <v>251</v>
      </c>
      <c r="S235" s="135">
        <f t="shared" si="2"/>
        <v>6.1222199999024342E-4</v>
      </c>
      <c r="T235" s="80"/>
      <c r="U235" s="89"/>
      <c r="V235" s="5"/>
      <c r="W235" s="110"/>
    </row>
    <row r="236" spans="1:23" ht="15.6" x14ac:dyDescent="0.3">
      <c r="A236" s="24"/>
      <c r="B236" s="54" t="s">
        <v>172</v>
      </c>
      <c r="C236" s="94"/>
      <c r="D236" s="94"/>
      <c r="E236" s="94"/>
      <c r="F236" s="25"/>
      <c r="G236" s="95"/>
      <c r="H236" s="94"/>
      <c r="I236" s="94"/>
      <c r="J236" s="94"/>
      <c r="K236" s="94"/>
      <c r="L236" s="94"/>
      <c r="M236" s="94"/>
      <c r="N236" s="94"/>
      <c r="O236" s="94"/>
      <c r="P236" s="54">
        <v>0</v>
      </c>
      <c r="Q236" s="95">
        <f t="shared" si="1"/>
        <v>0</v>
      </c>
      <c r="R236" s="53">
        <v>0</v>
      </c>
      <c r="S236" s="135">
        <f t="shared" si="2"/>
        <v>0</v>
      </c>
      <c r="T236" s="80"/>
      <c r="U236" s="89"/>
      <c r="V236" s="5"/>
    </row>
    <row r="237" spans="1:23" ht="15.6" x14ac:dyDescent="0.3">
      <c r="A237" s="24"/>
      <c r="B237" s="54" t="s">
        <v>173</v>
      </c>
      <c r="C237" s="94"/>
      <c r="D237" s="94"/>
      <c r="E237" s="94"/>
      <c r="F237" s="25"/>
      <c r="G237" s="95"/>
      <c r="H237" s="94"/>
      <c r="I237" s="94"/>
      <c r="J237" s="94"/>
      <c r="K237" s="94"/>
      <c r="L237" s="94"/>
      <c r="M237" s="94"/>
      <c r="N237" s="94"/>
      <c r="O237" s="94"/>
      <c r="P237" s="54">
        <v>0</v>
      </c>
      <c r="Q237" s="95">
        <f t="shared" si="1"/>
        <v>0</v>
      </c>
      <c r="R237" s="53">
        <v>0</v>
      </c>
      <c r="S237" s="135">
        <f t="shared" si="2"/>
        <v>0</v>
      </c>
      <c r="T237" s="80"/>
      <c r="U237" s="89"/>
      <c r="V237" s="5"/>
      <c r="W237" s="110"/>
    </row>
    <row r="238" spans="1:23" ht="15.6" x14ac:dyDescent="0.3">
      <c r="A238" s="24"/>
      <c r="B238" s="54" t="s">
        <v>174</v>
      </c>
      <c r="C238" s="94"/>
      <c r="D238" s="94"/>
      <c r="E238" s="94"/>
      <c r="F238" s="25"/>
      <c r="G238" s="95"/>
      <c r="H238" s="94"/>
      <c r="I238" s="94"/>
      <c r="J238" s="94"/>
      <c r="K238" s="94"/>
      <c r="L238" s="94"/>
      <c r="M238" s="94"/>
      <c r="N238" s="94"/>
      <c r="O238" s="94"/>
      <c r="P238" s="54">
        <v>0</v>
      </c>
      <c r="Q238" s="95">
        <f t="shared" si="1"/>
        <v>0</v>
      </c>
      <c r="R238" s="53">
        <v>0</v>
      </c>
      <c r="S238" s="135">
        <f t="shared" si="2"/>
        <v>0</v>
      </c>
      <c r="T238" s="80"/>
      <c r="U238" s="89"/>
      <c r="V238" s="5"/>
    </row>
    <row r="239" spans="1:23" ht="15.6" x14ac:dyDescent="0.3">
      <c r="A239" s="24"/>
      <c r="B239" s="54" t="s">
        <v>175</v>
      </c>
      <c r="C239" s="94"/>
      <c r="D239" s="94"/>
      <c r="E239" s="94"/>
      <c r="F239" s="25"/>
      <c r="G239" s="95"/>
      <c r="H239" s="94"/>
      <c r="I239" s="94"/>
      <c r="J239" s="94"/>
      <c r="K239" s="94"/>
      <c r="L239" s="94"/>
      <c r="M239" s="94"/>
      <c r="N239" s="94"/>
      <c r="O239" s="94"/>
      <c r="P239" s="54">
        <v>0</v>
      </c>
      <c r="Q239" s="95">
        <f t="shared" si="1"/>
        <v>0</v>
      </c>
      <c r="R239" s="53">
        <v>0</v>
      </c>
      <c r="S239" s="135">
        <f t="shared" si="2"/>
        <v>0</v>
      </c>
      <c r="T239" s="80"/>
      <c r="U239" s="89"/>
      <c r="V239" s="5"/>
      <c r="W239" s="110"/>
    </row>
    <row r="240" spans="1:23" ht="15.6" x14ac:dyDescent="0.3">
      <c r="A240" s="24"/>
      <c r="B240" s="54"/>
      <c r="C240" s="94"/>
      <c r="D240" s="94"/>
      <c r="E240" s="94"/>
      <c r="F240" s="25"/>
      <c r="G240" s="95"/>
      <c r="H240" s="94"/>
      <c r="I240" s="94"/>
      <c r="J240" s="94"/>
      <c r="K240" s="94"/>
      <c r="L240" s="94"/>
      <c r="M240" s="94"/>
      <c r="N240" s="94"/>
      <c r="O240" s="94"/>
      <c r="P240" s="54"/>
      <c r="Q240" s="95"/>
      <c r="R240" s="53"/>
      <c r="S240" s="135"/>
      <c r="T240" s="80"/>
      <c r="U240" s="89"/>
      <c r="V240" s="5"/>
    </row>
    <row r="241" spans="1:22" ht="15.6" x14ac:dyDescent="0.3">
      <c r="A241" s="24"/>
      <c r="B241" s="25"/>
      <c r="C241" s="25"/>
      <c r="D241" s="25"/>
      <c r="E241" s="25"/>
      <c r="F241" s="25"/>
      <c r="G241" s="25"/>
      <c r="H241" s="96"/>
      <c r="I241" s="96"/>
      <c r="J241" s="96"/>
      <c r="K241" s="96"/>
      <c r="L241" s="96"/>
      <c r="M241" s="96"/>
      <c r="N241" s="96"/>
      <c r="O241" s="96"/>
      <c r="P241" s="34">
        <f>SUM(P232:P240)</f>
        <v>3550</v>
      </c>
      <c r="Q241" s="135">
        <f>SUM(Q232:Q240)</f>
        <v>1</v>
      </c>
      <c r="R241" s="53">
        <f>SUM(R232:R240)</f>
        <v>409982</v>
      </c>
      <c r="S241" s="135">
        <f>SUM(S232:S240)</f>
        <v>1</v>
      </c>
      <c r="T241" s="25"/>
      <c r="U241" s="25"/>
      <c r="V241" s="5"/>
    </row>
    <row r="242" spans="1:22" ht="15.6" x14ac:dyDescent="0.3">
      <c r="A242" s="24"/>
      <c r="B242" s="25"/>
      <c r="C242" s="25"/>
      <c r="D242" s="25"/>
      <c r="E242" s="25"/>
      <c r="F242" s="25"/>
      <c r="G242" s="25"/>
      <c r="H242" s="96"/>
      <c r="I242" s="96"/>
      <c r="J242" s="96"/>
      <c r="K242" s="96"/>
      <c r="L242" s="96"/>
      <c r="M242" s="96"/>
      <c r="N242" s="96"/>
      <c r="O242" s="96"/>
      <c r="P242" s="34"/>
      <c r="Q242" s="135"/>
      <c r="R242" s="53"/>
      <c r="S242" s="135"/>
      <c r="T242" s="25"/>
      <c r="U242" s="25"/>
      <c r="V242" s="5"/>
    </row>
    <row r="243" spans="1:22" ht="15.6" x14ac:dyDescent="0.3">
      <c r="A243" s="144"/>
      <c r="B243" s="14" t="s">
        <v>279</v>
      </c>
      <c r="C243" s="82"/>
      <c r="D243" s="82"/>
      <c r="E243" s="82"/>
      <c r="F243" s="83"/>
      <c r="G243" s="82"/>
      <c r="H243" s="17"/>
      <c r="I243" s="17"/>
      <c r="J243" s="17"/>
      <c r="K243" s="17"/>
      <c r="L243" s="17"/>
      <c r="M243" s="17"/>
      <c r="N243" s="17"/>
      <c r="O243" s="17"/>
      <c r="P243" s="84" t="s">
        <v>108</v>
      </c>
      <c r="Q243" s="17" t="s">
        <v>109</v>
      </c>
      <c r="R243" s="84" t="s">
        <v>117</v>
      </c>
      <c r="S243" s="17" t="s">
        <v>109</v>
      </c>
      <c r="T243" s="142"/>
      <c r="U243" s="143"/>
      <c r="V243" s="5"/>
    </row>
    <row r="244" spans="1:22" ht="15.6" x14ac:dyDescent="0.3">
      <c r="A244" s="24"/>
      <c r="B244" s="54" t="s">
        <v>94</v>
      </c>
      <c r="C244" s="94"/>
      <c r="D244" s="94"/>
      <c r="E244" s="94"/>
      <c r="F244" s="25"/>
      <c r="G244" s="94"/>
      <c r="H244" s="94"/>
      <c r="I244" s="94"/>
      <c r="J244" s="94"/>
      <c r="K244" s="94"/>
      <c r="L244" s="94"/>
      <c r="M244" s="94"/>
      <c r="N244" s="94"/>
      <c r="O244" s="94"/>
      <c r="P244" s="54">
        <v>5</v>
      </c>
      <c r="Q244" s="95">
        <f t="shared" ref="Q244:Q251" si="3">P244/$P$253</f>
        <v>0.15625</v>
      </c>
      <c r="R244" s="53">
        <v>802</v>
      </c>
      <c r="S244" s="135">
        <f t="shared" ref="S244:S251" si="4">R244/$R$253</f>
        <v>0.15120663650075414</v>
      </c>
      <c r="T244" s="25"/>
      <c r="U244" s="25"/>
      <c r="V244" s="5"/>
    </row>
    <row r="245" spans="1:22" ht="15.6" x14ac:dyDescent="0.3">
      <c r="A245" s="24"/>
      <c r="B245" s="54" t="s">
        <v>95</v>
      </c>
      <c r="C245" s="94"/>
      <c r="D245" s="94"/>
      <c r="E245" s="94"/>
      <c r="F245" s="25"/>
      <c r="G245" s="95"/>
      <c r="H245" s="94"/>
      <c r="I245" s="94"/>
      <c r="J245" s="94"/>
      <c r="K245" s="94"/>
      <c r="L245" s="94"/>
      <c r="M245" s="94"/>
      <c r="N245" s="94"/>
      <c r="O245" s="94"/>
      <c r="P245" s="54">
        <v>0</v>
      </c>
      <c r="Q245" s="95">
        <f t="shared" si="3"/>
        <v>0</v>
      </c>
      <c r="R245" s="53">
        <v>0</v>
      </c>
      <c r="S245" s="135">
        <f t="shared" si="4"/>
        <v>0</v>
      </c>
      <c r="T245" s="25"/>
      <c r="U245" s="25"/>
      <c r="V245" s="5"/>
    </row>
    <row r="246" spans="1:22" ht="15.6" x14ac:dyDescent="0.3">
      <c r="A246" s="24"/>
      <c r="B246" s="54" t="s">
        <v>96</v>
      </c>
      <c r="C246" s="94"/>
      <c r="D246" s="94"/>
      <c r="E246" s="94"/>
      <c r="F246" s="25"/>
      <c r="G246" s="95"/>
      <c r="H246" s="94"/>
      <c r="I246" s="94"/>
      <c r="J246" s="94"/>
      <c r="K246" s="94"/>
      <c r="L246" s="94"/>
      <c r="M246" s="94"/>
      <c r="N246" s="94"/>
      <c r="O246" s="94"/>
      <c r="P246" s="54">
        <v>0</v>
      </c>
      <c r="Q246" s="95">
        <f t="shared" si="3"/>
        <v>0</v>
      </c>
      <c r="R246" s="53">
        <v>0</v>
      </c>
      <c r="S246" s="135">
        <f t="shared" si="4"/>
        <v>0</v>
      </c>
      <c r="T246" s="25"/>
      <c r="U246" s="25"/>
      <c r="V246" s="5"/>
    </row>
    <row r="247" spans="1:22" ht="15.6" x14ac:dyDescent="0.3">
      <c r="A247" s="24"/>
      <c r="B247" s="54" t="s">
        <v>171</v>
      </c>
      <c r="C247" s="94"/>
      <c r="D247" s="94"/>
      <c r="E247" s="94"/>
      <c r="F247" s="25"/>
      <c r="G247" s="95"/>
      <c r="H247" s="94"/>
      <c r="I247" s="94"/>
      <c r="J247" s="94"/>
      <c r="K247" s="94"/>
      <c r="L247" s="94"/>
      <c r="M247" s="94"/>
      <c r="N247" s="94"/>
      <c r="O247" s="94"/>
      <c r="P247" s="54">
        <v>2</v>
      </c>
      <c r="Q247" s="95">
        <f t="shared" si="3"/>
        <v>6.25E-2</v>
      </c>
      <c r="R247" s="53">
        <v>153</v>
      </c>
      <c r="S247" s="135">
        <f t="shared" si="4"/>
        <v>2.8846153846153848E-2</v>
      </c>
      <c r="T247" s="25"/>
      <c r="U247" s="25"/>
      <c r="V247" s="5"/>
    </row>
    <row r="248" spans="1:22" ht="15.6" x14ac:dyDescent="0.3">
      <c r="A248" s="24"/>
      <c r="B248" s="54" t="s">
        <v>172</v>
      </c>
      <c r="C248" s="94"/>
      <c r="D248" s="94"/>
      <c r="E248" s="94"/>
      <c r="F248" s="25"/>
      <c r="G248" s="95"/>
      <c r="H248" s="94"/>
      <c r="I248" s="94"/>
      <c r="J248" s="94"/>
      <c r="K248" s="94"/>
      <c r="L248" s="94"/>
      <c r="M248" s="94"/>
      <c r="N248" s="94"/>
      <c r="O248" s="94"/>
      <c r="P248" s="54">
        <v>3</v>
      </c>
      <c r="Q248" s="95">
        <f t="shared" si="3"/>
        <v>9.375E-2</v>
      </c>
      <c r="R248" s="53">
        <v>991</v>
      </c>
      <c r="S248" s="135">
        <f t="shared" si="4"/>
        <v>0.18684012066365008</v>
      </c>
      <c r="T248" s="25"/>
      <c r="U248" s="25"/>
      <c r="V248" s="5"/>
    </row>
    <row r="249" spans="1:22" ht="15.6" x14ac:dyDescent="0.3">
      <c r="A249" s="24"/>
      <c r="B249" s="54" t="s">
        <v>173</v>
      </c>
      <c r="C249" s="94"/>
      <c r="D249" s="94"/>
      <c r="E249" s="94"/>
      <c r="F249" s="25"/>
      <c r="G249" s="95"/>
      <c r="H249" s="94"/>
      <c r="I249" s="94"/>
      <c r="J249" s="94"/>
      <c r="K249" s="94"/>
      <c r="L249" s="94"/>
      <c r="M249" s="94"/>
      <c r="N249" s="94"/>
      <c r="O249" s="94"/>
      <c r="P249" s="54">
        <v>4</v>
      </c>
      <c r="Q249" s="95">
        <f t="shared" si="3"/>
        <v>0.125</v>
      </c>
      <c r="R249" s="53">
        <v>649</v>
      </c>
      <c r="S249" s="135">
        <f t="shared" si="4"/>
        <v>0.1223604826546003</v>
      </c>
      <c r="T249" s="25"/>
      <c r="U249" s="25"/>
      <c r="V249" s="5"/>
    </row>
    <row r="250" spans="1:22" ht="15.6" x14ac:dyDescent="0.3">
      <c r="A250" s="24"/>
      <c r="B250" s="54" t="s">
        <v>174</v>
      </c>
      <c r="C250" s="94"/>
      <c r="D250" s="94"/>
      <c r="E250" s="94"/>
      <c r="F250" s="25"/>
      <c r="G250" s="95"/>
      <c r="H250" s="94"/>
      <c r="I250" s="94"/>
      <c r="J250" s="94"/>
      <c r="K250" s="94"/>
      <c r="L250" s="94"/>
      <c r="M250" s="94"/>
      <c r="N250" s="94"/>
      <c r="O250" s="94"/>
      <c r="P250" s="54">
        <v>9</v>
      </c>
      <c r="Q250" s="95">
        <f t="shared" si="3"/>
        <v>0.28125</v>
      </c>
      <c r="R250" s="53">
        <v>1505</v>
      </c>
      <c r="S250" s="135">
        <f t="shared" si="4"/>
        <v>0.28374811463046756</v>
      </c>
      <c r="T250" s="25"/>
      <c r="U250" s="25"/>
      <c r="V250" s="5"/>
    </row>
    <row r="251" spans="1:22" ht="15.6" x14ac:dyDescent="0.3">
      <c r="A251" s="24"/>
      <c r="B251" s="54" t="s">
        <v>175</v>
      </c>
      <c r="C251" s="94"/>
      <c r="D251" s="94"/>
      <c r="E251" s="94"/>
      <c r="F251" s="25"/>
      <c r="G251" s="95"/>
      <c r="H251" s="94"/>
      <c r="I251" s="94"/>
      <c r="J251" s="94"/>
      <c r="K251" s="94"/>
      <c r="L251" s="94"/>
      <c r="M251" s="94"/>
      <c r="N251" s="94"/>
      <c r="O251" s="94"/>
      <c r="P251" s="54">
        <v>9</v>
      </c>
      <c r="Q251" s="95">
        <f t="shared" si="3"/>
        <v>0.28125</v>
      </c>
      <c r="R251" s="53">
        <v>1204</v>
      </c>
      <c r="S251" s="135">
        <f t="shared" si="4"/>
        <v>0.22699849170437406</v>
      </c>
      <c r="T251" s="25"/>
      <c r="U251" s="25"/>
      <c r="V251" s="5"/>
    </row>
    <row r="252" spans="1:22" ht="15.6" x14ac:dyDescent="0.3">
      <c r="A252" s="24"/>
      <c r="B252" s="54"/>
      <c r="C252" s="94"/>
      <c r="D252" s="94"/>
      <c r="E252" s="94"/>
      <c r="F252" s="25"/>
      <c r="G252" s="95"/>
      <c r="H252" s="94"/>
      <c r="I252" s="94"/>
      <c r="J252" s="94"/>
      <c r="K252" s="94"/>
      <c r="L252" s="94"/>
      <c r="M252" s="94"/>
      <c r="N252" s="94"/>
      <c r="O252" s="94"/>
      <c r="P252" s="54"/>
      <c r="Q252" s="95"/>
      <c r="R252" s="53"/>
      <c r="S252" s="135"/>
      <c r="T252" s="25"/>
      <c r="U252" s="25"/>
      <c r="V252" s="5"/>
    </row>
    <row r="253" spans="1:22" ht="15.6" x14ac:dyDescent="0.3">
      <c r="A253" s="24"/>
      <c r="B253" s="25"/>
      <c r="C253" s="25"/>
      <c r="D253" s="25"/>
      <c r="E253" s="25"/>
      <c r="F253" s="25"/>
      <c r="G253" s="25"/>
      <c r="H253" s="96"/>
      <c r="I253" s="96"/>
      <c r="J253" s="96"/>
      <c r="K253" s="96"/>
      <c r="L253" s="96"/>
      <c r="M253" s="96"/>
      <c r="N253" s="96"/>
      <c r="O253" s="96"/>
      <c r="P253" s="34">
        <f>SUM(P244:P252)</f>
        <v>32</v>
      </c>
      <c r="Q253" s="135">
        <f>SUM(Q244:Q252)</f>
        <v>1</v>
      </c>
      <c r="R253" s="53">
        <f>SUM(R244:R252)</f>
        <v>5304</v>
      </c>
      <c r="S253" s="135">
        <f>SUM(S244:S252)</f>
        <v>1</v>
      </c>
      <c r="T253" s="25"/>
      <c r="U253" s="25"/>
      <c r="V253" s="5"/>
    </row>
    <row r="254" spans="1:22" ht="15.6" x14ac:dyDescent="0.3">
      <c r="A254" s="24"/>
      <c r="B254" s="25"/>
      <c r="C254" s="25"/>
      <c r="D254" s="25"/>
      <c r="E254" s="25"/>
      <c r="F254" s="25"/>
      <c r="G254" s="25"/>
      <c r="H254" s="96"/>
      <c r="I254" s="96"/>
      <c r="J254" s="96"/>
      <c r="K254" s="96"/>
      <c r="L254" s="96"/>
      <c r="M254" s="96"/>
      <c r="N254" s="96"/>
      <c r="O254" s="96"/>
      <c r="P254" s="34"/>
      <c r="Q254" s="135"/>
      <c r="R254" s="53"/>
      <c r="S254" s="135"/>
      <c r="T254" s="25"/>
      <c r="U254" s="25"/>
      <c r="V254" s="5"/>
    </row>
    <row r="255" spans="1:22" ht="15.6" x14ac:dyDescent="0.3">
      <c r="A255" s="144"/>
      <c r="B255" s="14" t="s">
        <v>179</v>
      </c>
      <c r="C255" s="142"/>
      <c r="D255" s="142"/>
      <c r="E255" s="142"/>
      <c r="F255" s="142"/>
      <c r="G255" s="142"/>
      <c r="H255" s="149"/>
      <c r="I255" s="149"/>
      <c r="J255" s="149"/>
      <c r="K255" s="149"/>
      <c r="L255" s="149"/>
      <c r="M255" s="149"/>
      <c r="N255" s="149"/>
      <c r="O255" s="149"/>
      <c r="P255" s="84" t="s">
        <v>108</v>
      </c>
      <c r="Q255" s="17" t="s">
        <v>109</v>
      </c>
      <c r="R255" s="84" t="s">
        <v>117</v>
      </c>
      <c r="S255" s="17" t="s">
        <v>109</v>
      </c>
      <c r="T255" s="142"/>
      <c r="U255" s="143"/>
      <c r="V255" s="5"/>
    </row>
    <row r="256" spans="1:22" ht="15.6" x14ac:dyDescent="0.3">
      <c r="A256" s="24"/>
      <c r="B256" s="54" t="s">
        <v>94</v>
      </c>
      <c r="C256" s="25"/>
      <c r="D256" s="25"/>
      <c r="E256" s="25"/>
      <c r="F256" s="25"/>
      <c r="G256" s="25"/>
      <c r="H256" s="96"/>
      <c r="I256" s="96"/>
      <c r="J256" s="96"/>
      <c r="K256" s="96"/>
      <c r="L256" s="96"/>
      <c r="M256" s="96"/>
      <c r="N256" s="96"/>
      <c r="O256" s="96"/>
      <c r="P256" s="54">
        <v>0</v>
      </c>
      <c r="Q256" s="95">
        <v>0</v>
      </c>
      <c r="R256" s="53">
        <v>0</v>
      </c>
      <c r="S256" s="135">
        <v>0</v>
      </c>
      <c r="T256" s="25"/>
      <c r="U256" s="25"/>
      <c r="V256" s="5"/>
    </row>
    <row r="257" spans="1:22" ht="15.6" x14ac:dyDescent="0.3">
      <c r="A257" s="24"/>
      <c r="B257" s="54" t="s">
        <v>95</v>
      </c>
      <c r="C257" s="25"/>
      <c r="D257" s="25"/>
      <c r="E257" s="25"/>
      <c r="F257" s="25"/>
      <c r="G257" s="25"/>
      <c r="H257" s="96"/>
      <c r="I257" s="96"/>
      <c r="J257" s="96"/>
      <c r="K257" s="96"/>
      <c r="L257" s="96"/>
      <c r="M257" s="96"/>
      <c r="N257" s="96"/>
      <c r="O257" s="96"/>
      <c r="P257" s="54">
        <v>0</v>
      </c>
      <c r="Q257" s="95">
        <v>0</v>
      </c>
      <c r="R257" s="53">
        <v>0</v>
      </c>
      <c r="S257" s="135">
        <v>0</v>
      </c>
      <c r="T257" s="25"/>
      <c r="U257" s="25"/>
      <c r="V257" s="5"/>
    </row>
    <row r="258" spans="1:22" ht="15.6" x14ac:dyDescent="0.3">
      <c r="A258" s="24"/>
      <c r="B258" s="54" t="s">
        <v>96</v>
      </c>
      <c r="C258" s="25"/>
      <c r="D258" s="25"/>
      <c r="E258" s="25"/>
      <c r="F258" s="25"/>
      <c r="G258" s="25"/>
      <c r="H258" s="96"/>
      <c r="I258" s="96"/>
      <c r="J258" s="96"/>
      <c r="K258" s="96"/>
      <c r="L258" s="96"/>
      <c r="M258" s="96"/>
      <c r="N258" s="96"/>
      <c r="O258" s="96"/>
      <c r="P258" s="54">
        <v>0</v>
      </c>
      <c r="Q258" s="95">
        <v>0</v>
      </c>
      <c r="R258" s="53">
        <v>0</v>
      </c>
      <c r="S258" s="135">
        <v>0</v>
      </c>
      <c r="T258" s="25"/>
      <c r="U258" s="25"/>
      <c r="V258" s="5"/>
    </row>
    <row r="259" spans="1:22" ht="15.6" x14ac:dyDescent="0.3">
      <c r="A259" s="24"/>
      <c r="B259" s="54" t="s">
        <v>171</v>
      </c>
      <c r="C259" s="25"/>
      <c r="D259" s="25"/>
      <c r="E259" s="25"/>
      <c r="F259" s="25"/>
      <c r="G259" s="25"/>
      <c r="H259" s="96"/>
      <c r="I259" s="96"/>
      <c r="J259" s="96"/>
      <c r="K259" s="96"/>
      <c r="L259" s="96"/>
      <c r="M259" s="96"/>
      <c r="N259" s="96"/>
      <c r="O259" s="96"/>
      <c r="P259" s="54">
        <v>0</v>
      </c>
      <c r="Q259" s="95">
        <v>0</v>
      </c>
      <c r="R259" s="53">
        <v>0</v>
      </c>
      <c r="S259" s="135">
        <v>0</v>
      </c>
      <c r="T259" s="25"/>
      <c r="U259" s="25"/>
      <c r="V259" s="5"/>
    </row>
    <row r="260" spans="1:22" ht="15.6" x14ac:dyDescent="0.3">
      <c r="A260" s="24"/>
      <c r="B260" s="54" t="s">
        <v>172</v>
      </c>
      <c r="C260" s="25"/>
      <c r="D260" s="25"/>
      <c r="E260" s="25"/>
      <c r="F260" s="25"/>
      <c r="G260" s="25"/>
      <c r="H260" s="96"/>
      <c r="I260" s="96"/>
      <c r="J260" s="96"/>
      <c r="K260" s="96"/>
      <c r="L260" s="96"/>
      <c r="M260" s="96"/>
      <c r="N260" s="96"/>
      <c r="O260" s="96"/>
      <c r="P260" s="54">
        <v>0</v>
      </c>
      <c r="Q260" s="95">
        <v>0</v>
      </c>
      <c r="R260" s="53">
        <v>0</v>
      </c>
      <c r="S260" s="135">
        <v>0</v>
      </c>
      <c r="T260" s="25"/>
      <c r="U260" s="25"/>
      <c r="V260" s="5"/>
    </row>
    <row r="261" spans="1:22" ht="15.6" x14ac:dyDescent="0.3">
      <c r="A261" s="24"/>
      <c r="B261" s="54" t="s">
        <v>173</v>
      </c>
      <c r="C261" s="25"/>
      <c r="D261" s="25"/>
      <c r="E261" s="25"/>
      <c r="F261" s="25"/>
      <c r="G261" s="25"/>
      <c r="H261" s="96"/>
      <c r="I261" s="96"/>
      <c r="J261" s="96"/>
      <c r="K261" s="96"/>
      <c r="L261" s="96"/>
      <c r="M261" s="96"/>
      <c r="N261" s="96"/>
      <c r="O261" s="96"/>
      <c r="P261" s="54">
        <v>0</v>
      </c>
      <c r="Q261" s="95">
        <v>0</v>
      </c>
      <c r="R261" s="53">
        <v>0</v>
      </c>
      <c r="S261" s="135">
        <v>0</v>
      </c>
      <c r="T261" s="25"/>
      <c r="U261" s="25"/>
      <c r="V261" s="5"/>
    </row>
    <row r="262" spans="1:22" ht="15.6" x14ac:dyDescent="0.3">
      <c r="A262" s="24"/>
      <c r="B262" s="54" t="s">
        <v>174</v>
      </c>
      <c r="C262" s="25"/>
      <c r="D262" s="25"/>
      <c r="E262" s="25"/>
      <c r="F262" s="25"/>
      <c r="G262" s="25"/>
      <c r="H262" s="96"/>
      <c r="I262" s="96"/>
      <c r="J262" s="96"/>
      <c r="K262" s="96"/>
      <c r="L262" s="96"/>
      <c r="M262" s="96"/>
      <c r="N262" s="96"/>
      <c r="O262" s="96"/>
      <c r="P262" s="54">
        <v>0</v>
      </c>
      <c r="Q262" s="95">
        <v>0</v>
      </c>
      <c r="R262" s="53">
        <v>0</v>
      </c>
      <c r="S262" s="135">
        <v>0</v>
      </c>
      <c r="T262" s="25"/>
      <c r="U262" s="25"/>
      <c r="V262" s="5"/>
    </row>
    <row r="263" spans="1:22" ht="15.6" x14ac:dyDescent="0.3">
      <c r="A263" s="24"/>
      <c r="B263" s="54" t="s">
        <v>175</v>
      </c>
      <c r="C263" s="25"/>
      <c r="D263" s="25"/>
      <c r="E263" s="25"/>
      <c r="F263" s="25"/>
      <c r="G263" s="25"/>
      <c r="H263" s="96"/>
      <c r="I263" s="96"/>
      <c r="J263" s="96"/>
      <c r="K263" s="96"/>
      <c r="L263" s="96"/>
      <c r="M263" s="96"/>
      <c r="N263" s="96"/>
      <c r="O263" s="96"/>
      <c r="P263" s="54">
        <v>0</v>
      </c>
      <c r="Q263" s="95">
        <v>0</v>
      </c>
      <c r="R263" s="53">
        <v>0</v>
      </c>
      <c r="S263" s="135">
        <v>0</v>
      </c>
      <c r="T263" s="25"/>
      <c r="U263" s="25"/>
      <c r="V263" s="5"/>
    </row>
    <row r="264" spans="1:22" ht="15.6" x14ac:dyDescent="0.3">
      <c r="A264" s="24"/>
      <c r="B264" s="54"/>
      <c r="C264" s="25"/>
      <c r="D264" s="25"/>
      <c r="E264" s="25"/>
      <c r="F264" s="25"/>
      <c r="G264" s="25"/>
      <c r="H264" s="96"/>
      <c r="I264" s="96"/>
      <c r="J264" s="96"/>
      <c r="K264" s="96"/>
      <c r="L264" s="96"/>
      <c r="M264" s="96"/>
      <c r="N264" s="96"/>
      <c r="O264" s="96"/>
      <c r="P264" s="54"/>
      <c r="Q264" s="95"/>
      <c r="R264" s="53"/>
      <c r="S264" s="135"/>
      <c r="T264" s="25"/>
      <c r="U264" s="25"/>
      <c r="V264" s="5"/>
    </row>
    <row r="265" spans="1:22" ht="15.6" x14ac:dyDescent="0.3">
      <c r="A265" s="24"/>
      <c r="B265" s="25" t="s">
        <v>123</v>
      </c>
      <c r="C265" s="25"/>
      <c r="D265" s="25"/>
      <c r="E265" s="25"/>
      <c r="F265" s="25"/>
      <c r="G265" s="25"/>
      <c r="H265" s="96"/>
      <c r="I265" s="96"/>
      <c r="J265" s="96"/>
      <c r="K265" s="96"/>
      <c r="L265" s="96"/>
      <c r="M265" s="96"/>
      <c r="N265" s="96"/>
      <c r="O265" s="96"/>
      <c r="P265" s="34">
        <f>SUM(P256:P263)</f>
        <v>0</v>
      </c>
      <c r="Q265" s="95">
        <f>SUM(Q256:Q263)</f>
        <v>0</v>
      </c>
      <c r="R265" s="53">
        <f>SUM(R256:R263)</f>
        <v>0</v>
      </c>
      <c r="S265" s="135">
        <f>SUM(S256:S263)</f>
        <v>0</v>
      </c>
      <c r="T265" s="25"/>
      <c r="U265" s="25"/>
      <c r="V265" s="5"/>
    </row>
    <row r="266" spans="1:22" ht="15.6" x14ac:dyDescent="0.3">
      <c r="A266" s="24"/>
      <c r="B266" s="25"/>
      <c r="C266" s="25"/>
      <c r="D266" s="25"/>
      <c r="E266" s="25"/>
      <c r="F266" s="25"/>
      <c r="G266" s="25"/>
      <c r="H266" s="96"/>
      <c r="I266" s="96"/>
      <c r="J266" s="96"/>
      <c r="K266" s="96"/>
      <c r="L266" s="96"/>
      <c r="M266" s="96"/>
      <c r="N266" s="96"/>
      <c r="O266" s="96"/>
      <c r="P266" s="34"/>
      <c r="Q266" s="135"/>
      <c r="R266" s="53"/>
      <c r="S266" s="135"/>
      <c r="T266" s="25"/>
      <c r="U266" s="25"/>
      <c r="V266" s="5"/>
    </row>
    <row r="267" spans="1:22" ht="15.6" x14ac:dyDescent="0.3">
      <c r="A267" s="24"/>
      <c r="B267" s="145" t="s">
        <v>180</v>
      </c>
      <c r="C267" s="25"/>
      <c r="D267" s="25"/>
      <c r="E267" s="25"/>
      <c r="F267" s="25"/>
      <c r="G267" s="25"/>
      <c r="H267" s="96"/>
      <c r="I267" s="96"/>
      <c r="J267" s="96"/>
      <c r="K267" s="96"/>
      <c r="L267" s="96"/>
      <c r="M267" s="96"/>
      <c r="N267" s="96"/>
      <c r="O267" s="96"/>
      <c r="P267" s="165">
        <f>+P241+P253+P265</f>
        <v>3582</v>
      </c>
      <c r="Q267" s="147"/>
      <c r="R267" s="148">
        <f>+R265+R253+R241</f>
        <v>415286</v>
      </c>
      <c r="S267" s="147"/>
      <c r="T267" s="25"/>
      <c r="U267" s="25"/>
      <c r="V267" s="5"/>
    </row>
    <row r="268" spans="1:22" ht="15.6" x14ac:dyDescent="0.3">
      <c r="A268" s="24"/>
      <c r="B268" s="25"/>
      <c r="C268" s="25"/>
      <c r="D268" s="25"/>
      <c r="E268" s="25"/>
      <c r="F268" s="25"/>
      <c r="G268" s="25"/>
      <c r="H268" s="96"/>
      <c r="I268" s="96"/>
      <c r="J268" s="96"/>
      <c r="K268" s="96"/>
      <c r="L268" s="96"/>
      <c r="M268" s="96"/>
      <c r="N268" s="96"/>
      <c r="O268" s="96"/>
      <c r="P268" s="96"/>
      <c r="Q268" s="96"/>
      <c r="R268" s="53"/>
      <c r="S268" s="96"/>
      <c r="T268" s="25"/>
      <c r="U268" s="25"/>
      <c r="V268" s="5"/>
    </row>
    <row r="269" spans="1:22" ht="15.6" x14ac:dyDescent="0.3">
      <c r="A269" s="6"/>
      <c r="B269" s="8"/>
      <c r="C269" s="8"/>
      <c r="D269" s="8"/>
      <c r="E269" s="8"/>
      <c r="F269" s="8"/>
      <c r="G269" s="8"/>
      <c r="H269" s="97"/>
      <c r="I269" s="97"/>
      <c r="J269" s="97"/>
      <c r="K269" s="97"/>
      <c r="L269" s="97"/>
      <c r="M269" s="97"/>
      <c r="N269" s="97"/>
      <c r="O269" s="97"/>
      <c r="P269" s="97"/>
      <c r="Q269" s="97"/>
      <c r="R269" s="98"/>
      <c r="S269" s="97"/>
      <c r="T269" s="8"/>
      <c r="U269" s="8"/>
      <c r="V269" s="5"/>
    </row>
    <row r="270" spans="1:22" ht="15.6" x14ac:dyDescent="0.3">
      <c r="A270" s="164"/>
      <c r="B270" s="14" t="s">
        <v>97</v>
      </c>
      <c r="C270" s="15"/>
      <c r="D270" s="15"/>
      <c r="E270" s="15"/>
      <c r="F270" s="17" t="s">
        <v>103</v>
      </c>
      <c r="G270" s="15"/>
      <c r="H270" s="14" t="s">
        <v>105</v>
      </c>
      <c r="I270" s="159"/>
      <c r="J270" s="159"/>
      <c r="K270" s="159"/>
      <c r="L270" s="159"/>
      <c r="M270" s="159"/>
      <c r="N270" s="159"/>
      <c r="O270" s="159"/>
      <c r="P270" s="159"/>
      <c r="Q270" s="159"/>
      <c r="R270" s="159"/>
      <c r="S270" s="159"/>
      <c r="T270" s="159"/>
      <c r="U270" s="159"/>
      <c r="V270" s="5"/>
    </row>
    <row r="271" spans="1:22" ht="15.6" x14ac:dyDescent="0.3">
      <c r="A271" s="164"/>
      <c r="B271" s="159"/>
      <c r="C271" s="8"/>
      <c r="D271" s="8"/>
      <c r="E271" s="8"/>
      <c r="F271" s="8"/>
      <c r="G271" s="8"/>
      <c r="H271" s="8"/>
      <c r="I271" s="159"/>
      <c r="J271" s="159"/>
      <c r="K271" s="159"/>
      <c r="L271" s="159"/>
      <c r="M271" s="159"/>
      <c r="N271" s="159"/>
      <c r="O271" s="159"/>
      <c r="P271" s="159"/>
      <c r="Q271" s="159"/>
      <c r="R271" s="159"/>
      <c r="S271" s="159"/>
      <c r="T271" s="159"/>
      <c r="U271" s="159"/>
      <c r="V271" s="5"/>
    </row>
    <row r="272" spans="1:22" ht="15.6" x14ac:dyDescent="0.3">
      <c r="A272" s="164"/>
      <c r="B272" s="13" t="s">
        <v>98</v>
      </c>
      <c r="C272" s="13"/>
      <c r="D272" s="13"/>
      <c r="E272" s="13"/>
      <c r="F272" s="133" t="s">
        <v>159</v>
      </c>
      <c r="G272" s="13"/>
      <c r="H272" s="13" t="s">
        <v>167</v>
      </c>
      <c r="I272" s="159"/>
      <c r="J272" s="159"/>
      <c r="K272" s="159"/>
      <c r="L272" s="159"/>
      <c r="M272" s="159"/>
      <c r="N272" s="159"/>
      <c r="O272" s="159"/>
      <c r="P272" s="159"/>
      <c r="Q272" s="159"/>
      <c r="R272" s="159"/>
      <c r="S272" s="159"/>
      <c r="T272" s="159"/>
      <c r="U272" s="159"/>
      <c r="V272" s="5"/>
    </row>
    <row r="273" spans="1:22" ht="15.6" x14ac:dyDescent="0.3">
      <c r="A273" s="164"/>
      <c r="B273" s="13" t="s">
        <v>273</v>
      </c>
      <c r="C273" s="13"/>
      <c r="D273" s="13"/>
      <c r="E273" s="13"/>
      <c r="F273" s="133" t="s">
        <v>274</v>
      </c>
      <c r="G273" s="13"/>
      <c r="H273" s="13" t="s">
        <v>275</v>
      </c>
      <c r="I273" s="159"/>
      <c r="J273" s="159"/>
      <c r="K273" s="159"/>
      <c r="L273" s="159"/>
      <c r="M273" s="159"/>
      <c r="N273" s="159"/>
      <c r="O273" s="159"/>
      <c r="P273" s="159"/>
      <c r="Q273" s="159"/>
      <c r="R273" s="159"/>
      <c r="S273" s="159"/>
      <c r="T273" s="159"/>
      <c r="U273" s="159"/>
      <c r="V273" s="5"/>
    </row>
    <row r="274" spans="1:22" ht="15.6" x14ac:dyDescent="0.3">
      <c r="A274" s="164"/>
      <c r="B274" s="13" t="s">
        <v>99</v>
      </c>
      <c r="C274" s="13"/>
      <c r="D274" s="13"/>
      <c r="E274" s="13"/>
      <c r="F274" s="133" t="s">
        <v>158</v>
      </c>
      <c r="G274" s="13"/>
      <c r="H274" s="13" t="s">
        <v>168</v>
      </c>
      <c r="I274" s="159"/>
      <c r="J274" s="159"/>
      <c r="K274" s="159"/>
      <c r="L274" s="159"/>
      <c r="M274" s="159"/>
      <c r="N274" s="159"/>
      <c r="O274" s="159"/>
      <c r="P274" s="159"/>
      <c r="Q274" s="159"/>
      <c r="R274" s="159"/>
      <c r="S274" s="159"/>
      <c r="T274" s="159"/>
      <c r="U274" s="159"/>
      <c r="V274" s="5"/>
    </row>
    <row r="275" spans="1:22" ht="15.6" x14ac:dyDescent="0.3">
      <c r="A275" s="164"/>
      <c r="B275" s="13"/>
      <c r="C275" s="13"/>
      <c r="D275" s="13"/>
      <c r="E275" s="13"/>
      <c r="F275" s="13"/>
      <c r="G275" s="100"/>
      <c r="H275" s="159"/>
      <c r="I275" s="159"/>
      <c r="J275" s="159"/>
      <c r="K275" s="159"/>
      <c r="L275" s="159"/>
      <c r="M275" s="159"/>
      <c r="N275" s="159"/>
      <c r="O275" s="159"/>
      <c r="P275" s="159"/>
      <c r="Q275" s="159"/>
      <c r="R275" s="159"/>
      <c r="S275" s="159"/>
      <c r="T275" s="159"/>
      <c r="U275" s="159"/>
      <c r="V275" s="5"/>
    </row>
    <row r="276" spans="1:22" ht="15.6" x14ac:dyDescent="0.3">
      <c r="A276" s="164"/>
      <c r="B276" s="13"/>
      <c r="C276" s="13"/>
      <c r="D276" s="13"/>
      <c r="E276" s="13"/>
      <c r="F276" s="13"/>
      <c r="G276" s="100"/>
      <c r="H276" s="159"/>
      <c r="I276" s="159"/>
      <c r="J276" s="159"/>
      <c r="K276" s="159"/>
      <c r="L276" s="159"/>
      <c r="M276" s="159"/>
      <c r="N276" s="159"/>
      <c r="O276" s="159"/>
      <c r="P276" s="159"/>
      <c r="Q276" s="159"/>
      <c r="R276" s="159"/>
      <c r="S276" s="159"/>
      <c r="T276" s="159"/>
      <c r="U276" s="159"/>
      <c r="V276" s="5"/>
    </row>
    <row r="277" spans="1:22" ht="18" thickBot="1" x14ac:dyDescent="0.35">
      <c r="A277" s="164"/>
      <c r="B277" s="49" t="str">
        <f>B194</f>
        <v>PM9 INVESTOR REPORT QUARTER ENDING JANUARY 2008</v>
      </c>
      <c r="C277" s="13"/>
      <c r="D277" s="13"/>
      <c r="E277" s="13"/>
      <c r="F277" s="13"/>
      <c r="G277" s="100"/>
      <c r="H277" s="159"/>
      <c r="I277" s="159"/>
      <c r="J277" s="159"/>
      <c r="K277" s="159"/>
      <c r="L277" s="159"/>
      <c r="M277" s="159"/>
      <c r="N277" s="159"/>
      <c r="O277" s="159"/>
      <c r="P277" s="159"/>
      <c r="Q277" s="159"/>
      <c r="R277" s="159"/>
      <c r="S277" s="159"/>
      <c r="T277" s="159"/>
      <c r="U277" s="159"/>
      <c r="V277" s="5"/>
    </row>
    <row r="278" spans="1:22" x14ac:dyDescent="0.25">
      <c r="A278" s="101"/>
      <c r="B278" s="101"/>
      <c r="C278" s="101"/>
      <c r="D278" s="101"/>
      <c r="E278" s="101"/>
      <c r="F278" s="101"/>
      <c r="G278" s="101"/>
      <c r="H278" s="101"/>
      <c r="I278" s="101"/>
      <c r="J278" s="101"/>
      <c r="K278" s="101"/>
      <c r="L278" s="101"/>
      <c r="M278" s="101"/>
      <c r="N278" s="101"/>
      <c r="O278" s="101"/>
      <c r="P278" s="101"/>
      <c r="Q278" s="101"/>
      <c r="R278" s="101"/>
      <c r="S278" s="101"/>
      <c r="T278" s="101"/>
      <c r="U278" s="101"/>
    </row>
  </sheetData>
  <phoneticPr fontId="0" type="noConversion"/>
  <hyperlinks>
    <hyperlink ref="J9" r:id="rId1" xr:uid="{00000000-0004-0000-0900-000000000000}"/>
    <hyperlink ref="N229" r:id="rId2" xr:uid="{00000000-0004-0000-09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4" max="14" man="1"/>
    <brk id="194" max="14"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9CB31"/>
  </sheetPr>
  <dimension ref="A1:W278"/>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t="s">
        <v>263</v>
      </c>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0.69269999999999998</v>
      </c>
      <c r="R16" s="17" t="s">
        <v>149</v>
      </c>
      <c r="S16" s="140">
        <v>0.30730000000000002</v>
      </c>
      <c r="T16" s="16"/>
      <c r="U16" s="15"/>
      <c r="V16" s="5"/>
    </row>
    <row r="17" spans="1:22" ht="15.6" x14ac:dyDescent="0.3">
      <c r="A17" s="6"/>
      <c r="B17" s="14" t="s">
        <v>4</v>
      </c>
      <c r="C17" s="15"/>
      <c r="D17" s="15"/>
      <c r="E17" s="15"/>
      <c r="F17" s="15"/>
      <c r="G17" s="15"/>
      <c r="H17" s="15"/>
      <c r="I17" s="15"/>
      <c r="J17" s="15"/>
      <c r="K17" s="15"/>
      <c r="L17" s="15"/>
      <c r="M17" s="15"/>
      <c r="N17" s="15"/>
      <c r="O17" s="15"/>
      <c r="P17" s="15"/>
      <c r="Q17" s="169"/>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39590</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188230.64320000002</v>
      </c>
      <c r="E30" s="32"/>
      <c r="F30" s="125">
        <f>F29*F36</f>
        <v>193126.81600000002</v>
      </c>
      <c r="G30" s="31"/>
      <c r="H30" s="150">
        <f>H29*H36</f>
        <v>32641.140000000003</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173697.88200000001</v>
      </c>
      <c r="E31" s="36"/>
      <c r="F31" s="126">
        <f>F35*F29</f>
        <v>178216.035</v>
      </c>
      <c r="G31" s="35"/>
      <c r="H31" s="155">
        <f>H35*H29</f>
        <v>30121.002</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188230.64320000002</v>
      </c>
      <c r="E33" s="32"/>
      <c r="F33" s="31">
        <f>F32*F36</f>
        <v>133012.69440000001</v>
      </c>
      <c r="G33" s="31"/>
      <c r="H33" s="31">
        <f>H32*H36</f>
        <v>18442.2441</v>
      </c>
      <c r="I33" s="31"/>
      <c r="J33" s="31">
        <f>J32*J36</f>
        <v>7000</v>
      </c>
      <c r="K33" s="31"/>
      <c r="L33" s="31">
        <f>L32*L36</f>
        <v>20300</v>
      </c>
      <c r="M33" s="31"/>
      <c r="N33" s="31">
        <f>N32*N36</f>
        <v>3000</v>
      </c>
      <c r="O33" s="31"/>
      <c r="P33" s="31">
        <f>P32*P36</f>
        <v>45300</v>
      </c>
      <c r="Q33" s="31"/>
      <c r="R33" s="31"/>
      <c r="S33" s="161"/>
      <c r="T33" s="31">
        <f>SUM(C33:P33)</f>
        <v>415285.58170000004</v>
      </c>
      <c r="U33" s="34"/>
      <c r="V33" s="5"/>
    </row>
    <row r="34" spans="1:22" ht="15.6" x14ac:dyDescent="0.3">
      <c r="A34" s="28"/>
      <c r="B34" s="29" t="s">
        <v>291</v>
      </c>
      <c r="C34" s="36"/>
      <c r="D34" s="35">
        <f>D35*D32</f>
        <v>173697.88200000001</v>
      </c>
      <c r="E34" s="36"/>
      <c r="F34" s="35">
        <f>F35*F32</f>
        <v>122743.15650000001</v>
      </c>
      <c r="G34" s="35"/>
      <c r="H34" s="35">
        <f>H35*H32</f>
        <v>17018.366129999999</v>
      </c>
      <c r="I34" s="35"/>
      <c r="J34" s="35">
        <f>J35*J32</f>
        <v>7000</v>
      </c>
      <c r="K34" s="35"/>
      <c r="L34" s="35">
        <f>L35*L32</f>
        <v>20300</v>
      </c>
      <c r="M34" s="35"/>
      <c r="N34" s="35">
        <f>N35*N32</f>
        <v>3000</v>
      </c>
      <c r="O34" s="35"/>
      <c r="P34" s="35">
        <f>P35*P32</f>
        <v>45300</v>
      </c>
      <c r="Q34" s="35"/>
      <c r="R34" s="35"/>
      <c r="S34" s="37"/>
      <c r="T34" s="35">
        <f>SUM(C34:P34)</f>
        <v>389059.40463</v>
      </c>
      <c r="U34" s="34"/>
      <c r="V34" s="5"/>
    </row>
    <row r="35" spans="1:22" ht="15.6" x14ac:dyDescent="0.3">
      <c r="A35" s="28"/>
      <c r="B35" s="123" t="s">
        <v>139</v>
      </c>
      <c r="C35" s="127"/>
      <c r="D35" s="167">
        <v>0.50201700000000005</v>
      </c>
      <c r="E35" s="168"/>
      <c r="F35" s="167">
        <v>0.50201700000000005</v>
      </c>
      <c r="G35" s="167"/>
      <c r="H35" s="167">
        <v>0.50201669999999998</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67">
        <v>0.54401920000000004</v>
      </c>
      <c r="E36" s="168"/>
      <c r="F36" s="167">
        <v>0.54401920000000004</v>
      </c>
      <c r="G36" s="167"/>
      <c r="H36" s="167">
        <v>0.54401900000000003</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5.8312500000000003E-2</v>
      </c>
      <c r="E38" s="25"/>
      <c r="F38" s="38">
        <v>4.5199999999999997E-2</v>
      </c>
      <c r="G38" s="39"/>
      <c r="H38" s="38">
        <v>3.245E-2</v>
      </c>
      <c r="I38" s="39"/>
      <c r="J38" s="38">
        <v>5.94125E-2</v>
      </c>
      <c r="K38" s="39"/>
      <c r="L38" s="38">
        <v>4.6300000000000001E-2</v>
      </c>
      <c r="M38" s="39"/>
      <c r="N38" s="38">
        <v>6.1712500000000003E-2</v>
      </c>
      <c r="O38" s="39"/>
      <c r="P38" s="38">
        <v>4.8599999999999997E-2</v>
      </c>
      <c r="Q38" s="39"/>
      <c r="R38" s="38"/>
      <c r="S38" s="160"/>
      <c r="T38" s="39"/>
      <c r="U38" s="25"/>
      <c r="V38" s="5"/>
    </row>
    <row r="39" spans="1:22" ht="15.6" x14ac:dyDescent="0.3">
      <c r="A39" s="24"/>
      <c r="B39" s="25" t="s">
        <v>14</v>
      </c>
      <c r="C39" s="25"/>
      <c r="D39" s="38">
        <v>6.5225000000000005E-2</v>
      </c>
      <c r="E39" s="25"/>
      <c r="F39" s="38">
        <v>4.7550000000000002E-2</v>
      </c>
      <c r="G39" s="39"/>
      <c r="H39" s="38">
        <v>5.0487499999999998E-2</v>
      </c>
      <c r="I39" s="39"/>
      <c r="J39" s="38">
        <v>6.6324999999999995E-2</v>
      </c>
      <c r="K39" s="39"/>
      <c r="L39" s="38">
        <v>4.8649999999999999E-2</v>
      </c>
      <c r="M39" s="39"/>
      <c r="N39" s="38">
        <v>6.8625000000000005E-2</v>
      </c>
      <c r="O39" s="39"/>
      <c r="P39" s="38">
        <v>5.0950000000000002E-2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5.8312500000000003E-2</v>
      </c>
      <c r="E41" s="25"/>
      <c r="F41" s="38">
        <v>5.8412499999999999E-2</v>
      </c>
      <c r="G41" s="39"/>
      <c r="H41" s="38">
        <v>5.8542499999999997E-2</v>
      </c>
      <c r="I41" s="39"/>
      <c r="J41" s="38">
        <f>+J38</f>
        <v>5.94125E-2</v>
      </c>
      <c r="K41" s="39"/>
      <c r="L41" s="38">
        <v>5.9707499999999997E-2</v>
      </c>
      <c r="M41" s="39"/>
      <c r="N41" s="38">
        <f>+N38</f>
        <v>6.1712500000000003E-2</v>
      </c>
      <c r="O41" s="39"/>
      <c r="P41" s="38">
        <v>6.2152499999999999E-2</v>
      </c>
      <c r="Q41" s="39"/>
      <c r="R41" s="38"/>
      <c r="S41" s="160"/>
      <c r="T41" s="39">
        <f>SUMPRODUCT(D41:P41,D33:P33)/T33</f>
        <v>5.8884909676757621E-2</v>
      </c>
      <c r="U41" s="25"/>
      <c r="V41" s="5"/>
    </row>
    <row r="42" spans="1:22" ht="15.6" x14ac:dyDescent="0.3">
      <c r="A42" s="24"/>
      <c r="B42" s="25" t="s">
        <v>294</v>
      </c>
      <c r="C42" s="25"/>
      <c r="D42" s="38">
        <f>+D39</f>
        <v>6.5225000000000005E-2</v>
      </c>
      <c r="E42" s="25"/>
      <c r="F42" s="38">
        <v>6.5324999999999994E-2</v>
      </c>
      <c r="G42" s="39"/>
      <c r="H42" s="38">
        <v>6.5454999999999999E-2</v>
      </c>
      <c r="I42" s="39"/>
      <c r="J42" s="38">
        <f>+J39</f>
        <v>6.6324999999999995E-2</v>
      </c>
      <c r="K42" s="39"/>
      <c r="L42" s="38">
        <v>6.6619999999999999E-2</v>
      </c>
      <c r="M42" s="39"/>
      <c r="N42" s="38">
        <f>+N39</f>
        <v>6.8625000000000005E-2</v>
      </c>
      <c r="O42" s="39"/>
      <c r="P42" s="38">
        <v>6.9065000000000001E-2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0.24117955589571938</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39583</v>
      </c>
      <c r="U53" s="25"/>
      <c r="V53" s="5"/>
    </row>
    <row r="54" spans="1:23" ht="15.6" x14ac:dyDescent="0.3">
      <c r="A54" s="24"/>
      <c r="B54" s="25" t="s">
        <v>130</v>
      </c>
      <c r="C54" s="25"/>
      <c r="D54" s="25"/>
      <c r="E54" s="25"/>
      <c r="F54" s="25"/>
      <c r="G54" s="25"/>
      <c r="H54" s="58"/>
      <c r="I54" s="58"/>
      <c r="J54" s="58"/>
      <c r="K54" s="58"/>
      <c r="L54" s="58"/>
      <c r="M54" s="58"/>
      <c r="N54" s="58"/>
      <c r="O54" s="58"/>
      <c r="P54" s="25">
        <f>+T54-R54+1</f>
        <v>92</v>
      </c>
      <c r="Q54" s="25"/>
      <c r="R54" s="45">
        <v>39401</v>
      </c>
      <c r="S54" s="46"/>
      <c r="T54" s="45">
        <v>39492</v>
      </c>
      <c r="U54" s="25"/>
      <c r="V54" s="5"/>
    </row>
    <row r="55" spans="1:23" ht="15.6" x14ac:dyDescent="0.3">
      <c r="A55" s="24"/>
      <c r="B55" s="25" t="s">
        <v>131</v>
      </c>
      <c r="C55" s="25"/>
      <c r="D55" s="25"/>
      <c r="E55" s="25"/>
      <c r="F55" s="25"/>
      <c r="G55" s="25"/>
      <c r="H55" s="25"/>
      <c r="I55" s="25"/>
      <c r="J55" s="25"/>
      <c r="K55" s="25"/>
      <c r="L55" s="25"/>
      <c r="M55" s="25"/>
      <c r="N55" s="25"/>
      <c r="O55" s="25"/>
      <c r="P55" s="25">
        <f>+T55-R55+1</f>
        <v>90</v>
      </c>
      <c r="Q55" s="25"/>
      <c r="R55" s="45">
        <v>39493</v>
      </c>
      <c r="S55" s="46"/>
      <c r="T55" s="45">
        <v>39582</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39569</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280</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415286</v>
      </c>
      <c r="M66" s="34"/>
      <c r="N66" s="34">
        <f>26227+1810+322</f>
        <v>28359</v>
      </c>
      <c r="O66" s="34"/>
      <c r="P66" s="34">
        <f>1810+322</f>
        <v>2132</v>
      </c>
      <c r="Q66" s="34"/>
      <c r="R66" s="34">
        <v>0</v>
      </c>
      <c r="S66" s="34"/>
      <c r="T66" s="53">
        <f>+L66-N66+P66-R66</f>
        <v>389059</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415286</v>
      </c>
      <c r="M69" s="34"/>
      <c r="N69" s="34">
        <f>SUM(N66:N68)</f>
        <v>28359</v>
      </c>
      <c r="O69" s="34"/>
      <c r="P69" s="34">
        <f>SUM(P66:P68)</f>
        <v>2132</v>
      </c>
      <c r="Q69" s="34"/>
      <c r="R69" s="34">
        <f>SUM(R66:R68)</f>
        <v>0</v>
      </c>
      <c r="S69" s="34"/>
      <c r="T69" s="54">
        <f>SUM(T66:T68)</f>
        <v>389059</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2"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2" ht="15.6" x14ac:dyDescent="0.3">
      <c r="A82" s="24"/>
      <c r="B82" s="25" t="s">
        <v>27</v>
      </c>
      <c r="C82" s="34"/>
      <c r="D82" s="34"/>
      <c r="E82" s="34"/>
      <c r="F82" s="54"/>
      <c r="G82" s="34"/>
      <c r="H82" s="54"/>
      <c r="I82" s="54"/>
      <c r="J82" s="54">
        <f>SUM(J69:J81)</f>
        <v>700000</v>
      </c>
      <c r="K82" s="34"/>
      <c r="L82" s="54">
        <f>SUM(L69:L81)</f>
        <v>415286</v>
      </c>
      <c r="M82" s="34"/>
      <c r="N82" s="34"/>
      <c r="O82" s="34"/>
      <c r="P82" s="34"/>
      <c r="Q82" s="34"/>
      <c r="R82" s="54"/>
      <c r="S82" s="34"/>
      <c r="T82" s="54">
        <f>SUM(T69:T81)</f>
        <v>389059</v>
      </c>
      <c r="U82" s="25"/>
      <c r="V82" s="5"/>
    </row>
    <row r="83" spans="1:22"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2" ht="15.6" x14ac:dyDescent="0.3">
      <c r="A84" s="6"/>
      <c r="B84" s="8"/>
      <c r="C84" s="8"/>
      <c r="D84" s="8"/>
      <c r="E84" s="8"/>
      <c r="F84" s="8"/>
      <c r="G84" s="8"/>
      <c r="H84" s="8"/>
      <c r="I84" s="8"/>
      <c r="J84" s="8"/>
      <c r="K84" s="8"/>
      <c r="L84" s="8"/>
      <c r="M84" s="8"/>
      <c r="N84" s="8"/>
      <c r="O84" s="8"/>
      <c r="P84" s="8"/>
      <c r="Q84" s="8"/>
      <c r="R84" s="8"/>
      <c r="S84" s="8"/>
      <c r="T84" s="8"/>
      <c r="U84" s="8"/>
      <c r="V84" s="5"/>
    </row>
    <row r="85" spans="1:22" ht="15.6" x14ac:dyDescent="0.3">
      <c r="A85" s="6"/>
      <c r="B85" s="51" t="s">
        <v>28</v>
      </c>
      <c r="C85" s="14"/>
      <c r="D85" s="14"/>
      <c r="E85" s="14"/>
      <c r="F85" s="14"/>
      <c r="G85" s="14"/>
      <c r="H85" s="17"/>
      <c r="I85" s="17"/>
      <c r="J85" s="158" t="s">
        <v>101</v>
      </c>
      <c r="K85" s="17"/>
      <c r="L85" s="157">
        <f>+R195</f>
        <v>39568</v>
      </c>
      <c r="M85" s="17"/>
      <c r="N85" s="17"/>
      <c r="O85" s="17"/>
      <c r="P85" s="17"/>
      <c r="Q85" s="17"/>
      <c r="R85" s="17" t="s">
        <v>114</v>
      </c>
      <c r="S85" s="17"/>
      <c r="T85" s="17" t="s">
        <v>122</v>
      </c>
      <c r="U85" s="8"/>
      <c r="V85" s="5"/>
    </row>
    <row r="86" spans="1:22"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2" ht="15.6" x14ac:dyDescent="0.3">
      <c r="A87" s="24"/>
      <c r="B87" s="25" t="s">
        <v>30</v>
      </c>
      <c r="C87" s="25"/>
      <c r="D87" s="25"/>
      <c r="E87" s="25"/>
      <c r="F87" s="25"/>
      <c r="G87" s="25"/>
      <c r="H87" s="40"/>
      <c r="I87" s="57"/>
      <c r="J87" s="40"/>
      <c r="K87" s="25"/>
      <c r="L87" s="128"/>
      <c r="M87" s="25"/>
      <c r="N87" s="25"/>
      <c r="O87" s="25"/>
      <c r="P87" s="25"/>
      <c r="Q87" s="25"/>
      <c r="R87" s="34">
        <f>28359-2</f>
        <v>28357</v>
      </c>
      <c r="S87" s="25"/>
      <c r="T87" s="53"/>
      <c r="U87" s="25"/>
      <c r="V87" s="5"/>
    </row>
    <row r="88" spans="1:22" ht="15.6" x14ac:dyDescent="0.3">
      <c r="A88" s="24"/>
      <c r="B88" s="25" t="s">
        <v>254</v>
      </c>
      <c r="C88" s="25"/>
      <c r="D88" s="25"/>
      <c r="E88" s="25"/>
      <c r="F88" s="25"/>
      <c r="G88" s="25"/>
      <c r="H88" s="40"/>
      <c r="I88" s="57"/>
      <c r="J88" s="40"/>
      <c r="K88" s="25"/>
      <c r="L88" s="128"/>
      <c r="M88" s="25"/>
      <c r="N88" s="25"/>
      <c r="O88" s="25"/>
      <c r="P88" s="25"/>
      <c r="Q88" s="25"/>
      <c r="R88" s="34"/>
      <c r="S88" s="25"/>
      <c r="T88" s="53">
        <f>6200+2299-1810-284</f>
        <v>6405</v>
      </c>
      <c r="U88" s="25"/>
      <c r="V88" s="5"/>
    </row>
    <row r="89" spans="1:22" ht="15.6" x14ac:dyDescent="0.3">
      <c r="A89" s="24"/>
      <c r="B89" s="25" t="s">
        <v>255</v>
      </c>
      <c r="C89" s="25"/>
      <c r="D89" s="25"/>
      <c r="E89" s="25"/>
      <c r="F89" s="25"/>
      <c r="G89" s="25"/>
      <c r="H89" s="40"/>
      <c r="I89" s="57"/>
      <c r="J89" s="40"/>
      <c r="K89" s="25"/>
      <c r="L89" s="128"/>
      <c r="M89" s="25"/>
      <c r="N89" s="25"/>
      <c r="O89" s="25"/>
      <c r="P89" s="25"/>
      <c r="Q89" s="25"/>
      <c r="R89" s="34"/>
      <c r="S89" s="25"/>
      <c r="T89" s="53">
        <f>308+113</f>
        <v>421</v>
      </c>
      <c r="U89" s="25"/>
      <c r="V89" s="5"/>
    </row>
    <row r="90" spans="1:22" ht="15.6" x14ac:dyDescent="0.3">
      <c r="A90" s="24"/>
      <c r="B90" s="25" t="s">
        <v>256</v>
      </c>
      <c r="C90" s="25"/>
      <c r="D90" s="25"/>
      <c r="E90" s="25"/>
      <c r="F90" s="25"/>
      <c r="G90" s="25"/>
      <c r="H90" s="40"/>
      <c r="I90" s="57"/>
      <c r="J90" s="40"/>
      <c r="K90" s="25"/>
      <c r="L90" s="128"/>
      <c r="M90" s="25"/>
      <c r="N90" s="25"/>
      <c r="O90" s="25"/>
      <c r="P90" s="25"/>
      <c r="Q90" s="25"/>
      <c r="R90" s="34"/>
      <c r="S90" s="25"/>
      <c r="T90" s="53">
        <v>508</v>
      </c>
      <c r="U90" s="25"/>
      <c r="V90" s="5"/>
    </row>
    <row r="91" spans="1:22" ht="15.6" x14ac:dyDescent="0.3">
      <c r="A91" s="24"/>
      <c r="B91" s="25" t="s">
        <v>270</v>
      </c>
      <c r="C91" s="25"/>
      <c r="D91" s="25"/>
      <c r="E91" s="25"/>
      <c r="F91" s="25"/>
      <c r="G91" s="25"/>
      <c r="H91" s="40"/>
      <c r="I91" s="57"/>
      <c r="J91" s="40"/>
      <c r="K91" s="25"/>
      <c r="L91" s="128"/>
      <c r="M91" s="25"/>
      <c r="N91" s="25"/>
      <c r="O91" s="25"/>
      <c r="P91" s="25"/>
      <c r="Q91" s="25"/>
      <c r="R91" s="34"/>
      <c r="S91" s="25"/>
      <c r="T91" s="53">
        <v>169</v>
      </c>
      <c r="U91" s="25"/>
      <c r="V91" s="5"/>
    </row>
    <row r="92" spans="1:22" ht="15.6" x14ac:dyDescent="0.3">
      <c r="A92" s="24"/>
      <c r="B92" s="25" t="s">
        <v>144</v>
      </c>
      <c r="C92" s="25"/>
      <c r="D92" s="25"/>
      <c r="E92" s="25"/>
      <c r="F92" s="25"/>
      <c r="G92" s="25"/>
      <c r="H92" s="25"/>
      <c r="I92" s="25"/>
      <c r="J92" s="25"/>
      <c r="K92" s="25"/>
      <c r="L92" s="25"/>
      <c r="M92" s="25"/>
      <c r="N92" s="25"/>
      <c r="O92" s="25"/>
      <c r="P92" s="25"/>
      <c r="Q92" s="25"/>
      <c r="R92" s="34"/>
      <c r="S92" s="25"/>
      <c r="T92" s="53">
        <v>0</v>
      </c>
      <c r="U92" s="25"/>
      <c r="V92" s="5"/>
    </row>
    <row r="93" spans="1:22" ht="15.6" x14ac:dyDescent="0.3">
      <c r="A93" s="24"/>
      <c r="B93" s="25" t="s">
        <v>233</v>
      </c>
      <c r="C93" s="25"/>
      <c r="D93" s="25"/>
      <c r="E93" s="25"/>
      <c r="F93" s="25"/>
      <c r="G93" s="25"/>
      <c r="H93" s="25"/>
      <c r="I93" s="25"/>
      <c r="J93" s="25"/>
      <c r="K93" s="25"/>
      <c r="L93" s="25"/>
      <c r="M93" s="25"/>
      <c r="N93" s="25"/>
      <c r="O93" s="25"/>
      <c r="P93" s="25"/>
      <c r="Q93" s="25"/>
      <c r="R93" s="34"/>
      <c r="S93" s="25"/>
      <c r="T93" s="53">
        <v>0</v>
      </c>
      <c r="U93" s="25"/>
      <c r="V93" s="5"/>
    </row>
    <row r="94" spans="1:22" ht="15.6" x14ac:dyDescent="0.3">
      <c r="A94" s="24"/>
      <c r="B94" s="25" t="s">
        <v>32</v>
      </c>
      <c r="C94" s="25"/>
      <c r="D94" s="25"/>
      <c r="E94" s="25"/>
      <c r="F94" s="25"/>
      <c r="G94" s="25"/>
      <c r="H94" s="25"/>
      <c r="I94" s="25"/>
      <c r="J94" s="25"/>
      <c r="K94" s="25"/>
      <c r="L94" s="25"/>
      <c r="M94" s="25"/>
      <c r="N94" s="25"/>
      <c r="O94" s="25"/>
      <c r="P94" s="25"/>
      <c r="Q94" s="25"/>
      <c r="R94" s="34">
        <f>SUM(R86:R93)</f>
        <v>28357</v>
      </c>
      <c r="S94" s="25"/>
      <c r="T94" s="54">
        <f>SUM(T86:T93)</f>
        <v>7503</v>
      </c>
      <c r="U94" s="25"/>
      <c r="V94" s="5"/>
    </row>
    <row r="95" spans="1:22" ht="15.6" x14ac:dyDescent="0.3">
      <c r="A95" s="24"/>
      <c r="B95" s="25" t="s">
        <v>176</v>
      </c>
      <c r="C95" s="25"/>
      <c r="D95" s="25"/>
      <c r="E95" s="25"/>
      <c r="F95" s="25"/>
      <c r="G95" s="25"/>
      <c r="H95" s="25"/>
      <c r="I95" s="25"/>
      <c r="J95" s="25"/>
      <c r="K95" s="25"/>
      <c r="L95" s="25"/>
      <c r="M95" s="25"/>
      <c r="N95" s="25"/>
      <c r="O95" s="25"/>
      <c r="P95" s="25"/>
      <c r="Q95" s="25"/>
      <c r="R95" s="34">
        <v>-51</v>
      </c>
      <c r="S95" s="25"/>
      <c r="T95" s="54">
        <f>-R95</f>
        <v>51</v>
      </c>
      <c r="U95" s="25"/>
      <c r="V95" s="5"/>
    </row>
    <row r="96" spans="1:22" ht="15.6" x14ac:dyDescent="0.3">
      <c r="A96" s="24"/>
      <c r="B96" s="25" t="s">
        <v>33</v>
      </c>
      <c r="C96" s="25"/>
      <c r="D96" s="25"/>
      <c r="E96" s="25"/>
      <c r="F96" s="25"/>
      <c r="G96" s="25"/>
      <c r="H96" s="25"/>
      <c r="I96" s="25"/>
      <c r="J96" s="25"/>
      <c r="K96" s="25"/>
      <c r="L96" s="25"/>
      <c r="M96" s="25"/>
      <c r="N96" s="25"/>
      <c r="O96" s="25"/>
      <c r="P96" s="25"/>
      <c r="Q96" s="25"/>
      <c r="R96" s="34">
        <f>-T96</f>
        <v>0</v>
      </c>
      <c r="S96" s="25"/>
      <c r="T96" s="53">
        <v>0</v>
      </c>
      <c r="U96" s="25"/>
      <c r="V96" s="5"/>
    </row>
    <row r="97" spans="1:23" ht="15.6" x14ac:dyDescent="0.3">
      <c r="A97" s="24"/>
      <c r="B97" s="25" t="s">
        <v>278</v>
      </c>
      <c r="C97" s="25"/>
      <c r="D97" s="25"/>
      <c r="E97" s="25"/>
      <c r="F97" s="25"/>
      <c r="G97" s="25"/>
      <c r="H97" s="25"/>
      <c r="I97" s="25"/>
      <c r="J97" s="25"/>
      <c r="K97" s="25"/>
      <c r="L97" s="25"/>
      <c r="M97" s="25"/>
      <c r="N97" s="25"/>
      <c r="O97" s="25"/>
      <c r="P97" s="25"/>
      <c r="Q97" s="25"/>
      <c r="R97" s="34"/>
      <c r="S97" s="25"/>
      <c r="T97" s="53">
        <v>-338</v>
      </c>
      <c r="U97" s="25"/>
      <c r="V97" s="5"/>
    </row>
    <row r="98" spans="1:23" ht="15.6" x14ac:dyDescent="0.3">
      <c r="A98" s="24"/>
      <c r="B98" s="25" t="s">
        <v>34</v>
      </c>
      <c r="C98" s="25"/>
      <c r="D98" s="25"/>
      <c r="E98" s="25"/>
      <c r="F98" s="25"/>
      <c r="G98" s="25"/>
      <c r="H98" s="25"/>
      <c r="I98" s="25"/>
      <c r="J98" s="25"/>
      <c r="K98" s="25"/>
      <c r="L98" s="25"/>
      <c r="M98" s="25"/>
      <c r="N98" s="25"/>
      <c r="O98" s="25"/>
      <c r="P98" s="25"/>
      <c r="Q98" s="25"/>
      <c r="R98" s="34">
        <f>R94+R96+R95</f>
        <v>28306</v>
      </c>
      <c r="S98" s="25"/>
      <c r="T98" s="54">
        <f>T94+T96+T95+T97</f>
        <v>7216</v>
      </c>
      <c r="U98" s="25"/>
      <c r="V98" s="5"/>
      <c r="W98" s="166"/>
    </row>
    <row r="99" spans="1:23" ht="15.6" x14ac:dyDescent="0.3">
      <c r="A99" s="24"/>
      <c r="B99" s="119" t="s">
        <v>35</v>
      </c>
      <c r="C99" s="25"/>
      <c r="D99" s="25"/>
      <c r="E99" s="25"/>
      <c r="F99" s="25"/>
      <c r="G99" s="25"/>
      <c r="H99" s="25"/>
      <c r="I99" s="25"/>
      <c r="J99" s="25"/>
      <c r="K99" s="25"/>
      <c r="L99" s="25"/>
      <c r="M99" s="25"/>
      <c r="N99" s="25"/>
      <c r="O99" s="25"/>
      <c r="P99" s="25"/>
      <c r="Q99" s="25"/>
      <c r="R99" s="34"/>
      <c r="S99" s="25"/>
      <c r="T99" s="53"/>
      <c r="U99" s="25"/>
      <c r="V99" s="5"/>
    </row>
    <row r="100" spans="1:23" ht="15.6" x14ac:dyDescent="0.3">
      <c r="A100" s="24">
        <v>1</v>
      </c>
      <c r="B100" s="25" t="s">
        <v>36</v>
      </c>
      <c r="C100" s="25"/>
      <c r="D100" s="25"/>
      <c r="E100" s="25"/>
      <c r="F100" s="25"/>
      <c r="G100" s="25"/>
      <c r="H100" s="25"/>
      <c r="I100" s="25"/>
      <c r="J100" s="25"/>
      <c r="K100" s="25"/>
      <c r="L100" s="25"/>
      <c r="M100" s="25"/>
      <c r="N100" s="25"/>
      <c r="O100" s="25"/>
      <c r="P100" s="25"/>
      <c r="Q100" s="25"/>
      <c r="R100" s="25"/>
      <c r="S100" s="25"/>
      <c r="T100" s="53">
        <v>0</v>
      </c>
      <c r="U100" s="25"/>
      <c r="V100" s="5"/>
    </row>
    <row r="101" spans="1:23" ht="15.6" x14ac:dyDescent="0.3">
      <c r="A101" s="24">
        <f>+A100+1</f>
        <v>2</v>
      </c>
      <c r="B101" s="25" t="s">
        <v>37</v>
      </c>
      <c r="C101" s="25"/>
      <c r="D101" s="25"/>
      <c r="E101" s="25"/>
      <c r="F101" s="25"/>
      <c r="G101" s="25"/>
      <c r="H101" s="25"/>
      <c r="I101" s="25"/>
      <c r="J101" s="25"/>
      <c r="K101" s="25"/>
      <c r="L101" s="25"/>
      <c r="M101" s="25"/>
      <c r="N101" s="25"/>
      <c r="O101" s="25"/>
      <c r="P101" s="25"/>
      <c r="Q101" s="25"/>
      <c r="R101" s="25"/>
      <c r="S101" s="25"/>
      <c r="T101" s="53">
        <v>-2</v>
      </c>
      <c r="U101" s="25"/>
      <c r="V101" s="5"/>
    </row>
    <row r="102" spans="1:23" ht="15.6" x14ac:dyDescent="0.3">
      <c r="A102" s="24">
        <f>+A101+1</f>
        <v>3</v>
      </c>
      <c r="B102" s="25" t="s">
        <v>160</v>
      </c>
      <c r="C102" s="25"/>
      <c r="D102" s="25"/>
      <c r="E102" s="25"/>
      <c r="F102" s="25"/>
      <c r="G102" s="25"/>
      <c r="H102" s="25"/>
      <c r="I102" s="25"/>
      <c r="J102" s="25"/>
      <c r="K102" s="25"/>
      <c r="L102" s="25"/>
      <c r="M102" s="25"/>
      <c r="N102" s="25"/>
      <c r="O102" s="25"/>
      <c r="P102" s="25"/>
      <c r="Q102" s="25"/>
      <c r="R102" s="25"/>
      <c r="S102" s="25"/>
      <c r="T102" s="53">
        <f>-154-47-5</f>
        <v>-206</v>
      </c>
      <c r="U102" s="25"/>
      <c r="V102" s="5"/>
    </row>
    <row r="103" spans="1:23" ht="15.6" x14ac:dyDescent="0.3">
      <c r="A103" s="24" t="s">
        <v>136</v>
      </c>
      <c r="B103" s="25" t="s">
        <v>125</v>
      </c>
      <c r="C103" s="25"/>
      <c r="D103" s="25"/>
      <c r="E103" s="25"/>
      <c r="F103" s="25"/>
      <c r="G103" s="25"/>
      <c r="H103" s="25"/>
      <c r="I103" s="25"/>
      <c r="J103" s="25"/>
      <c r="K103" s="25"/>
      <c r="L103" s="25"/>
      <c r="M103" s="25"/>
      <c r="N103" s="25"/>
      <c r="O103" s="25"/>
      <c r="P103" s="25"/>
      <c r="Q103" s="25"/>
      <c r="R103" s="25"/>
      <c r="S103" s="25"/>
      <c r="T103" s="53">
        <v>0</v>
      </c>
      <c r="U103" s="25"/>
      <c r="V103" s="5"/>
    </row>
    <row r="104" spans="1:23" ht="15.6" x14ac:dyDescent="0.3">
      <c r="A104" s="24" t="s">
        <v>137</v>
      </c>
      <c r="B104" s="25" t="s">
        <v>267</v>
      </c>
      <c r="C104" s="25"/>
      <c r="D104" s="25"/>
      <c r="E104" s="25"/>
      <c r="F104" s="25"/>
      <c r="G104" s="25"/>
      <c r="H104" s="25"/>
      <c r="I104" s="25"/>
      <c r="J104" s="25"/>
      <c r="K104" s="25"/>
      <c r="L104" s="25"/>
      <c r="M104" s="25"/>
      <c r="N104" s="25"/>
      <c r="O104" s="25"/>
      <c r="P104" s="25"/>
      <c r="Q104" s="25"/>
      <c r="R104" s="25"/>
      <c r="S104" s="25"/>
      <c r="T104" s="53">
        <v>-2</v>
      </c>
      <c r="U104" s="25"/>
      <c r="V104" s="5"/>
    </row>
    <row r="105" spans="1:23" ht="15.6" x14ac:dyDescent="0.3">
      <c r="A105" s="24" t="s">
        <v>162</v>
      </c>
      <c r="B105" s="25" t="s">
        <v>218</v>
      </c>
      <c r="C105" s="25"/>
      <c r="D105" s="25"/>
      <c r="E105" s="25"/>
      <c r="F105" s="25"/>
      <c r="G105" s="25"/>
      <c r="H105" s="25"/>
      <c r="I105" s="25"/>
      <c r="J105" s="25"/>
      <c r="K105" s="25"/>
      <c r="L105" s="25"/>
      <c r="M105" s="25"/>
      <c r="N105" s="25"/>
      <c r="O105" s="25"/>
      <c r="P105" s="25"/>
      <c r="Q105" s="25"/>
      <c r="R105" s="25"/>
      <c r="S105" s="25"/>
      <c r="T105" s="53">
        <v>-2706</v>
      </c>
      <c r="U105" s="25"/>
      <c r="V105" s="5"/>
      <c r="W105" s="110"/>
    </row>
    <row r="106" spans="1:23" ht="15.6" x14ac:dyDescent="0.3">
      <c r="A106" s="24" t="s">
        <v>163</v>
      </c>
      <c r="B106" s="25" t="s">
        <v>219</v>
      </c>
      <c r="C106" s="25"/>
      <c r="D106" s="25"/>
      <c r="E106" s="25"/>
      <c r="F106" s="25"/>
      <c r="G106" s="25"/>
      <c r="H106" s="25"/>
      <c r="I106" s="25"/>
      <c r="J106" s="25"/>
      <c r="K106" s="25"/>
      <c r="L106" s="25"/>
      <c r="M106" s="25"/>
      <c r="N106" s="25"/>
      <c r="O106" s="25"/>
      <c r="P106" s="25"/>
      <c r="Q106" s="25"/>
      <c r="R106" s="25"/>
      <c r="S106" s="25"/>
      <c r="T106" s="53">
        <v>-1916</v>
      </c>
      <c r="U106" s="25"/>
      <c r="V106" s="5"/>
      <c r="W106" s="110"/>
    </row>
    <row r="107" spans="1:23" ht="15.6" x14ac:dyDescent="0.3">
      <c r="A107" s="24" t="s">
        <v>252</v>
      </c>
      <c r="B107" s="25" t="s">
        <v>242</v>
      </c>
      <c r="C107" s="25"/>
      <c r="D107" s="25"/>
      <c r="E107" s="25"/>
      <c r="F107" s="25"/>
      <c r="G107" s="25"/>
      <c r="H107" s="25"/>
      <c r="I107" s="25"/>
      <c r="J107" s="25"/>
      <c r="K107" s="25"/>
      <c r="L107" s="25"/>
      <c r="M107" s="25"/>
      <c r="N107" s="25"/>
      <c r="O107" s="25"/>
      <c r="P107" s="25"/>
      <c r="Q107" s="25"/>
      <c r="R107" s="25"/>
      <c r="S107" s="25"/>
      <c r="T107" s="53">
        <v>-266</v>
      </c>
      <c r="U107" s="25"/>
      <c r="V107" s="170"/>
      <c r="W107" s="110"/>
    </row>
    <row r="108" spans="1:23" ht="15.6" x14ac:dyDescent="0.3">
      <c r="A108" s="24" t="s">
        <v>245</v>
      </c>
      <c r="B108" s="25" t="s">
        <v>220</v>
      </c>
      <c r="C108" s="25"/>
      <c r="D108" s="25"/>
      <c r="E108" s="25"/>
      <c r="F108" s="25"/>
      <c r="G108" s="25"/>
      <c r="H108" s="25"/>
      <c r="I108" s="25"/>
      <c r="J108" s="25"/>
      <c r="K108" s="25"/>
      <c r="L108" s="25"/>
      <c r="M108" s="25"/>
      <c r="N108" s="25"/>
      <c r="O108" s="25"/>
      <c r="P108" s="25"/>
      <c r="Q108" s="25"/>
      <c r="R108" s="25"/>
      <c r="S108" s="25"/>
      <c r="T108" s="53">
        <v>-102</v>
      </c>
      <c r="U108" s="25"/>
      <c r="V108" s="5"/>
      <c r="W108" s="110"/>
    </row>
    <row r="109" spans="1:23" ht="15.6" x14ac:dyDescent="0.3">
      <c r="A109" s="24" t="s">
        <v>246</v>
      </c>
      <c r="B109" s="25" t="s">
        <v>221</v>
      </c>
      <c r="C109" s="25"/>
      <c r="D109" s="25"/>
      <c r="E109" s="25"/>
      <c r="F109" s="25"/>
      <c r="G109" s="25"/>
      <c r="H109" s="25"/>
      <c r="I109" s="25"/>
      <c r="J109" s="25"/>
      <c r="K109" s="25"/>
      <c r="L109" s="25"/>
      <c r="M109" s="25"/>
      <c r="N109" s="25"/>
      <c r="O109" s="25"/>
      <c r="P109" s="25"/>
      <c r="Q109" s="25"/>
      <c r="R109" s="25"/>
      <c r="S109" s="25"/>
      <c r="T109" s="53">
        <v>-299</v>
      </c>
      <c r="U109" s="25"/>
      <c r="V109" s="5"/>
      <c r="W109" s="110"/>
    </row>
    <row r="110" spans="1:23" ht="15.6" x14ac:dyDescent="0.3">
      <c r="A110" s="24" t="s">
        <v>247</v>
      </c>
      <c r="B110" s="25" t="s">
        <v>222</v>
      </c>
      <c r="C110" s="25"/>
      <c r="D110" s="25"/>
      <c r="E110" s="25"/>
      <c r="F110" s="25"/>
      <c r="G110" s="25"/>
      <c r="H110" s="25"/>
      <c r="I110" s="25"/>
      <c r="J110" s="25"/>
      <c r="K110" s="25"/>
      <c r="L110" s="25"/>
      <c r="M110" s="25"/>
      <c r="N110" s="25"/>
      <c r="O110" s="25"/>
      <c r="P110" s="25"/>
      <c r="Q110" s="25"/>
      <c r="R110" s="25"/>
      <c r="S110" s="25"/>
      <c r="T110" s="53">
        <v>-46</v>
      </c>
      <c r="U110" s="25"/>
      <c r="V110" s="5"/>
      <c r="W110" s="110"/>
    </row>
    <row r="111" spans="1:23" ht="15.6" x14ac:dyDescent="0.3">
      <c r="A111" s="24" t="s">
        <v>248</v>
      </c>
      <c r="B111" s="25" t="s">
        <v>223</v>
      </c>
      <c r="C111" s="25"/>
      <c r="D111" s="25"/>
      <c r="E111" s="25"/>
      <c r="F111" s="25"/>
      <c r="G111" s="25"/>
      <c r="H111" s="25"/>
      <c r="I111" s="25"/>
      <c r="J111" s="25"/>
      <c r="K111" s="25"/>
      <c r="L111" s="25"/>
      <c r="M111" s="25"/>
      <c r="N111" s="25"/>
      <c r="O111" s="25"/>
      <c r="P111" s="25"/>
      <c r="Q111" s="25"/>
      <c r="R111" s="25"/>
      <c r="S111" s="25"/>
      <c r="T111" s="53">
        <v>-694</v>
      </c>
      <c r="U111" s="25"/>
      <c r="V111" s="5"/>
      <c r="W111" s="110"/>
    </row>
    <row r="112" spans="1:23" ht="15.6" x14ac:dyDescent="0.3">
      <c r="A112" s="24">
        <v>7</v>
      </c>
      <c r="B112" s="25" t="s">
        <v>38</v>
      </c>
      <c r="C112" s="25"/>
      <c r="D112" s="25"/>
      <c r="E112" s="25"/>
      <c r="F112" s="25"/>
      <c r="G112" s="25"/>
      <c r="H112" s="25"/>
      <c r="I112" s="25"/>
      <c r="J112" s="25"/>
      <c r="K112" s="25"/>
      <c r="L112" s="25"/>
      <c r="M112" s="25"/>
      <c r="N112" s="25"/>
      <c r="O112" s="25"/>
      <c r="P112" s="25"/>
      <c r="Q112" s="25"/>
      <c r="R112" s="25"/>
      <c r="S112" s="25"/>
      <c r="T112" s="53">
        <v>-8</v>
      </c>
      <c r="U112" s="25"/>
      <c r="V112" s="5"/>
    </row>
    <row r="113" spans="1:22" ht="15.6" x14ac:dyDescent="0.3">
      <c r="A113" s="24">
        <f t="shared" ref="A113:A118" si="0">+A112+1</f>
        <v>8</v>
      </c>
      <c r="B113" s="25" t="s">
        <v>49</v>
      </c>
      <c r="C113" s="25"/>
      <c r="D113" s="25"/>
      <c r="E113" s="25"/>
      <c r="F113" s="25"/>
      <c r="G113" s="25"/>
      <c r="H113" s="25"/>
      <c r="I113" s="25"/>
      <c r="J113" s="25"/>
      <c r="K113" s="25"/>
      <c r="L113" s="25"/>
      <c r="M113" s="25"/>
      <c r="N113" s="25"/>
      <c r="O113" s="25"/>
      <c r="P113" s="25"/>
      <c r="Q113" s="25"/>
      <c r="R113" s="34">
        <f>-T113</f>
        <v>2</v>
      </c>
      <c r="S113" s="25"/>
      <c r="T113" s="53">
        <v>-2</v>
      </c>
      <c r="U113" s="25"/>
      <c r="V113" s="5"/>
    </row>
    <row r="114" spans="1:22" ht="15.6" x14ac:dyDescent="0.3">
      <c r="A114" s="24">
        <f t="shared" si="0"/>
        <v>9</v>
      </c>
      <c r="B114" s="25" t="s">
        <v>134</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39</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40</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161</v>
      </c>
      <c r="C117" s="25"/>
      <c r="D117" s="25"/>
      <c r="E117" s="25"/>
      <c r="F117" s="25"/>
      <c r="G117" s="25"/>
      <c r="H117" s="25"/>
      <c r="I117" s="25"/>
      <c r="J117" s="25"/>
      <c r="K117" s="25"/>
      <c r="L117" s="25"/>
      <c r="M117" s="25"/>
      <c r="N117" s="25"/>
      <c r="O117" s="25"/>
      <c r="P117" s="25"/>
      <c r="Q117" s="25"/>
      <c r="R117" s="25"/>
      <c r="S117" s="25"/>
      <c r="T117" s="53">
        <v>-154</v>
      </c>
      <c r="U117" s="25"/>
      <c r="V117" s="5"/>
    </row>
    <row r="118" spans="1:22" ht="15.6" x14ac:dyDescent="0.3">
      <c r="A118" s="24">
        <f t="shared" si="0"/>
        <v>13</v>
      </c>
      <c r="B118" s="25" t="s">
        <v>135</v>
      </c>
      <c r="C118" s="25"/>
      <c r="D118" s="25"/>
      <c r="E118" s="25"/>
      <c r="F118" s="25"/>
      <c r="G118" s="25"/>
      <c r="H118" s="25"/>
      <c r="I118" s="25"/>
      <c r="J118" s="25"/>
      <c r="K118" s="25"/>
      <c r="L118" s="25"/>
      <c r="M118" s="25"/>
      <c r="N118" s="25"/>
      <c r="O118" s="25"/>
      <c r="P118" s="25"/>
      <c r="Q118" s="25"/>
      <c r="R118" s="25"/>
      <c r="S118" s="25"/>
      <c r="T118" s="53">
        <f>-T98-SUM(T100:T117)</f>
        <v>-813</v>
      </c>
      <c r="U118" s="25"/>
      <c r="V118" s="5"/>
    </row>
    <row r="119" spans="1:22" ht="15.6" x14ac:dyDescent="0.3">
      <c r="A119" s="24"/>
      <c r="B119" s="119" t="s">
        <v>41</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229</v>
      </c>
      <c r="C120" s="25"/>
      <c r="D120" s="25"/>
      <c r="E120" s="25"/>
      <c r="F120" s="25"/>
      <c r="G120" s="25"/>
      <c r="H120" s="25"/>
      <c r="I120" s="25"/>
      <c r="J120" s="25"/>
      <c r="K120" s="25"/>
      <c r="L120" s="25"/>
      <c r="M120" s="25"/>
      <c r="N120" s="25"/>
      <c r="O120" s="25"/>
      <c r="P120" s="25"/>
      <c r="Q120" s="25"/>
      <c r="R120" s="34">
        <f>-R179</f>
        <v>-5</v>
      </c>
      <c r="S120" s="34"/>
      <c r="T120" s="53"/>
      <c r="U120" s="25"/>
      <c r="V120" s="5"/>
    </row>
    <row r="121" spans="1:22" ht="15.6" x14ac:dyDescent="0.3">
      <c r="A121" s="24"/>
      <c r="B121" s="25" t="s">
        <v>230</v>
      </c>
      <c r="C121" s="25"/>
      <c r="D121" s="25"/>
      <c r="E121" s="25"/>
      <c r="F121" s="25"/>
      <c r="G121" s="25"/>
      <c r="H121" s="25"/>
      <c r="I121" s="25"/>
      <c r="J121" s="25"/>
      <c r="K121" s="25"/>
      <c r="L121" s="25"/>
      <c r="M121" s="25"/>
      <c r="N121" s="25"/>
      <c r="O121" s="25"/>
      <c r="P121" s="25"/>
      <c r="Q121" s="25"/>
      <c r="R121" s="34">
        <v>-85</v>
      </c>
      <c r="S121" s="34"/>
      <c r="T121" s="53"/>
      <c r="U121" s="25"/>
      <c r="V121" s="5"/>
    </row>
    <row r="122" spans="1:22" ht="15.6" x14ac:dyDescent="0.3">
      <c r="A122" s="24"/>
      <c r="B122" s="25" t="s">
        <v>42</v>
      </c>
      <c r="C122" s="25"/>
      <c r="D122" s="25"/>
      <c r="E122" s="25"/>
      <c r="F122" s="25"/>
      <c r="G122" s="25"/>
      <c r="H122" s="25"/>
      <c r="I122" s="25"/>
      <c r="J122" s="25"/>
      <c r="K122" s="25"/>
      <c r="L122" s="25"/>
      <c r="M122" s="25"/>
      <c r="N122" s="25"/>
      <c r="O122" s="25"/>
      <c r="P122" s="25"/>
      <c r="Q122" s="25"/>
      <c r="R122" s="34">
        <f>-Q179</f>
        <v>-1991</v>
      </c>
      <c r="S122" s="34"/>
      <c r="T122" s="53"/>
      <c r="U122" s="25"/>
      <c r="V122" s="5"/>
    </row>
    <row r="123" spans="1:22" ht="15.6" x14ac:dyDescent="0.3">
      <c r="A123" s="24"/>
      <c r="B123" s="25" t="s">
        <v>235</v>
      </c>
      <c r="C123" s="25"/>
      <c r="D123" s="25"/>
      <c r="E123" s="25"/>
      <c r="F123" s="25"/>
      <c r="G123" s="25"/>
      <c r="H123" s="25"/>
      <c r="I123" s="25"/>
      <c r="J123" s="25"/>
      <c r="K123" s="25"/>
      <c r="L123" s="25"/>
      <c r="M123" s="25"/>
      <c r="N123" s="25"/>
      <c r="O123" s="25"/>
      <c r="P123" s="25"/>
      <c r="Q123" s="25"/>
      <c r="R123" s="34">
        <v>-14533</v>
      </c>
      <c r="S123" s="34"/>
      <c r="T123" s="53"/>
      <c r="U123" s="25"/>
      <c r="V123" s="5"/>
    </row>
    <row r="124" spans="1:22" ht="15.6" x14ac:dyDescent="0.3">
      <c r="A124" s="24"/>
      <c r="B124" s="25" t="s">
        <v>236</v>
      </c>
      <c r="C124" s="25"/>
      <c r="D124" s="25"/>
      <c r="E124" s="25"/>
      <c r="F124" s="25"/>
      <c r="G124" s="25"/>
      <c r="H124" s="25"/>
      <c r="I124" s="25"/>
      <c r="J124" s="25"/>
      <c r="K124" s="25"/>
      <c r="L124" s="25"/>
      <c r="M124" s="25"/>
      <c r="N124" s="25"/>
      <c r="O124" s="25"/>
      <c r="P124" s="25"/>
      <c r="Q124" s="25"/>
      <c r="R124" s="34">
        <v>-10270</v>
      </c>
      <c r="S124" s="34"/>
      <c r="T124" s="53"/>
      <c r="U124" s="25"/>
      <c r="V124" s="5"/>
    </row>
    <row r="125" spans="1:22" ht="15.6" x14ac:dyDescent="0.3">
      <c r="A125" s="24"/>
      <c r="B125" s="25" t="s">
        <v>241</v>
      </c>
      <c r="C125" s="25"/>
      <c r="D125" s="25"/>
      <c r="E125" s="25"/>
      <c r="F125" s="25"/>
      <c r="G125" s="25"/>
      <c r="H125" s="25"/>
      <c r="I125" s="25"/>
      <c r="J125" s="25"/>
      <c r="K125" s="25"/>
      <c r="L125" s="25"/>
      <c r="M125" s="25"/>
      <c r="N125" s="25"/>
      <c r="O125" s="25"/>
      <c r="P125" s="25"/>
      <c r="Q125" s="25"/>
      <c r="R125" s="34">
        <v>-1424</v>
      </c>
      <c r="S125" s="34"/>
      <c r="T125" s="53"/>
      <c r="U125" s="25"/>
      <c r="V125" s="5"/>
    </row>
    <row r="126" spans="1:22" ht="15.6" x14ac:dyDescent="0.3">
      <c r="A126" s="24"/>
      <c r="B126" s="25" t="s">
        <v>237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238</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239</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240</v>
      </c>
      <c r="C129" s="25"/>
      <c r="D129" s="25"/>
      <c r="E129" s="25"/>
      <c r="F129" s="25"/>
      <c r="G129" s="25"/>
      <c r="H129" s="25"/>
      <c r="I129" s="25"/>
      <c r="J129" s="25"/>
      <c r="K129" s="25"/>
      <c r="L129" s="25"/>
      <c r="M129" s="25"/>
      <c r="N129" s="25"/>
      <c r="O129" s="25"/>
      <c r="P129" s="25"/>
      <c r="Q129" s="25"/>
      <c r="R129" s="34">
        <v>0</v>
      </c>
      <c r="S129" s="34"/>
      <c r="T129" s="53"/>
      <c r="U129" s="25"/>
      <c r="V129" s="5"/>
    </row>
    <row r="130" spans="1:22" ht="15.6" x14ac:dyDescent="0.3">
      <c r="A130" s="24"/>
      <c r="B130" s="25" t="s">
        <v>43</v>
      </c>
      <c r="C130" s="25"/>
      <c r="D130" s="25"/>
      <c r="E130" s="25"/>
      <c r="F130" s="25"/>
      <c r="G130" s="25"/>
      <c r="H130" s="25"/>
      <c r="I130" s="25"/>
      <c r="J130" s="25"/>
      <c r="K130" s="25"/>
      <c r="L130" s="25"/>
      <c r="M130" s="25"/>
      <c r="N130" s="25"/>
      <c r="O130" s="25"/>
      <c r="P130" s="25"/>
      <c r="Q130" s="25"/>
      <c r="R130" s="34">
        <f>SUM(R120:R129)</f>
        <v>-28308</v>
      </c>
      <c r="S130" s="34"/>
      <c r="T130" s="34">
        <f>SUM(T99:T128)</f>
        <v>-7216</v>
      </c>
      <c r="U130" s="25"/>
      <c r="V130" s="5"/>
    </row>
    <row r="131" spans="1:22" ht="15.6" x14ac:dyDescent="0.3">
      <c r="A131" s="24"/>
      <c r="B131" s="25" t="s">
        <v>44</v>
      </c>
      <c r="C131" s="25"/>
      <c r="D131" s="25"/>
      <c r="E131" s="25"/>
      <c r="F131" s="25"/>
      <c r="G131" s="25"/>
      <c r="H131" s="25"/>
      <c r="I131" s="25"/>
      <c r="J131" s="25"/>
      <c r="K131" s="25"/>
      <c r="L131" s="25"/>
      <c r="M131" s="25"/>
      <c r="N131" s="25"/>
      <c r="O131" s="25"/>
      <c r="P131" s="25"/>
      <c r="Q131" s="25"/>
      <c r="R131" s="34">
        <f>R98+R130+R113</f>
        <v>0</v>
      </c>
      <c r="S131" s="34"/>
      <c r="T131" s="34">
        <f>T98+T130</f>
        <v>0</v>
      </c>
      <c r="U131" s="25"/>
      <c r="V131" s="5"/>
    </row>
    <row r="132" spans="1:22" ht="15.6" x14ac:dyDescent="0.3">
      <c r="A132" s="24"/>
      <c r="B132" s="25"/>
      <c r="C132" s="25"/>
      <c r="D132" s="25"/>
      <c r="E132" s="25"/>
      <c r="F132" s="25"/>
      <c r="G132" s="25"/>
      <c r="H132" s="25"/>
      <c r="I132" s="25"/>
      <c r="J132" s="25"/>
      <c r="K132" s="25"/>
      <c r="L132" s="25"/>
      <c r="M132" s="25"/>
      <c r="N132" s="25"/>
      <c r="O132" s="25"/>
      <c r="P132" s="25"/>
      <c r="Q132" s="25"/>
      <c r="R132" s="34"/>
      <c r="S132" s="34"/>
      <c r="T132" s="34"/>
      <c r="U132" s="25"/>
      <c r="V132" s="5"/>
    </row>
    <row r="133" spans="1:22" ht="15.6" x14ac:dyDescent="0.3">
      <c r="A133" s="6"/>
      <c r="B133" s="8"/>
      <c r="C133" s="8"/>
      <c r="D133" s="8"/>
      <c r="E133" s="8"/>
      <c r="F133" s="8"/>
      <c r="G133" s="8"/>
      <c r="H133" s="8"/>
      <c r="I133" s="8"/>
      <c r="J133" s="8"/>
      <c r="K133" s="8"/>
      <c r="L133" s="8"/>
      <c r="M133" s="8"/>
      <c r="N133" s="8"/>
      <c r="O133" s="8"/>
      <c r="P133" s="8"/>
      <c r="Q133" s="8"/>
      <c r="R133" s="8"/>
      <c r="S133" s="8"/>
      <c r="T133" s="52"/>
      <c r="U133" s="8"/>
      <c r="V133" s="5"/>
    </row>
    <row r="134" spans="1:22" ht="18" thickBot="1" x14ac:dyDescent="0.35">
      <c r="A134" s="102"/>
      <c r="B134" s="103" t="str">
        <f>B61</f>
        <v>PM9 INVESTOR REPORT QUARTER ENDING APRIL 2008</v>
      </c>
      <c r="C134" s="104"/>
      <c r="D134" s="104"/>
      <c r="E134" s="104"/>
      <c r="F134" s="104"/>
      <c r="G134" s="104"/>
      <c r="H134" s="104"/>
      <c r="I134" s="104"/>
      <c r="J134" s="104"/>
      <c r="K134" s="104"/>
      <c r="L134" s="104"/>
      <c r="M134" s="104"/>
      <c r="N134" s="104"/>
      <c r="O134" s="104"/>
      <c r="P134" s="104"/>
      <c r="Q134" s="104"/>
      <c r="R134" s="104"/>
      <c r="S134" s="104"/>
      <c r="T134" s="107"/>
      <c r="U134" s="106"/>
      <c r="V134" s="5"/>
    </row>
    <row r="135" spans="1:22" ht="15.6" x14ac:dyDescent="0.3">
      <c r="A135" s="2"/>
      <c r="B135" s="60" t="s">
        <v>45</v>
      </c>
      <c r="C135" s="4"/>
      <c r="D135" s="4"/>
      <c r="E135" s="4"/>
      <c r="F135" s="4"/>
      <c r="G135" s="4"/>
      <c r="H135" s="4"/>
      <c r="I135" s="4"/>
      <c r="J135" s="4"/>
      <c r="K135" s="4"/>
      <c r="L135" s="4"/>
      <c r="M135" s="4"/>
      <c r="N135" s="4"/>
      <c r="O135" s="4"/>
      <c r="P135" s="4"/>
      <c r="Q135" s="4"/>
      <c r="R135" s="4"/>
      <c r="S135" s="4"/>
      <c r="T135" s="50"/>
      <c r="U135" s="4"/>
      <c r="V135" s="5"/>
    </row>
    <row r="136" spans="1:22" ht="15.6" x14ac:dyDescent="0.3">
      <c r="A136" s="6"/>
      <c r="B136" s="21"/>
      <c r="C136" s="8"/>
      <c r="D136" s="8"/>
      <c r="E136" s="8"/>
      <c r="F136" s="8"/>
      <c r="G136" s="8"/>
      <c r="H136" s="8"/>
      <c r="I136" s="8"/>
      <c r="J136" s="8"/>
      <c r="K136" s="8"/>
      <c r="L136" s="8"/>
      <c r="M136" s="8"/>
      <c r="N136" s="8"/>
      <c r="O136" s="8"/>
      <c r="P136" s="8"/>
      <c r="Q136" s="8"/>
      <c r="R136" s="8"/>
      <c r="S136" s="8"/>
      <c r="T136" s="52"/>
      <c r="U136" s="8"/>
      <c r="V136" s="5"/>
    </row>
    <row r="137" spans="1:22" ht="15.6" x14ac:dyDescent="0.3">
      <c r="A137" s="6"/>
      <c r="B137" s="120" t="s">
        <v>46</v>
      </c>
      <c r="C137" s="8"/>
      <c r="D137" s="8"/>
      <c r="E137" s="8"/>
      <c r="F137" s="8"/>
      <c r="G137" s="8"/>
      <c r="H137" s="8"/>
      <c r="I137" s="8"/>
      <c r="J137" s="8"/>
      <c r="K137" s="8"/>
      <c r="L137" s="8"/>
      <c r="M137" s="8"/>
      <c r="N137" s="8"/>
      <c r="O137" s="8"/>
      <c r="P137" s="8"/>
      <c r="Q137" s="8"/>
      <c r="R137" s="8"/>
      <c r="S137" s="8"/>
      <c r="T137" s="52"/>
      <c r="U137" s="8"/>
      <c r="V137" s="5"/>
    </row>
    <row r="138" spans="1:22" ht="15.6" x14ac:dyDescent="0.3">
      <c r="A138" s="24"/>
      <c r="B138" s="25" t="s">
        <v>47</v>
      </c>
      <c r="C138" s="25"/>
      <c r="D138" s="25"/>
      <c r="E138" s="25"/>
      <c r="F138" s="25"/>
      <c r="G138" s="25"/>
      <c r="H138" s="25"/>
      <c r="I138" s="25"/>
      <c r="J138" s="25"/>
      <c r="K138" s="25"/>
      <c r="L138" s="25"/>
      <c r="M138" s="25"/>
      <c r="N138" s="25"/>
      <c r="O138" s="25"/>
      <c r="P138" s="25"/>
      <c r="Q138" s="25"/>
      <c r="R138" s="25"/>
      <c r="S138" s="25"/>
      <c r="T138" s="53">
        <f>+T32*0.0176</f>
        <v>12320</v>
      </c>
      <c r="U138" s="25"/>
      <c r="V138" s="5"/>
    </row>
    <row r="139" spans="1:22" ht="15.6" x14ac:dyDescent="0.3">
      <c r="A139" s="24"/>
      <c r="B139" s="25" t="s">
        <v>48</v>
      </c>
      <c r="C139" s="25"/>
      <c r="D139" s="25"/>
      <c r="E139" s="25"/>
      <c r="F139" s="25"/>
      <c r="G139" s="25"/>
      <c r="H139" s="25"/>
      <c r="I139" s="25"/>
      <c r="J139" s="25"/>
      <c r="K139" s="25"/>
      <c r="L139" s="25"/>
      <c r="M139" s="25"/>
      <c r="N139" s="25"/>
      <c r="O139" s="25"/>
      <c r="P139" s="25"/>
      <c r="Q139" s="25"/>
      <c r="R139" s="25"/>
      <c r="S139" s="25"/>
      <c r="T139" s="53">
        <v>12320</v>
      </c>
      <c r="U139" s="25"/>
      <c r="V139" s="5"/>
    </row>
    <row r="140" spans="1:22" ht="15.6" x14ac:dyDescent="0.3">
      <c r="A140" s="24"/>
      <c r="B140" s="25" t="s">
        <v>145</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132</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133</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232</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49</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138</v>
      </c>
      <c r="C145" s="25"/>
      <c r="D145" s="25"/>
      <c r="E145" s="25"/>
      <c r="F145" s="25"/>
      <c r="G145" s="25"/>
      <c r="H145" s="25"/>
      <c r="I145" s="25"/>
      <c r="J145" s="25"/>
      <c r="K145" s="25"/>
      <c r="L145" s="25"/>
      <c r="M145" s="25"/>
      <c r="N145" s="25"/>
      <c r="O145" s="25"/>
      <c r="P145" s="25"/>
      <c r="Q145" s="25"/>
      <c r="R145" s="25"/>
      <c r="S145" s="25"/>
      <c r="T145" s="53">
        <v>0</v>
      </c>
      <c r="U145" s="25"/>
      <c r="V145" s="5"/>
    </row>
    <row r="146" spans="1:23" ht="15.6" x14ac:dyDescent="0.3">
      <c r="A146" s="24"/>
      <c r="B146" s="25" t="s">
        <v>231</v>
      </c>
      <c r="C146" s="25"/>
      <c r="D146" s="25"/>
      <c r="E146" s="25"/>
      <c r="F146" s="25"/>
      <c r="G146" s="25"/>
      <c r="H146" s="25"/>
      <c r="I146" s="25"/>
      <c r="J146" s="25"/>
      <c r="K146" s="25"/>
      <c r="L146" s="25"/>
      <c r="M146" s="25"/>
      <c r="N146" s="25"/>
      <c r="O146" s="25"/>
      <c r="P146" s="25"/>
      <c r="Q146" s="25"/>
      <c r="R146" s="25"/>
      <c r="S146" s="25"/>
      <c r="T146" s="53">
        <v>0</v>
      </c>
      <c r="U146" s="25"/>
      <c r="V146" s="5"/>
      <c r="W146" s="110"/>
    </row>
    <row r="147" spans="1:23" ht="15.6" x14ac:dyDescent="0.3">
      <c r="A147" s="24"/>
      <c r="B147" s="25" t="s">
        <v>50</v>
      </c>
      <c r="C147" s="25"/>
      <c r="D147" s="25"/>
      <c r="E147" s="25"/>
      <c r="F147" s="25"/>
      <c r="G147" s="25"/>
      <c r="H147" s="25"/>
      <c r="I147" s="25"/>
      <c r="J147" s="25"/>
      <c r="K147" s="25"/>
      <c r="L147" s="25"/>
      <c r="M147" s="25"/>
      <c r="N147" s="25"/>
      <c r="O147" s="25"/>
      <c r="P147" s="25"/>
      <c r="Q147" s="25"/>
      <c r="R147" s="25"/>
      <c r="S147" s="25"/>
      <c r="T147" s="53">
        <f>SUM(T139:T146)</f>
        <v>12320</v>
      </c>
      <c r="U147" s="25"/>
      <c r="V147" s="5"/>
    </row>
    <row r="148" spans="1:23" ht="15.6" x14ac:dyDescent="0.3">
      <c r="A148" s="24"/>
      <c r="B148" s="25"/>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141" t="s">
        <v>264</v>
      </c>
      <c r="C149" s="25"/>
      <c r="D149" s="25"/>
      <c r="E149" s="25"/>
      <c r="F149" s="25"/>
      <c r="G149" s="25"/>
      <c r="H149" s="25"/>
      <c r="I149" s="25"/>
      <c r="J149" s="25"/>
      <c r="K149" s="25"/>
      <c r="L149" s="25"/>
      <c r="M149" s="25"/>
      <c r="N149" s="25"/>
      <c r="O149" s="25"/>
      <c r="P149" s="25"/>
      <c r="Q149" s="25"/>
      <c r="R149" s="25"/>
      <c r="S149" s="25"/>
      <c r="T149" s="53"/>
      <c r="U149" s="25"/>
      <c r="V149" s="5"/>
    </row>
    <row r="150" spans="1:23" ht="15.6" x14ac:dyDescent="0.3">
      <c r="A150" s="24"/>
      <c r="B150" s="25" t="s">
        <v>170</v>
      </c>
      <c r="C150" s="25"/>
      <c r="D150" s="25"/>
      <c r="E150" s="25"/>
      <c r="F150" s="25"/>
      <c r="G150" s="25"/>
      <c r="H150" s="25"/>
      <c r="I150" s="25"/>
      <c r="J150" s="25"/>
      <c r="K150" s="25"/>
      <c r="L150" s="25"/>
      <c r="M150" s="25"/>
      <c r="N150" s="25"/>
      <c r="O150" s="25"/>
      <c r="P150" s="25"/>
      <c r="Q150" s="25"/>
      <c r="R150" s="25"/>
      <c r="S150" s="25"/>
      <c r="T150" s="53">
        <v>10000</v>
      </c>
      <c r="U150" s="25"/>
      <c r="V150" s="5"/>
    </row>
    <row r="151" spans="1:23" ht="15.6" x14ac:dyDescent="0.3">
      <c r="A151" s="24"/>
      <c r="B151" s="25" t="s">
        <v>260</v>
      </c>
      <c r="C151" s="25"/>
      <c r="D151" s="25"/>
      <c r="E151" s="25"/>
      <c r="F151" s="25"/>
      <c r="G151" s="25"/>
      <c r="H151" s="25"/>
      <c r="I151" s="25"/>
      <c r="J151" s="25"/>
      <c r="K151" s="25"/>
      <c r="L151" s="25"/>
      <c r="M151" s="25"/>
      <c r="N151" s="25"/>
      <c r="O151" s="25"/>
      <c r="P151" s="25"/>
      <c r="Q151" s="25"/>
      <c r="R151" s="25"/>
      <c r="S151" s="25"/>
      <c r="T151" s="53">
        <v>6000</v>
      </c>
      <c r="U151" s="25"/>
      <c r="V151" s="5"/>
    </row>
    <row r="152" spans="1:23" ht="15.6" x14ac:dyDescent="0.3">
      <c r="A152" s="24"/>
      <c r="B152" s="25" t="s">
        <v>228</v>
      </c>
      <c r="C152" s="25"/>
      <c r="D152" s="25"/>
      <c r="E152" s="25"/>
      <c r="F152" s="25"/>
      <c r="G152" s="25"/>
      <c r="H152" s="25"/>
      <c r="I152" s="25"/>
      <c r="J152" s="25"/>
      <c r="K152" s="25"/>
      <c r="L152" s="25"/>
      <c r="M152" s="25"/>
      <c r="N152" s="25"/>
      <c r="O152" s="25"/>
      <c r="P152" s="25"/>
      <c r="Q152" s="25"/>
      <c r="R152" s="25"/>
      <c r="S152" s="25"/>
      <c r="T152" s="53">
        <v>0</v>
      </c>
      <c r="U152" s="25"/>
      <c r="V152" s="5"/>
    </row>
    <row r="153" spans="1:23" ht="15.6" x14ac:dyDescent="0.3">
      <c r="A153" s="24"/>
      <c r="B153" s="25" t="s">
        <v>266</v>
      </c>
      <c r="C153" s="25"/>
      <c r="D153" s="25"/>
      <c r="E153" s="25"/>
      <c r="F153" s="25"/>
      <c r="G153" s="25"/>
      <c r="H153" s="25"/>
      <c r="I153" s="25"/>
      <c r="J153" s="25"/>
      <c r="K153" s="25"/>
      <c r="L153" s="25"/>
      <c r="M153" s="25"/>
      <c r="N153" s="25"/>
      <c r="O153" s="25"/>
      <c r="P153" s="25"/>
      <c r="Q153" s="25"/>
      <c r="R153" s="25"/>
      <c r="S153" s="25"/>
      <c r="T153" s="53">
        <v>6000</v>
      </c>
      <c r="U153" s="25"/>
      <c r="V153" s="5"/>
    </row>
    <row r="154" spans="1:23" ht="15.6" x14ac:dyDescent="0.3">
      <c r="A154" s="24"/>
      <c r="B154" s="25"/>
      <c r="C154" s="25"/>
      <c r="D154" s="25"/>
      <c r="E154" s="25"/>
      <c r="F154" s="25"/>
      <c r="G154" s="25"/>
      <c r="H154" s="25"/>
      <c r="I154" s="25"/>
      <c r="J154" s="25"/>
      <c r="K154" s="25"/>
      <c r="L154" s="25"/>
      <c r="M154" s="25"/>
      <c r="N154" s="25"/>
      <c r="O154" s="25"/>
      <c r="P154" s="25"/>
      <c r="Q154" s="25"/>
      <c r="R154" s="25"/>
      <c r="S154" s="25"/>
      <c r="T154" s="53"/>
      <c r="U154" s="25"/>
      <c r="V154" s="5"/>
    </row>
    <row r="155" spans="1:23" ht="15.6" x14ac:dyDescent="0.3">
      <c r="A155" s="24"/>
      <c r="B155" s="25"/>
      <c r="C155" s="25"/>
      <c r="D155" s="25"/>
      <c r="E155" s="25"/>
      <c r="F155" s="25"/>
      <c r="G155" s="25"/>
      <c r="H155" s="25"/>
      <c r="I155" s="25"/>
      <c r="J155" s="25"/>
      <c r="K155" s="25"/>
      <c r="L155" s="25"/>
      <c r="M155" s="25"/>
      <c r="N155" s="25"/>
      <c r="O155" s="25"/>
      <c r="P155" s="25"/>
      <c r="Q155" s="25"/>
      <c r="R155" s="25"/>
      <c r="S155" s="25"/>
      <c r="T155" s="61"/>
      <c r="U155" s="25"/>
      <c r="V155" s="5"/>
    </row>
    <row r="156" spans="1:23" ht="15.6" x14ac:dyDescent="0.3">
      <c r="A156" s="6"/>
      <c r="B156" s="120" t="s">
        <v>25</v>
      </c>
      <c r="C156" s="8"/>
      <c r="D156" s="8"/>
      <c r="E156" s="8"/>
      <c r="F156" s="8"/>
      <c r="G156" s="8"/>
      <c r="H156" s="8"/>
      <c r="I156" s="8"/>
      <c r="J156" s="8"/>
      <c r="K156" s="8"/>
      <c r="L156" s="8"/>
      <c r="M156" s="8"/>
      <c r="N156" s="8"/>
      <c r="O156" s="8"/>
      <c r="P156" s="8"/>
      <c r="Q156" s="8"/>
      <c r="R156" s="8"/>
      <c r="S156" s="8"/>
      <c r="T156" s="52"/>
      <c r="U156" s="8"/>
      <c r="V156" s="5"/>
    </row>
    <row r="157" spans="1:23" ht="15.6" x14ac:dyDescent="0.3">
      <c r="A157" s="24"/>
      <c r="B157" s="25" t="s">
        <v>51</v>
      </c>
      <c r="C157" s="25"/>
      <c r="D157" s="25"/>
      <c r="E157" s="25"/>
      <c r="F157" s="25"/>
      <c r="G157" s="25"/>
      <c r="H157" s="25"/>
      <c r="I157" s="25"/>
      <c r="J157" s="25"/>
      <c r="K157" s="25"/>
      <c r="L157" s="25"/>
      <c r="M157" s="25"/>
      <c r="N157" s="25"/>
      <c r="O157" s="25"/>
      <c r="P157" s="25"/>
      <c r="Q157" s="25"/>
      <c r="R157" s="25"/>
      <c r="S157" s="25"/>
      <c r="T157" s="59" t="s">
        <v>127</v>
      </c>
      <c r="U157" s="25"/>
      <c r="V157" s="5"/>
    </row>
    <row r="158" spans="1:23" ht="15.6" x14ac:dyDescent="0.3">
      <c r="A158" s="24"/>
      <c r="B158" s="25" t="s">
        <v>52</v>
      </c>
      <c r="C158" s="160"/>
      <c r="D158" s="160"/>
      <c r="E158" s="160"/>
      <c r="F158" s="160"/>
      <c r="G158" s="160"/>
      <c r="H158" s="160"/>
      <c r="I158" s="160"/>
      <c r="J158" s="160"/>
      <c r="K158" s="160"/>
      <c r="L158" s="160"/>
      <c r="M158" s="160"/>
      <c r="N158" s="160"/>
      <c r="O158" s="160"/>
      <c r="P158" s="160"/>
      <c r="Q158" s="160"/>
      <c r="R158" s="160"/>
      <c r="S158" s="160"/>
      <c r="T158" s="59" t="s">
        <v>127</v>
      </c>
      <c r="U158" s="25"/>
      <c r="V158" s="5"/>
    </row>
    <row r="159" spans="1:23" ht="15.6" x14ac:dyDescent="0.3">
      <c r="A159" s="24"/>
      <c r="B159" s="25" t="s">
        <v>53</v>
      </c>
      <c r="C159" s="25"/>
      <c r="D159" s="25"/>
      <c r="E159" s="25"/>
      <c r="F159" s="25"/>
      <c r="G159" s="25"/>
      <c r="H159" s="25"/>
      <c r="I159" s="25"/>
      <c r="J159" s="25"/>
      <c r="K159" s="25"/>
      <c r="L159" s="25"/>
      <c r="M159" s="25"/>
      <c r="N159" s="25"/>
      <c r="O159" s="25"/>
      <c r="P159" s="25"/>
      <c r="Q159" s="25"/>
      <c r="R159" s="25"/>
      <c r="S159" s="25"/>
      <c r="T159" s="59" t="s">
        <v>127</v>
      </c>
      <c r="U159" s="25"/>
      <c r="V159" s="5"/>
    </row>
    <row r="160" spans="1:23" ht="15.6" x14ac:dyDescent="0.3">
      <c r="A160" s="24"/>
      <c r="B160" s="25" t="s">
        <v>54</v>
      </c>
      <c r="C160" s="25"/>
      <c r="D160" s="25"/>
      <c r="E160" s="25"/>
      <c r="F160" s="25"/>
      <c r="G160" s="25"/>
      <c r="H160" s="25"/>
      <c r="I160" s="25"/>
      <c r="J160" s="25"/>
      <c r="K160" s="25"/>
      <c r="L160" s="25"/>
      <c r="M160" s="25"/>
      <c r="N160" s="25"/>
      <c r="O160" s="25"/>
      <c r="P160" s="25"/>
      <c r="Q160" s="25"/>
      <c r="R160" s="25"/>
      <c r="S160" s="25"/>
      <c r="T160" s="59" t="s">
        <v>127</v>
      </c>
      <c r="U160" s="25"/>
      <c r="V160" s="5"/>
    </row>
    <row r="161" spans="1:22" ht="15.6" x14ac:dyDescent="0.3">
      <c r="A161" s="24"/>
      <c r="B161" s="25"/>
      <c r="C161" s="25"/>
      <c r="D161" s="25"/>
      <c r="E161" s="25"/>
      <c r="F161" s="25"/>
      <c r="G161" s="25"/>
      <c r="H161" s="25"/>
      <c r="I161" s="25"/>
      <c r="J161" s="25"/>
      <c r="K161" s="25"/>
      <c r="L161" s="25"/>
      <c r="M161" s="25"/>
      <c r="N161" s="25"/>
      <c r="O161" s="25"/>
      <c r="P161" s="25"/>
      <c r="Q161" s="25"/>
      <c r="R161" s="25"/>
      <c r="S161" s="25"/>
      <c r="T161" s="61"/>
      <c r="U161" s="25"/>
      <c r="V161" s="5"/>
    </row>
    <row r="162" spans="1:22" ht="15.6" x14ac:dyDescent="0.3">
      <c r="A162" s="6"/>
      <c r="B162" s="120" t="s">
        <v>55</v>
      </c>
      <c r="C162" s="8"/>
      <c r="D162" s="8"/>
      <c r="E162" s="8"/>
      <c r="F162" s="8"/>
      <c r="G162" s="8"/>
      <c r="H162" s="8"/>
      <c r="I162" s="8"/>
      <c r="J162" s="8"/>
      <c r="K162" s="8"/>
      <c r="L162" s="8"/>
      <c r="M162" s="8"/>
      <c r="N162" s="8"/>
      <c r="O162" s="8"/>
      <c r="P162" s="8"/>
      <c r="Q162" s="8"/>
      <c r="R162" s="8"/>
      <c r="S162" s="8"/>
      <c r="T162" s="63"/>
      <c r="U162" s="8"/>
      <c r="V162" s="5"/>
    </row>
    <row r="163" spans="1:22" ht="15.6" x14ac:dyDescent="0.3">
      <c r="A163" s="24"/>
      <c r="B163" s="25" t="s">
        <v>56</v>
      </c>
      <c r="C163" s="25"/>
      <c r="D163" s="25"/>
      <c r="E163" s="25"/>
      <c r="F163" s="25"/>
      <c r="G163" s="25"/>
      <c r="H163" s="25"/>
      <c r="I163" s="25"/>
      <c r="J163" s="25"/>
      <c r="K163" s="25"/>
      <c r="L163" s="25"/>
      <c r="M163" s="25"/>
      <c r="N163" s="25"/>
      <c r="O163" s="25"/>
      <c r="P163" s="25"/>
      <c r="Q163" s="25"/>
      <c r="R163" s="25"/>
      <c r="S163" s="25"/>
      <c r="T163" s="53">
        <v>0</v>
      </c>
      <c r="U163" s="25"/>
      <c r="V163" s="5"/>
    </row>
    <row r="164" spans="1:22" ht="15.6" x14ac:dyDescent="0.3">
      <c r="A164" s="24"/>
      <c r="B164" s="25" t="s">
        <v>57</v>
      </c>
      <c r="C164" s="25"/>
      <c r="D164" s="25"/>
      <c r="E164" s="25"/>
      <c r="F164" s="25"/>
      <c r="G164" s="25"/>
      <c r="H164" s="25"/>
      <c r="I164" s="25"/>
      <c r="J164" s="25"/>
      <c r="K164" s="25"/>
      <c r="L164" s="25"/>
      <c r="M164" s="25"/>
      <c r="N164" s="25"/>
      <c r="O164" s="25"/>
      <c r="P164" s="25"/>
      <c r="Q164" s="25"/>
      <c r="R164" s="25"/>
      <c r="S164" s="25"/>
      <c r="T164" s="53">
        <f>-T113</f>
        <v>2</v>
      </c>
      <c r="U164" s="25"/>
      <c r="V164" s="5"/>
    </row>
    <row r="165" spans="1:22" ht="15.6" x14ac:dyDescent="0.3">
      <c r="A165" s="24"/>
      <c r="B165" s="25" t="s">
        <v>58</v>
      </c>
      <c r="C165" s="25"/>
      <c r="D165" s="25"/>
      <c r="E165" s="25"/>
      <c r="F165" s="25"/>
      <c r="G165" s="25"/>
      <c r="H165" s="25"/>
      <c r="I165" s="25"/>
      <c r="J165" s="25"/>
      <c r="K165" s="25"/>
      <c r="L165" s="25"/>
      <c r="M165" s="25"/>
      <c r="N165" s="25"/>
      <c r="O165" s="25"/>
      <c r="P165" s="25"/>
      <c r="Q165" s="25"/>
      <c r="R165" s="25"/>
      <c r="S165" s="25"/>
      <c r="T165" s="53">
        <f>T164+T163</f>
        <v>2</v>
      </c>
      <c r="U165" s="25"/>
      <c r="V165" s="5"/>
    </row>
    <row r="166" spans="1:22" ht="15.6" x14ac:dyDescent="0.3">
      <c r="A166" s="24"/>
      <c r="B166" s="25" t="s">
        <v>309</v>
      </c>
      <c r="C166" s="25"/>
      <c r="D166" s="25"/>
      <c r="E166" s="25"/>
      <c r="F166" s="25"/>
      <c r="G166" s="25"/>
      <c r="H166" s="25"/>
      <c r="I166" s="25"/>
      <c r="J166" s="25"/>
      <c r="K166" s="25"/>
      <c r="L166" s="25"/>
      <c r="M166" s="25"/>
      <c r="N166" s="25"/>
      <c r="O166" s="25"/>
      <c r="P166" s="25"/>
      <c r="Q166" s="25"/>
      <c r="R166" s="25"/>
      <c r="S166" s="25"/>
      <c r="T166" s="53">
        <f>T113</f>
        <v>-2</v>
      </c>
      <c r="U166" s="25"/>
      <c r="V166" s="5"/>
    </row>
    <row r="167" spans="1:22" ht="15.6" x14ac:dyDescent="0.3">
      <c r="A167" s="24"/>
      <c r="B167" s="25" t="s">
        <v>59</v>
      </c>
      <c r="C167" s="25"/>
      <c r="D167" s="25"/>
      <c r="E167" s="25"/>
      <c r="F167" s="25"/>
      <c r="G167" s="25"/>
      <c r="H167" s="25"/>
      <c r="I167" s="25"/>
      <c r="J167" s="25"/>
      <c r="K167" s="25"/>
      <c r="L167" s="25"/>
      <c r="M167" s="25"/>
      <c r="N167" s="25"/>
      <c r="O167" s="25"/>
      <c r="P167" s="25"/>
      <c r="Q167" s="25"/>
      <c r="R167" s="25"/>
      <c r="S167" s="25"/>
      <c r="T167" s="53">
        <f>T165+T166</f>
        <v>0</v>
      </c>
      <c r="U167" s="25"/>
      <c r="V167" s="5"/>
    </row>
    <row r="168" spans="1:22" ht="16.2" thickBot="1" x14ac:dyDescent="0.35">
      <c r="A168" s="24"/>
      <c r="B168" s="25"/>
      <c r="C168" s="25"/>
      <c r="D168" s="25"/>
      <c r="E168" s="25"/>
      <c r="F168" s="25"/>
      <c r="G168" s="25"/>
      <c r="H168" s="25"/>
      <c r="I168" s="25"/>
      <c r="J168" s="25"/>
      <c r="K168" s="25"/>
      <c r="L168" s="25"/>
      <c r="M168" s="25"/>
      <c r="N168" s="25"/>
      <c r="O168" s="25"/>
      <c r="P168" s="25"/>
      <c r="Q168" s="25"/>
      <c r="R168" s="25"/>
      <c r="S168" s="25"/>
      <c r="T168" s="61"/>
      <c r="U168" s="25"/>
      <c r="V168" s="5"/>
    </row>
    <row r="169" spans="1:22" ht="15.6" x14ac:dyDescent="0.3">
      <c r="A169" s="2"/>
      <c r="B169" s="4"/>
      <c r="C169" s="4"/>
      <c r="D169" s="4"/>
      <c r="E169" s="4"/>
      <c r="F169" s="4"/>
      <c r="G169" s="4"/>
      <c r="H169" s="4"/>
      <c r="I169" s="4"/>
      <c r="J169" s="4"/>
      <c r="K169" s="4"/>
      <c r="L169" s="4"/>
      <c r="M169" s="4"/>
      <c r="N169" s="4"/>
      <c r="O169" s="4"/>
      <c r="P169" s="4"/>
      <c r="Q169" s="4"/>
      <c r="R169" s="4"/>
      <c r="S169" s="4"/>
      <c r="T169" s="50"/>
      <c r="U169" s="4"/>
      <c r="V169" s="5"/>
    </row>
    <row r="170" spans="1:22" ht="15.6" x14ac:dyDescent="0.3">
      <c r="A170" s="6"/>
      <c r="B170" s="120" t="s">
        <v>60</v>
      </c>
      <c r="C170" s="8"/>
      <c r="D170" s="8"/>
      <c r="E170" s="8"/>
      <c r="F170" s="8"/>
      <c r="G170" s="8"/>
      <c r="H170" s="8"/>
      <c r="I170" s="8"/>
      <c r="J170" s="8"/>
      <c r="K170" s="8"/>
      <c r="L170" s="8"/>
      <c r="M170" s="8"/>
      <c r="N170" s="8"/>
      <c r="O170" s="8"/>
      <c r="P170" s="8"/>
      <c r="Q170" s="8"/>
      <c r="R170" s="8"/>
      <c r="S170" s="8"/>
      <c r="T170" s="52"/>
      <c r="U170" s="8"/>
      <c r="V170" s="5"/>
    </row>
    <row r="171" spans="1:22" ht="15.6" x14ac:dyDescent="0.3">
      <c r="A171" s="6"/>
      <c r="B171" s="21"/>
      <c r="C171" s="8"/>
      <c r="D171" s="8"/>
      <c r="E171" s="8"/>
      <c r="F171" s="8"/>
      <c r="G171" s="8"/>
      <c r="H171" s="8"/>
      <c r="I171" s="8"/>
      <c r="J171" s="8"/>
      <c r="K171" s="8"/>
      <c r="L171" s="8"/>
      <c r="M171" s="8"/>
      <c r="N171" s="8"/>
      <c r="O171" s="8"/>
      <c r="P171" s="8"/>
      <c r="Q171" s="8"/>
      <c r="R171" s="8"/>
      <c r="S171" s="8"/>
      <c r="T171" s="52"/>
      <c r="U171" s="8"/>
      <c r="V171" s="5"/>
    </row>
    <row r="172" spans="1:22" ht="15.6" x14ac:dyDescent="0.3">
      <c r="A172" s="24"/>
      <c r="B172" s="25" t="s">
        <v>61</v>
      </c>
      <c r="C172" s="25"/>
      <c r="D172" s="25"/>
      <c r="E172" s="25"/>
      <c r="F172" s="25"/>
      <c r="G172" s="25"/>
      <c r="H172" s="25"/>
      <c r="I172" s="25"/>
      <c r="J172" s="25"/>
      <c r="K172" s="25"/>
      <c r="L172" s="25"/>
      <c r="M172" s="25"/>
      <c r="N172" s="25"/>
      <c r="O172" s="25"/>
      <c r="P172" s="25"/>
      <c r="Q172" s="25"/>
      <c r="R172" s="25"/>
      <c r="S172" s="25"/>
      <c r="T172" s="53">
        <f>T69</f>
        <v>389059</v>
      </c>
      <c r="U172" s="25"/>
      <c r="V172" s="5"/>
    </row>
    <row r="173" spans="1:22" ht="15.6" x14ac:dyDescent="0.3">
      <c r="A173" s="24"/>
      <c r="B173" s="25" t="s">
        <v>62</v>
      </c>
      <c r="C173" s="25"/>
      <c r="D173" s="25"/>
      <c r="E173" s="25"/>
      <c r="F173" s="25"/>
      <c r="G173" s="25"/>
      <c r="H173" s="25"/>
      <c r="I173" s="25"/>
      <c r="J173" s="25"/>
      <c r="K173" s="25"/>
      <c r="L173" s="25"/>
      <c r="M173" s="25"/>
      <c r="N173" s="25"/>
      <c r="O173" s="25"/>
      <c r="P173" s="25"/>
      <c r="Q173" s="25"/>
      <c r="R173" s="25"/>
      <c r="S173" s="25"/>
      <c r="T173" s="53">
        <f>T82</f>
        <v>389059</v>
      </c>
      <c r="U173" s="25"/>
      <c r="V173" s="5"/>
    </row>
    <row r="174" spans="1:22" ht="16.2" thickBot="1" x14ac:dyDescent="0.35">
      <c r="A174" s="24"/>
      <c r="B174" s="25"/>
      <c r="C174" s="25"/>
      <c r="D174" s="25"/>
      <c r="E174" s="25"/>
      <c r="F174" s="25"/>
      <c r="G174" s="25"/>
      <c r="H174" s="25"/>
      <c r="I174" s="25"/>
      <c r="J174" s="25"/>
      <c r="K174" s="25"/>
      <c r="L174" s="25"/>
      <c r="M174" s="25"/>
      <c r="N174" s="25"/>
      <c r="O174" s="25"/>
      <c r="P174" s="25"/>
      <c r="Q174" s="25"/>
      <c r="R174" s="25"/>
      <c r="S174" s="25"/>
      <c r="T174" s="61"/>
      <c r="U174" s="25"/>
      <c r="V174" s="5"/>
    </row>
    <row r="175" spans="1:22" ht="15.6" x14ac:dyDescent="0.3">
      <c r="A175" s="2"/>
      <c r="B175" s="4"/>
      <c r="C175" s="4"/>
      <c r="D175" s="4"/>
      <c r="E175" s="4"/>
      <c r="F175" s="4"/>
      <c r="G175" s="4"/>
      <c r="H175" s="4"/>
      <c r="I175" s="4"/>
      <c r="J175" s="4"/>
      <c r="K175" s="4"/>
      <c r="L175" s="4"/>
      <c r="M175" s="4"/>
      <c r="N175" s="4"/>
      <c r="O175" s="4"/>
      <c r="P175" s="4"/>
      <c r="Q175" s="4"/>
      <c r="R175" s="4"/>
      <c r="S175" s="4"/>
      <c r="T175" s="50"/>
      <c r="U175" s="4"/>
      <c r="V175" s="5"/>
    </row>
    <row r="176" spans="1:22" ht="15.6" x14ac:dyDescent="0.3">
      <c r="A176" s="6"/>
      <c r="B176" s="120" t="s">
        <v>63</v>
      </c>
      <c r="C176" s="118"/>
      <c r="D176" s="118"/>
      <c r="E176" s="118"/>
      <c r="F176" s="118"/>
      <c r="G176" s="118"/>
      <c r="H176" s="121"/>
      <c r="I176" s="121"/>
      <c r="J176" s="121"/>
      <c r="K176" s="121"/>
      <c r="L176" s="121"/>
      <c r="M176" s="121"/>
      <c r="N176" s="121"/>
      <c r="O176" s="121"/>
      <c r="P176" s="121"/>
      <c r="Q176" s="121" t="s">
        <v>107</v>
      </c>
      <c r="R176" s="121" t="s">
        <v>234</v>
      </c>
      <c r="S176" s="112"/>
      <c r="T176" s="122" t="s">
        <v>123</v>
      </c>
      <c r="U176" s="10"/>
      <c r="V176" s="5"/>
    </row>
    <row r="177" spans="1:22" ht="15.6" x14ac:dyDescent="0.3">
      <c r="A177" s="24"/>
      <c r="B177" s="25" t="s">
        <v>64</v>
      </c>
      <c r="C177" s="25"/>
      <c r="D177" s="25"/>
      <c r="E177" s="25"/>
      <c r="F177" s="25"/>
      <c r="G177" s="25"/>
      <c r="H177" s="25"/>
      <c r="I177" s="25"/>
      <c r="J177" s="25"/>
      <c r="K177" s="25"/>
      <c r="L177" s="25"/>
      <c r="M177" s="25"/>
      <c r="N177" s="25"/>
      <c r="O177" s="25"/>
      <c r="P177" s="25"/>
      <c r="Q177" s="53">
        <v>112000</v>
      </c>
      <c r="R177" s="40"/>
      <c r="S177" s="25"/>
      <c r="T177" s="53"/>
      <c r="U177" s="25"/>
      <c r="V177" s="5"/>
    </row>
    <row r="178" spans="1:22" ht="15.6" x14ac:dyDescent="0.3">
      <c r="A178" s="24"/>
      <c r="B178" s="25" t="s">
        <v>65</v>
      </c>
      <c r="C178" s="25"/>
      <c r="D178" s="25"/>
      <c r="E178" s="25"/>
      <c r="F178" s="25"/>
      <c r="G178" s="25"/>
      <c r="H178" s="25"/>
      <c r="I178" s="25"/>
      <c r="J178" s="25"/>
      <c r="K178" s="25"/>
      <c r="L178" s="25"/>
      <c r="M178" s="25"/>
      <c r="N178" s="25"/>
      <c r="O178" s="25"/>
      <c r="P178" s="25"/>
      <c r="Q178" s="53">
        <f>+'Jan 08'!Q180</f>
        <v>37600</v>
      </c>
      <c r="R178" s="53">
        <f>+'Jan 08'!R180</f>
        <v>2379</v>
      </c>
      <c r="S178" s="25"/>
      <c r="T178" s="53">
        <f>Q178+R178</f>
        <v>39979</v>
      </c>
      <c r="U178" s="25"/>
      <c r="V178" s="5"/>
    </row>
    <row r="179" spans="1:22" ht="15.6" x14ac:dyDescent="0.3">
      <c r="A179" s="24"/>
      <c r="B179" s="25" t="s">
        <v>66</v>
      </c>
      <c r="C179" s="25"/>
      <c r="D179" s="25"/>
      <c r="E179" s="25"/>
      <c r="F179" s="25"/>
      <c r="G179" s="25"/>
      <c r="H179" s="25"/>
      <c r="I179" s="25"/>
      <c r="J179" s="25"/>
      <c r="K179" s="25"/>
      <c r="L179" s="25"/>
      <c r="M179" s="25"/>
      <c r="N179" s="25"/>
      <c r="O179" s="25"/>
      <c r="P179" s="25"/>
      <c r="Q179" s="34">
        <f>1805+186</f>
        <v>1991</v>
      </c>
      <c r="R179" s="34">
        <v>5</v>
      </c>
      <c r="S179" s="25"/>
      <c r="T179" s="53">
        <f>Q179+R179</f>
        <v>1996</v>
      </c>
      <c r="U179" s="25"/>
      <c r="V179" s="5"/>
    </row>
    <row r="180" spans="1:22" ht="15.6" x14ac:dyDescent="0.3">
      <c r="A180" s="24"/>
      <c r="B180" s="25" t="s">
        <v>67</v>
      </c>
      <c r="C180" s="25"/>
      <c r="D180" s="25"/>
      <c r="E180" s="25"/>
      <c r="F180" s="25"/>
      <c r="G180" s="25"/>
      <c r="H180" s="25"/>
      <c r="I180" s="25"/>
      <c r="J180" s="25"/>
      <c r="K180" s="25"/>
      <c r="L180" s="25"/>
      <c r="M180" s="25"/>
      <c r="N180" s="25"/>
      <c r="O180" s="25"/>
      <c r="P180" s="25"/>
      <c r="Q180" s="53">
        <f>Q178+Q179</f>
        <v>39591</v>
      </c>
      <c r="R180" s="53">
        <f>R179+R178</f>
        <v>2384</v>
      </c>
      <c r="S180" s="25"/>
      <c r="T180" s="53">
        <f>Q180+R180</f>
        <v>41975</v>
      </c>
      <c r="U180" s="25"/>
      <c r="V180" s="5"/>
    </row>
    <row r="181" spans="1:22" ht="15.6" x14ac:dyDescent="0.3">
      <c r="A181" s="24"/>
      <c r="B181" s="25" t="s">
        <v>68</v>
      </c>
      <c r="C181" s="25"/>
      <c r="D181" s="25"/>
      <c r="E181" s="25"/>
      <c r="F181" s="25"/>
      <c r="G181" s="25"/>
      <c r="H181" s="25"/>
      <c r="I181" s="25"/>
      <c r="J181" s="25"/>
      <c r="K181" s="25"/>
      <c r="L181" s="25"/>
      <c r="M181" s="25"/>
      <c r="N181" s="25"/>
      <c r="O181" s="25"/>
      <c r="P181" s="25"/>
      <c r="Q181" s="53">
        <f>Q177-Q180-R180</f>
        <v>70025</v>
      </c>
      <c r="R181" s="40"/>
      <c r="S181" s="25"/>
      <c r="T181" s="53"/>
      <c r="U181" s="25"/>
      <c r="V181" s="5"/>
    </row>
    <row r="182" spans="1:22" ht="16.2" thickBot="1" x14ac:dyDescent="0.35">
      <c r="A182" s="24"/>
      <c r="B182" s="25"/>
      <c r="C182" s="25"/>
      <c r="D182" s="25"/>
      <c r="E182" s="25"/>
      <c r="F182" s="25"/>
      <c r="G182" s="25"/>
      <c r="H182" s="25"/>
      <c r="I182" s="25"/>
      <c r="J182" s="25"/>
      <c r="K182" s="25"/>
      <c r="L182" s="25"/>
      <c r="M182" s="25"/>
      <c r="N182" s="25"/>
      <c r="O182" s="25"/>
      <c r="P182" s="25"/>
      <c r="Q182" s="25"/>
      <c r="R182" s="25"/>
      <c r="S182" s="25"/>
      <c r="T182" s="61"/>
      <c r="U182" s="25"/>
      <c r="V182" s="5"/>
    </row>
    <row r="183" spans="1:22" ht="15.6" x14ac:dyDescent="0.3">
      <c r="A183" s="2"/>
      <c r="B183" s="4"/>
      <c r="C183" s="4"/>
      <c r="D183" s="4"/>
      <c r="E183" s="4"/>
      <c r="F183" s="4"/>
      <c r="G183" s="4"/>
      <c r="H183" s="4"/>
      <c r="I183" s="4"/>
      <c r="J183" s="4"/>
      <c r="K183" s="4"/>
      <c r="L183" s="4"/>
      <c r="M183" s="4"/>
      <c r="N183" s="4"/>
      <c r="O183" s="4"/>
      <c r="P183" s="4"/>
      <c r="Q183" s="4"/>
      <c r="R183" s="4"/>
      <c r="S183" s="4"/>
      <c r="T183" s="50"/>
      <c r="U183" s="4"/>
      <c r="V183" s="5"/>
    </row>
    <row r="184" spans="1:22" ht="15.6" x14ac:dyDescent="0.3">
      <c r="A184" s="6"/>
      <c r="B184" s="120" t="s">
        <v>69</v>
      </c>
      <c r="C184" s="8"/>
      <c r="D184" s="8"/>
      <c r="E184" s="8"/>
      <c r="F184" s="8"/>
      <c r="G184" s="8"/>
      <c r="H184" s="8"/>
      <c r="I184" s="8"/>
      <c r="J184" s="8"/>
      <c r="K184" s="8"/>
      <c r="L184" s="8"/>
      <c r="M184" s="8"/>
      <c r="N184" s="8"/>
      <c r="O184" s="8"/>
      <c r="P184" s="8"/>
      <c r="Q184" s="8"/>
      <c r="R184" s="8"/>
      <c r="S184" s="8"/>
      <c r="T184" s="65"/>
      <c r="U184" s="8"/>
      <c r="V184" s="5"/>
    </row>
    <row r="185" spans="1:22" ht="15.6" x14ac:dyDescent="0.3">
      <c r="A185" s="24"/>
      <c r="B185" s="25" t="s">
        <v>70</v>
      </c>
      <c r="C185" s="25"/>
      <c r="D185" s="25"/>
      <c r="E185" s="25"/>
      <c r="F185" s="25"/>
      <c r="G185" s="25"/>
      <c r="H185" s="25"/>
      <c r="I185" s="25"/>
      <c r="J185" s="25"/>
      <c r="K185" s="25"/>
      <c r="L185" s="25"/>
      <c r="M185" s="25"/>
      <c r="N185" s="25"/>
      <c r="O185" s="25"/>
      <c r="P185" s="25"/>
      <c r="Q185" s="25"/>
      <c r="R185" s="25"/>
      <c r="S185" s="25"/>
      <c r="T185" s="59">
        <f>(T98+T100+T101+T102+T103+T104)/-(T105+T106+T107)</f>
        <v>1.4333060556464812</v>
      </c>
      <c r="U185" s="25" t="s">
        <v>124</v>
      </c>
      <c r="V185" s="5"/>
    </row>
    <row r="186" spans="1:22" ht="15.6" x14ac:dyDescent="0.3">
      <c r="A186" s="24"/>
      <c r="B186" s="25" t="s">
        <v>71</v>
      </c>
      <c r="C186" s="25"/>
      <c r="D186" s="25"/>
      <c r="E186" s="25"/>
      <c r="F186" s="25"/>
      <c r="G186" s="25"/>
      <c r="H186" s="25"/>
      <c r="I186" s="25"/>
      <c r="J186" s="25"/>
      <c r="K186" s="25"/>
      <c r="L186" s="25"/>
      <c r="M186" s="25"/>
      <c r="N186" s="25"/>
      <c r="O186" s="25"/>
      <c r="P186" s="25"/>
      <c r="Q186" s="25"/>
      <c r="R186" s="25"/>
      <c r="S186" s="25"/>
      <c r="T186" s="66">
        <v>1.39</v>
      </c>
      <c r="U186" s="25" t="s">
        <v>124</v>
      </c>
      <c r="V186" s="5"/>
    </row>
    <row r="187" spans="1:22" ht="15.6" x14ac:dyDescent="0.3">
      <c r="A187" s="24"/>
      <c r="B187" s="25" t="s">
        <v>72</v>
      </c>
      <c r="C187" s="25"/>
      <c r="D187" s="25"/>
      <c r="E187" s="25"/>
      <c r="F187" s="25"/>
      <c r="G187" s="25"/>
      <c r="H187" s="25"/>
      <c r="I187" s="25"/>
      <c r="J187" s="25"/>
      <c r="K187" s="25"/>
      <c r="L187" s="25"/>
      <c r="M187" s="25"/>
      <c r="N187" s="25"/>
      <c r="O187" s="25"/>
      <c r="P187" s="25"/>
      <c r="Q187" s="25"/>
      <c r="R187" s="25"/>
      <c r="S187" s="25"/>
      <c r="T187" s="59">
        <f>(T98+T100+T101+T102+T103+T104+T105+T106+T107)/-(T108+T109)</f>
        <v>5.2817955112219455</v>
      </c>
      <c r="U187" s="25" t="s">
        <v>124</v>
      </c>
      <c r="V187" s="5"/>
    </row>
    <row r="188" spans="1:22" ht="15.6" x14ac:dyDescent="0.3">
      <c r="A188" s="24"/>
      <c r="B188" s="25" t="s">
        <v>73</v>
      </c>
      <c r="C188" s="25"/>
      <c r="D188" s="25"/>
      <c r="E188" s="25"/>
      <c r="F188" s="25"/>
      <c r="G188" s="25"/>
      <c r="H188" s="25"/>
      <c r="I188" s="25"/>
      <c r="J188" s="25"/>
      <c r="K188" s="25"/>
      <c r="L188" s="25"/>
      <c r="M188" s="25"/>
      <c r="N188" s="25"/>
      <c r="O188" s="25"/>
      <c r="P188" s="25"/>
      <c r="Q188" s="25"/>
      <c r="R188" s="25"/>
      <c r="S188" s="25"/>
      <c r="T188" s="67">
        <v>6.95</v>
      </c>
      <c r="U188" s="25" t="s">
        <v>124</v>
      </c>
      <c r="V188" s="5"/>
    </row>
    <row r="189" spans="1:22" ht="15.6" x14ac:dyDescent="0.3">
      <c r="A189" s="24"/>
      <c r="B189" s="25" t="s">
        <v>243</v>
      </c>
      <c r="C189" s="25"/>
      <c r="D189" s="25"/>
      <c r="E189" s="25"/>
      <c r="F189" s="25"/>
      <c r="G189" s="25"/>
      <c r="H189" s="25"/>
      <c r="I189" s="25"/>
      <c r="J189" s="25"/>
      <c r="K189" s="25"/>
      <c r="L189" s="25"/>
      <c r="M189" s="25"/>
      <c r="N189" s="25"/>
      <c r="O189" s="25"/>
      <c r="P189" s="25"/>
      <c r="Q189" s="25"/>
      <c r="R189" s="25"/>
      <c r="S189" s="25"/>
      <c r="T189" s="59">
        <f>(T98+T100+T101+T102+T103+T104+T105+T106+T107+T108+T109)/-(T110+T111)</f>
        <v>2.3202702702702704</v>
      </c>
      <c r="U189" s="25" t="s">
        <v>124</v>
      </c>
      <c r="V189" s="5"/>
    </row>
    <row r="190" spans="1:22" ht="15.6" x14ac:dyDescent="0.3">
      <c r="A190" s="24"/>
      <c r="B190" s="25" t="s">
        <v>244</v>
      </c>
      <c r="C190" s="25"/>
      <c r="D190" s="25"/>
      <c r="E190" s="25"/>
      <c r="F190" s="25"/>
      <c r="G190" s="25"/>
      <c r="H190" s="25"/>
      <c r="I190" s="25"/>
      <c r="J190" s="25"/>
      <c r="K190" s="25"/>
      <c r="L190" s="25"/>
      <c r="M190" s="25"/>
      <c r="N190" s="25"/>
      <c r="O190" s="25"/>
      <c r="P190" s="25"/>
      <c r="Q190" s="25"/>
      <c r="R190" s="25"/>
      <c r="S190" s="25"/>
      <c r="T190" s="67">
        <v>3.22</v>
      </c>
      <c r="U190" s="25" t="s">
        <v>124</v>
      </c>
      <c r="V190" s="5"/>
    </row>
    <row r="191" spans="1:22"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5"/>
    </row>
    <row r="193" spans="1:22" ht="15.6" x14ac:dyDescent="0.3">
      <c r="A193" s="6"/>
      <c r="B193" s="8"/>
      <c r="C193" s="8"/>
      <c r="D193" s="8"/>
      <c r="E193" s="8"/>
      <c r="F193" s="8"/>
      <c r="G193" s="8"/>
      <c r="H193" s="8"/>
      <c r="I193" s="8"/>
      <c r="J193" s="8"/>
      <c r="K193" s="8"/>
      <c r="L193" s="8"/>
      <c r="M193" s="8"/>
      <c r="N193" s="8"/>
      <c r="O193" s="8"/>
      <c r="P193" s="8"/>
      <c r="Q193" s="8"/>
      <c r="R193" s="8"/>
      <c r="S193" s="8"/>
      <c r="T193" s="8"/>
      <c r="U193" s="8"/>
      <c r="V193" s="5"/>
    </row>
    <row r="194" spans="1:22" ht="18" thickBot="1" x14ac:dyDescent="0.35">
      <c r="A194" s="102"/>
      <c r="B194" s="103" t="str">
        <f>B134</f>
        <v>PM9 INVESTOR REPORT QUARTER ENDING APRIL 2008</v>
      </c>
      <c r="C194" s="162"/>
      <c r="D194" s="162"/>
      <c r="E194" s="162"/>
      <c r="F194" s="162"/>
      <c r="G194" s="162"/>
      <c r="H194" s="162"/>
      <c r="I194" s="162"/>
      <c r="J194" s="162"/>
      <c r="K194" s="162"/>
      <c r="L194" s="162"/>
      <c r="M194" s="162"/>
      <c r="N194" s="162"/>
      <c r="O194" s="162"/>
      <c r="P194" s="162"/>
      <c r="Q194" s="162"/>
      <c r="R194" s="162"/>
      <c r="S194" s="162"/>
      <c r="T194" s="162"/>
      <c r="U194" s="163"/>
      <c r="V194" s="5"/>
    </row>
    <row r="195" spans="1:22" ht="15.6" x14ac:dyDescent="0.3">
      <c r="A195" s="68"/>
      <c r="B195" s="60" t="s">
        <v>74</v>
      </c>
      <c r="C195" s="69"/>
      <c r="D195" s="69"/>
      <c r="E195" s="69"/>
      <c r="F195" s="69"/>
      <c r="G195" s="70"/>
      <c r="H195" s="70"/>
      <c r="I195" s="70"/>
      <c r="J195" s="70"/>
      <c r="K195" s="70"/>
      <c r="L195" s="70"/>
      <c r="M195" s="70"/>
      <c r="N195" s="70"/>
      <c r="O195" s="70"/>
      <c r="P195" s="70"/>
      <c r="Q195" s="70"/>
      <c r="R195" s="71">
        <v>39568</v>
      </c>
      <c r="S195" s="4"/>
      <c r="T195" s="4"/>
      <c r="U195" s="4"/>
      <c r="V195" s="5"/>
    </row>
    <row r="196" spans="1:22" ht="15.6" x14ac:dyDescent="0.3">
      <c r="A196" s="72"/>
      <c r="B196" s="73"/>
      <c r="C196" s="74"/>
      <c r="D196" s="74"/>
      <c r="E196" s="74"/>
      <c r="F196" s="74"/>
      <c r="G196" s="75"/>
      <c r="H196" s="75"/>
      <c r="I196" s="75"/>
      <c r="J196" s="75"/>
      <c r="K196" s="75"/>
      <c r="L196" s="75"/>
      <c r="M196" s="75"/>
      <c r="N196" s="75"/>
      <c r="O196" s="75"/>
      <c r="P196" s="75"/>
      <c r="Q196" s="75"/>
      <c r="R196" s="75"/>
      <c r="S196" s="8"/>
      <c r="T196" s="8"/>
      <c r="U196" s="8"/>
      <c r="V196" s="5"/>
    </row>
    <row r="197" spans="1:22" ht="15.6" x14ac:dyDescent="0.3">
      <c r="A197" s="76"/>
      <c r="B197" s="77" t="s">
        <v>75</v>
      </c>
      <c r="C197" s="78"/>
      <c r="D197" s="78"/>
      <c r="E197" s="78"/>
      <c r="F197" s="78"/>
      <c r="G197" s="64"/>
      <c r="H197" s="64"/>
      <c r="I197" s="64"/>
      <c r="J197" s="64"/>
      <c r="K197" s="64"/>
      <c r="L197" s="64"/>
      <c r="M197" s="64"/>
      <c r="N197" s="64"/>
      <c r="O197" s="64"/>
      <c r="P197" s="64"/>
      <c r="Q197" s="64"/>
      <c r="R197" s="79">
        <v>5.8209999999999998E-2</v>
      </c>
      <c r="S197" s="25"/>
      <c r="T197" s="25"/>
      <c r="U197" s="25"/>
      <c r="V197" s="5"/>
    </row>
    <row r="198" spans="1:22" ht="15.6" x14ac:dyDescent="0.3">
      <c r="A198" s="76"/>
      <c r="B198" s="77" t="s">
        <v>164</v>
      </c>
      <c r="C198" s="78"/>
      <c r="D198" s="78"/>
      <c r="E198" s="78"/>
      <c r="F198" s="78"/>
      <c r="G198" s="64"/>
      <c r="H198" s="64"/>
      <c r="I198" s="64"/>
      <c r="J198" s="64"/>
      <c r="K198" s="64"/>
      <c r="L198" s="64"/>
      <c r="M198" s="64"/>
      <c r="N198" s="64"/>
      <c r="O198" s="64"/>
      <c r="P198" s="64"/>
      <c r="Q198" s="64"/>
      <c r="R198" s="39">
        <f>'Oct 05'!R193</f>
        <v>4.8438496428571419E-2</v>
      </c>
      <c r="S198" s="25"/>
      <c r="T198" s="25"/>
      <c r="U198" s="25"/>
      <c r="V198" s="5"/>
    </row>
    <row r="199" spans="1:22" ht="15.6" x14ac:dyDescent="0.3">
      <c r="A199" s="76"/>
      <c r="B199" s="77" t="s">
        <v>76</v>
      </c>
      <c r="C199" s="78"/>
      <c r="D199" s="78"/>
      <c r="E199" s="78"/>
      <c r="F199" s="78"/>
      <c r="G199" s="64"/>
      <c r="H199" s="64"/>
      <c r="I199" s="64"/>
      <c r="J199" s="64"/>
      <c r="K199" s="64"/>
      <c r="L199" s="64"/>
      <c r="M199" s="64"/>
      <c r="N199" s="64"/>
      <c r="O199" s="64"/>
      <c r="P199" s="64"/>
      <c r="Q199" s="64"/>
      <c r="R199" s="79">
        <f>R197-R198</f>
        <v>9.7715035714285789E-3</v>
      </c>
      <c r="S199" s="25"/>
      <c r="T199" s="25"/>
      <c r="U199" s="25"/>
      <c r="V199" s="5"/>
    </row>
    <row r="200" spans="1:22" ht="15.6" x14ac:dyDescent="0.3">
      <c r="A200" s="76"/>
      <c r="B200" s="77" t="s">
        <v>77</v>
      </c>
      <c r="C200" s="78"/>
      <c r="D200" s="78"/>
      <c r="E200" s="78"/>
      <c r="F200" s="78"/>
      <c r="G200" s="64"/>
      <c r="H200" s="64"/>
      <c r="I200" s="64"/>
      <c r="J200" s="64"/>
      <c r="K200" s="64"/>
      <c r="L200" s="64"/>
      <c r="M200" s="64"/>
      <c r="N200" s="64"/>
      <c r="O200" s="64"/>
      <c r="P200" s="64"/>
      <c r="Q200" s="64"/>
      <c r="R200" s="79">
        <v>6.5049999999999997E-2</v>
      </c>
      <c r="S200" s="25"/>
      <c r="T200" s="25"/>
      <c r="U200" s="25"/>
      <c r="V200" s="5"/>
    </row>
    <row r="201" spans="1:22" ht="15.6" x14ac:dyDescent="0.3">
      <c r="A201" s="76"/>
      <c r="B201" s="77" t="s">
        <v>257</v>
      </c>
      <c r="C201" s="78"/>
      <c r="D201" s="78"/>
      <c r="E201" s="78"/>
      <c r="F201" s="78"/>
      <c r="G201" s="64"/>
      <c r="H201" s="64"/>
      <c r="I201" s="64"/>
      <c r="J201" s="64"/>
      <c r="K201" s="64"/>
      <c r="L201" s="64"/>
      <c r="M201" s="64"/>
      <c r="N201" s="64"/>
      <c r="O201" s="64"/>
      <c r="P201" s="64"/>
      <c r="Q201" s="64"/>
      <c r="R201" s="79">
        <f>+T41</f>
        <v>5.8884909676757621E-2</v>
      </c>
      <c r="S201" s="25"/>
      <c r="T201" s="25"/>
      <c r="U201" s="25"/>
      <c r="V201" s="5"/>
    </row>
    <row r="202" spans="1:22" ht="15.6" x14ac:dyDescent="0.3">
      <c r="A202" s="76"/>
      <c r="B202" s="77" t="s">
        <v>78</v>
      </c>
      <c r="C202" s="78"/>
      <c r="D202" s="78"/>
      <c r="E202" s="78"/>
      <c r="F202" s="78"/>
      <c r="G202" s="64"/>
      <c r="H202" s="64"/>
      <c r="I202" s="64"/>
      <c r="J202" s="64"/>
      <c r="K202" s="64"/>
      <c r="L202" s="64"/>
      <c r="M202" s="64"/>
      <c r="N202" s="64"/>
      <c r="O202" s="64"/>
      <c r="P202" s="64"/>
      <c r="Q202" s="64"/>
      <c r="R202" s="79">
        <f>R200-R201</f>
        <v>6.1650903232423754E-3</v>
      </c>
      <c r="S202" s="25"/>
      <c r="T202" s="25"/>
      <c r="U202" s="25"/>
      <c r="V202" s="5"/>
    </row>
    <row r="203" spans="1:22" ht="15.6" x14ac:dyDescent="0.3">
      <c r="A203" s="76"/>
      <c r="B203" s="77" t="s">
        <v>268</v>
      </c>
      <c r="C203" s="78"/>
      <c r="D203" s="78"/>
      <c r="E203" s="78"/>
      <c r="F203" s="78"/>
      <c r="G203" s="64"/>
      <c r="H203" s="64"/>
      <c r="I203" s="64"/>
      <c r="J203" s="64"/>
      <c r="K203" s="64"/>
      <c r="L203" s="64"/>
      <c r="M203" s="64"/>
      <c r="N203" s="64"/>
      <c r="O203" s="64"/>
      <c r="P203" s="64"/>
      <c r="Q203" s="64"/>
      <c r="R203" s="79">
        <f>+T98/L69</f>
        <v>1.7375977037511498E-2</v>
      </c>
      <c r="S203" s="25"/>
      <c r="T203" s="25"/>
      <c r="U203" s="25"/>
      <c r="V203" s="5"/>
    </row>
    <row r="204" spans="1:22" ht="15.6" x14ac:dyDescent="0.3">
      <c r="A204" s="76"/>
      <c r="B204" s="77" t="s">
        <v>249</v>
      </c>
      <c r="C204" s="78"/>
      <c r="D204" s="78"/>
      <c r="E204" s="78"/>
      <c r="F204" s="78"/>
      <c r="G204" s="64"/>
      <c r="H204" s="64"/>
      <c r="I204" s="64"/>
      <c r="J204" s="64"/>
      <c r="K204" s="64"/>
      <c r="L204" s="64"/>
      <c r="M204" s="64"/>
      <c r="N204" s="64"/>
      <c r="O204" s="64"/>
      <c r="P204" s="64"/>
      <c r="Q204" s="64"/>
      <c r="R204" s="132">
        <v>51622</v>
      </c>
      <c r="S204" s="25"/>
      <c r="T204" s="25"/>
      <c r="U204" s="25"/>
      <c r="V204" s="5"/>
    </row>
    <row r="205" spans="1:22" ht="15.6" x14ac:dyDescent="0.3">
      <c r="A205" s="76"/>
      <c r="B205" s="77" t="s">
        <v>250</v>
      </c>
      <c r="C205" s="78"/>
      <c r="D205" s="78"/>
      <c r="E205" s="78"/>
      <c r="F205" s="78"/>
      <c r="G205" s="64"/>
      <c r="H205" s="64"/>
      <c r="I205" s="64"/>
      <c r="J205" s="64"/>
      <c r="K205" s="64"/>
      <c r="L205" s="64"/>
      <c r="M205" s="64"/>
      <c r="N205" s="64"/>
      <c r="O205" s="64"/>
      <c r="P205" s="64"/>
      <c r="Q205" s="64"/>
      <c r="R205" s="132">
        <v>51622</v>
      </c>
      <c r="S205" s="25"/>
      <c r="T205" s="25"/>
      <c r="U205" s="25"/>
      <c r="V205" s="5"/>
    </row>
    <row r="206" spans="1:22" ht="15.6" x14ac:dyDescent="0.3">
      <c r="A206" s="76"/>
      <c r="B206" s="77" t="s">
        <v>251</v>
      </c>
      <c r="C206" s="78"/>
      <c r="D206" s="78"/>
      <c r="E206" s="78"/>
      <c r="F206" s="78"/>
      <c r="G206" s="64"/>
      <c r="H206" s="64"/>
      <c r="I206" s="64"/>
      <c r="J206" s="64"/>
      <c r="K206" s="64"/>
      <c r="L206" s="64"/>
      <c r="M206" s="64"/>
      <c r="N206" s="64"/>
      <c r="O206" s="64"/>
      <c r="P206" s="64"/>
      <c r="Q206" s="64"/>
      <c r="R206" s="132">
        <v>51622</v>
      </c>
      <c r="S206" s="25"/>
      <c r="T206" s="25"/>
      <c r="U206" s="25"/>
      <c r="V206" s="5"/>
    </row>
    <row r="207" spans="1:22" ht="15.6" x14ac:dyDescent="0.3">
      <c r="A207" s="76"/>
      <c r="B207" s="77" t="s">
        <v>79</v>
      </c>
      <c r="C207" s="78"/>
      <c r="D207" s="78"/>
      <c r="E207" s="78"/>
      <c r="F207" s="78"/>
      <c r="G207" s="64"/>
      <c r="H207" s="64"/>
      <c r="I207" s="64"/>
      <c r="J207" s="64"/>
      <c r="K207" s="64"/>
      <c r="L207" s="64"/>
      <c r="M207" s="64"/>
      <c r="N207" s="64"/>
      <c r="O207" s="64"/>
      <c r="P207" s="64"/>
      <c r="Q207" s="64"/>
      <c r="R207" s="136">
        <v>20.95</v>
      </c>
      <c r="S207" s="25" t="s">
        <v>119</v>
      </c>
      <c r="T207" s="25"/>
      <c r="U207" s="25"/>
      <c r="V207" s="5"/>
    </row>
    <row r="208" spans="1:22" ht="15.6" x14ac:dyDescent="0.3">
      <c r="A208" s="76"/>
      <c r="B208" s="77" t="s">
        <v>80</v>
      </c>
      <c r="C208" s="78"/>
      <c r="D208" s="78"/>
      <c r="E208" s="78"/>
      <c r="F208" s="78"/>
      <c r="G208" s="64"/>
      <c r="H208" s="64"/>
      <c r="I208" s="64"/>
      <c r="J208" s="64"/>
      <c r="K208" s="64"/>
      <c r="L208" s="64"/>
      <c r="M208" s="64"/>
      <c r="N208" s="64"/>
      <c r="O208" s="64"/>
      <c r="P208" s="64"/>
      <c r="Q208" s="64"/>
      <c r="R208" s="136">
        <v>18.239999999999998</v>
      </c>
      <c r="S208" s="25" t="s">
        <v>119</v>
      </c>
      <c r="T208" s="25"/>
      <c r="U208" s="25"/>
      <c r="V208" s="5"/>
    </row>
    <row r="209" spans="1:22" ht="15.6" x14ac:dyDescent="0.3">
      <c r="A209" s="76"/>
      <c r="B209" s="77" t="s">
        <v>81</v>
      </c>
      <c r="C209" s="78"/>
      <c r="D209" s="78"/>
      <c r="E209" s="78"/>
      <c r="F209" s="78"/>
      <c r="G209" s="64"/>
      <c r="H209" s="64"/>
      <c r="I209" s="64"/>
      <c r="J209" s="64"/>
      <c r="K209" s="64"/>
      <c r="L209" s="64"/>
      <c r="M209" s="64"/>
      <c r="N209" s="64"/>
      <c r="O209" s="64"/>
      <c r="P209" s="64"/>
      <c r="Q209" s="64"/>
      <c r="R209" s="79">
        <f>+N66/L66</f>
        <v>6.8287878714909725E-2</v>
      </c>
      <c r="S209" s="25"/>
      <c r="T209" s="25"/>
      <c r="U209" s="25"/>
      <c r="V209" s="5"/>
    </row>
    <row r="210" spans="1:22" ht="15.6" x14ac:dyDescent="0.3">
      <c r="A210" s="76"/>
      <c r="B210" s="77" t="s">
        <v>82</v>
      </c>
      <c r="C210" s="78"/>
      <c r="D210" s="78"/>
      <c r="E210" s="78"/>
      <c r="F210" s="78"/>
      <c r="G210" s="64"/>
      <c r="H210" s="64"/>
      <c r="I210" s="64"/>
      <c r="J210" s="64"/>
      <c r="K210" s="64"/>
      <c r="L210" s="64"/>
      <c r="M210" s="64"/>
      <c r="N210" s="64"/>
      <c r="O210" s="64"/>
      <c r="P210" s="64"/>
      <c r="Q210" s="64"/>
      <c r="R210" s="79">
        <v>0.2109</v>
      </c>
      <c r="S210" s="25"/>
      <c r="T210" s="25"/>
      <c r="U210" s="25"/>
      <c r="V210" s="5"/>
    </row>
    <row r="211" spans="1:22" ht="15.6" x14ac:dyDescent="0.3">
      <c r="A211" s="76"/>
      <c r="B211" s="77"/>
      <c r="C211" s="77"/>
      <c r="D211" s="77"/>
      <c r="E211" s="77"/>
      <c r="F211" s="77"/>
      <c r="G211" s="25"/>
      <c r="H211" s="25"/>
      <c r="I211" s="25"/>
      <c r="J211" s="25"/>
      <c r="K211" s="25"/>
      <c r="L211" s="25"/>
      <c r="M211" s="25"/>
      <c r="N211" s="25"/>
      <c r="O211" s="25"/>
      <c r="P211" s="25"/>
      <c r="Q211" s="25"/>
      <c r="R211" s="61"/>
      <c r="S211" s="25"/>
      <c r="T211" s="80"/>
      <c r="U211" s="25"/>
      <c r="V211" s="5"/>
    </row>
    <row r="212" spans="1:22" ht="15.6" x14ac:dyDescent="0.3">
      <c r="A212" s="81"/>
      <c r="B212" s="14" t="s">
        <v>83</v>
      </c>
      <c r="C212" s="82"/>
      <c r="D212" s="82"/>
      <c r="E212" s="82"/>
      <c r="F212" s="83"/>
      <c r="G212" s="82"/>
      <c r="H212" s="17"/>
      <c r="I212" s="17"/>
      <c r="J212" s="17"/>
      <c r="K212" s="17"/>
      <c r="L212" s="17"/>
      <c r="M212" s="17"/>
      <c r="N212" s="17"/>
      <c r="O212" s="17"/>
      <c r="P212" s="17"/>
      <c r="Q212" s="17" t="s">
        <v>108</v>
      </c>
      <c r="R212" s="84" t="s">
        <v>115</v>
      </c>
      <c r="S212" s="8"/>
      <c r="T212" s="8"/>
      <c r="U212" s="8"/>
      <c r="V212" s="5"/>
    </row>
    <row r="213" spans="1:22" ht="15.6" x14ac:dyDescent="0.3">
      <c r="A213" s="85"/>
      <c r="B213" s="77" t="s">
        <v>84</v>
      </c>
      <c r="C213" s="54"/>
      <c r="D213" s="54"/>
      <c r="E213" s="54"/>
      <c r="F213" s="25"/>
      <c r="G213" s="25"/>
      <c r="H213" s="30"/>
      <c r="I213" s="30"/>
      <c r="J213" s="30"/>
      <c r="K213" s="30"/>
      <c r="L213" s="30"/>
      <c r="M213" s="30"/>
      <c r="N213" s="30"/>
      <c r="O213" s="30"/>
      <c r="P213" s="30"/>
      <c r="Q213" s="30">
        <v>0</v>
      </c>
      <c r="R213" s="86">
        <v>0</v>
      </c>
      <c r="S213" s="25"/>
      <c r="T213" s="80"/>
      <c r="U213" s="87"/>
      <c r="V213" s="5"/>
    </row>
    <row r="214" spans="1:22" ht="15.6" x14ac:dyDescent="0.3">
      <c r="A214" s="85"/>
      <c r="B214" s="77" t="s">
        <v>156</v>
      </c>
      <c r="C214" s="54"/>
      <c r="D214" s="54"/>
      <c r="E214" s="54"/>
      <c r="F214" s="25"/>
      <c r="G214" s="25"/>
      <c r="H214" s="30"/>
      <c r="I214" s="30"/>
      <c r="J214" s="30"/>
      <c r="K214" s="30"/>
      <c r="L214" s="30"/>
      <c r="M214" s="30"/>
      <c r="N214" s="30"/>
      <c r="O214" s="30"/>
      <c r="P214" s="30"/>
      <c r="Q214" s="156">
        <f>+P253</f>
        <v>42</v>
      </c>
      <c r="R214" s="86">
        <f>+R253</f>
        <v>6197</v>
      </c>
      <c r="S214" s="25"/>
      <c r="T214" s="80"/>
      <c r="U214" s="87"/>
      <c r="V214" s="5"/>
    </row>
    <row r="215" spans="1:22" ht="15.6" x14ac:dyDescent="0.3">
      <c r="A215" s="85"/>
      <c r="B215" s="77" t="s">
        <v>85</v>
      </c>
      <c r="C215" s="54"/>
      <c r="D215" s="54"/>
      <c r="E215" s="54"/>
      <c r="F215" s="25"/>
      <c r="G215" s="25"/>
      <c r="H215" s="30"/>
      <c r="I215" s="30"/>
      <c r="J215" s="30"/>
      <c r="K215" s="30"/>
      <c r="L215" s="30"/>
      <c r="M215" s="30"/>
      <c r="N215" s="30"/>
      <c r="O215" s="30"/>
      <c r="P215" s="30"/>
      <c r="Q215" s="30">
        <v>0</v>
      </c>
      <c r="R215" s="86">
        <v>0</v>
      </c>
      <c r="S215" s="25"/>
      <c r="T215" s="80"/>
      <c r="U215" s="87"/>
      <c r="V215" s="5"/>
    </row>
    <row r="216" spans="1:22" ht="15.6" x14ac:dyDescent="0.3">
      <c r="A216" s="85"/>
      <c r="B216" s="123" t="s">
        <v>86</v>
      </c>
      <c r="C216" s="54"/>
      <c r="D216" s="54"/>
      <c r="E216" s="54"/>
      <c r="F216" s="25"/>
      <c r="G216" s="25"/>
      <c r="H216" s="25"/>
      <c r="I216" s="25"/>
      <c r="J216" s="25"/>
      <c r="K216" s="25"/>
      <c r="L216" s="25"/>
      <c r="M216" s="25"/>
      <c r="N216" s="25"/>
      <c r="O216" s="25"/>
      <c r="P216" s="25"/>
      <c r="Q216" s="25"/>
      <c r="R216" s="86">
        <v>0</v>
      </c>
      <c r="S216" s="25"/>
      <c r="T216" s="80"/>
      <c r="U216" s="87"/>
      <c r="V216" s="5"/>
    </row>
    <row r="217" spans="1:22" ht="15.6" x14ac:dyDescent="0.3">
      <c r="A217" s="85"/>
      <c r="B217" s="123" t="s">
        <v>87</v>
      </c>
      <c r="C217" s="54"/>
      <c r="D217" s="54"/>
      <c r="E217" s="54"/>
      <c r="F217" s="25"/>
      <c r="G217" s="25"/>
      <c r="H217" s="25"/>
      <c r="I217" s="25"/>
      <c r="J217" s="25"/>
      <c r="K217" s="25"/>
      <c r="L217" s="25"/>
      <c r="M217" s="25"/>
      <c r="N217" s="25"/>
      <c r="O217" s="25"/>
      <c r="P217" s="25"/>
      <c r="Q217" s="25"/>
      <c r="R217" s="62" t="s">
        <v>116</v>
      </c>
      <c r="S217" s="25"/>
      <c r="T217" s="80"/>
      <c r="U217" s="87"/>
      <c r="V217" s="5"/>
    </row>
    <row r="218" spans="1:22" ht="15.6" x14ac:dyDescent="0.3">
      <c r="A218" s="88"/>
      <c r="B218" s="123" t="s">
        <v>88</v>
      </c>
      <c r="C218" s="77"/>
      <c r="D218" s="77"/>
      <c r="E218" s="77"/>
      <c r="F218" s="77"/>
      <c r="G218" s="25"/>
      <c r="H218" s="25"/>
      <c r="I218" s="25"/>
      <c r="J218" s="25"/>
      <c r="K218" s="25"/>
      <c r="L218" s="25"/>
      <c r="M218" s="25"/>
      <c r="N218" s="25"/>
      <c r="O218" s="25"/>
      <c r="P218" s="25"/>
      <c r="Q218" s="25"/>
      <c r="R218" s="86"/>
      <c r="S218" s="25"/>
      <c r="T218" s="80"/>
      <c r="U218" s="89"/>
      <c r="V218" s="5"/>
    </row>
    <row r="219" spans="1:22" ht="15.6" x14ac:dyDescent="0.3">
      <c r="A219" s="88"/>
      <c r="B219" s="134" t="s">
        <v>89</v>
      </c>
      <c r="C219" s="77"/>
      <c r="D219" s="77"/>
      <c r="E219" s="77"/>
      <c r="F219" s="77"/>
      <c r="G219" s="25"/>
      <c r="H219" s="25"/>
      <c r="I219" s="25"/>
      <c r="J219" s="25"/>
      <c r="K219" s="25"/>
      <c r="L219" s="25"/>
      <c r="M219" s="25"/>
      <c r="N219" s="25"/>
      <c r="O219" s="25"/>
      <c r="P219" s="25"/>
      <c r="Q219" s="30"/>
      <c r="R219" s="86">
        <f>T164</f>
        <v>2</v>
      </c>
      <c r="S219" s="25"/>
      <c r="T219" s="80"/>
      <c r="U219" s="89"/>
      <c r="V219" s="5"/>
    </row>
    <row r="220" spans="1:22" ht="15.6" x14ac:dyDescent="0.3">
      <c r="A220" s="85"/>
      <c r="B220" s="77" t="s">
        <v>90</v>
      </c>
      <c r="C220" s="54"/>
      <c r="D220" s="54"/>
      <c r="E220" s="54"/>
      <c r="F220" s="54"/>
      <c r="G220" s="25"/>
      <c r="H220" s="25"/>
      <c r="I220" s="25"/>
      <c r="J220" s="25"/>
      <c r="K220" s="25"/>
      <c r="L220" s="25"/>
      <c r="M220" s="25"/>
      <c r="N220" s="25"/>
      <c r="O220" s="25"/>
      <c r="P220" s="25"/>
      <c r="Q220" s="30"/>
      <c r="R220" s="86">
        <f>'Jan 08'!R220+'April 08'!R219</f>
        <v>334</v>
      </c>
      <c r="S220" s="25"/>
      <c r="T220" s="80"/>
      <c r="U220" s="89"/>
      <c r="V220" s="5"/>
    </row>
    <row r="221" spans="1:22" ht="15.6" x14ac:dyDescent="0.3">
      <c r="A221" s="88"/>
      <c r="B221" s="123" t="s">
        <v>288</v>
      </c>
      <c r="C221" s="77"/>
      <c r="D221" s="77"/>
      <c r="E221" s="77"/>
      <c r="F221" s="77"/>
      <c r="G221" s="25"/>
      <c r="H221" s="25"/>
      <c r="I221" s="25"/>
      <c r="J221" s="25"/>
      <c r="K221" s="25"/>
      <c r="L221" s="25"/>
      <c r="M221" s="25"/>
      <c r="N221" s="25"/>
      <c r="O221" s="25"/>
      <c r="P221" s="25"/>
      <c r="Q221" s="30"/>
      <c r="R221" s="86"/>
      <c r="S221" s="25"/>
      <c r="T221" s="80"/>
      <c r="U221" s="89"/>
      <c r="V221" s="5"/>
    </row>
    <row r="222" spans="1:22" ht="15.6" x14ac:dyDescent="0.3">
      <c r="A222" s="88"/>
      <c r="B222" s="77" t="s">
        <v>286</v>
      </c>
      <c r="C222" s="77"/>
      <c r="D222" s="77"/>
      <c r="E222" s="77"/>
      <c r="F222" s="77"/>
      <c r="G222" s="25"/>
      <c r="H222" s="25"/>
      <c r="I222" s="25"/>
      <c r="J222" s="25"/>
      <c r="K222" s="25"/>
      <c r="L222" s="25"/>
      <c r="M222" s="25"/>
      <c r="N222" s="25"/>
      <c r="O222" s="25"/>
      <c r="P222" s="25"/>
      <c r="Q222" s="30">
        <v>0</v>
      </c>
      <c r="R222" s="86">
        <v>0</v>
      </c>
      <c r="S222" s="25"/>
      <c r="T222" s="80"/>
      <c r="U222" s="89"/>
      <c r="V222" s="5"/>
    </row>
    <row r="223" spans="1:22" ht="15.6" x14ac:dyDescent="0.3">
      <c r="A223" s="85"/>
      <c r="B223" s="77" t="s">
        <v>92</v>
      </c>
      <c r="C223" s="90"/>
      <c r="D223" s="90"/>
      <c r="E223" s="90"/>
      <c r="F223" s="91"/>
      <c r="G223" s="25"/>
      <c r="H223" s="25"/>
      <c r="I223" s="25"/>
      <c r="J223" s="25"/>
      <c r="K223" s="25"/>
      <c r="L223" s="25"/>
      <c r="M223" s="25"/>
      <c r="N223" s="25"/>
      <c r="O223" s="25"/>
      <c r="P223" s="25"/>
      <c r="Q223" s="30"/>
      <c r="R223" s="62">
        <v>0</v>
      </c>
      <c r="S223" s="25"/>
      <c r="T223" s="80"/>
      <c r="U223" s="89"/>
      <c r="V223" s="5"/>
    </row>
    <row r="224" spans="1:22" ht="15.6" x14ac:dyDescent="0.3">
      <c r="A224" s="85"/>
      <c r="B224" s="77" t="s">
        <v>93</v>
      </c>
      <c r="C224" s="90"/>
      <c r="D224" s="90"/>
      <c r="E224" s="90"/>
      <c r="F224" s="91"/>
      <c r="G224" s="25"/>
      <c r="H224" s="25"/>
      <c r="I224" s="25"/>
      <c r="J224" s="25"/>
      <c r="K224" s="25"/>
      <c r="L224" s="25"/>
      <c r="M224" s="25"/>
      <c r="N224" s="25"/>
      <c r="O224" s="25"/>
      <c r="P224" s="25"/>
      <c r="Q224" s="30"/>
      <c r="R224" s="62">
        <v>0</v>
      </c>
      <c r="S224" s="25"/>
      <c r="T224" s="80"/>
      <c r="U224" s="89"/>
      <c r="V224" s="5"/>
    </row>
    <row r="225" spans="1:23" ht="15.6" x14ac:dyDescent="0.3">
      <c r="A225" s="85"/>
      <c r="B225" s="123" t="s">
        <v>258</v>
      </c>
      <c r="C225" s="90"/>
      <c r="D225" s="90"/>
      <c r="E225" s="90"/>
      <c r="F225" s="91"/>
      <c r="G225" s="25"/>
      <c r="H225" s="25"/>
      <c r="I225" s="25"/>
      <c r="J225" s="25"/>
      <c r="K225" s="25"/>
      <c r="L225" s="25"/>
      <c r="M225" s="25"/>
      <c r="N225" s="25"/>
      <c r="O225" s="25"/>
      <c r="P225" s="25"/>
      <c r="Q225" s="30"/>
      <c r="R225" s="92"/>
      <c r="S225" s="25"/>
      <c r="T225" s="80"/>
      <c r="U225" s="89"/>
      <c r="V225" s="5"/>
    </row>
    <row r="226" spans="1:23" ht="15.6" x14ac:dyDescent="0.3">
      <c r="A226" s="85"/>
      <c r="B226" s="77" t="s">
        <v>286</v>
      </c>
      <c r="C226" s="90"/>
      <c r="D226" s="90"/>
      <c r="E226" s="90"/>
      <c r="F226" s="91"/>
      <c r="G226" s="25"/>
      <c r="H226" s="25"/>
      <c r="I226" s="25"/>
      <c r="J226" s="25"/>
      <c r="K226" s="25"/>
      <c r="L226" s="25"/>
      <c r="M226" s="25"/>
      <c r="N226" s="25"/>
      <c r="O226" s="25"/>
      <c r="P226" s="25"/>
      <c r="Q226" s="30">
        <v>1</v>
      </c>
      <c r="R226" s="86">
        <v>60</v>
      </c>
      <c r="S226" s="25"/>
      <c r="T226" s="80"/>
      <c r="U226" s="89"/>
      <c r="V226" s="5"/>
    </row>
    <row r="227" spans="1:23" ht="15.6" x14ac:dyDescent="0.3">
      <c r="A227" s="85"/>
      <c r="B227" s="77" t="s">
        <v>259</v>
      </c>
      <c r="C227" s="90"/>
      <c r="D227" s="90"/>
      <c r="E227" s="90"/>
      <c r="F227" s="91"/>
      <c r="G227" s="25"/>
      <c r="H227" s="25"/>
      <c r="I227" s="25"/>
      <c r="J227" s="25"/>
      <c r="K227" s="25"/>
      <c r="L227" s="25"/>
      <c r="M227" s="25"/>
      <c r="N227" s="25"/>
      <c r="O227" s="25"/>
      <c r="P227" s="25"/>
      <c r="Q227" s="25"/>
      <c r="R227" s="62">
        <v>1</v>
      </c>
      <c r="S227" s="25"/>
      <c r="T227" s="80"/>
      <c r="U227" s="89"/>
      <c r="V227" s="5"/>
    </row>
    <row r="228" spans="1:23" ht="15.6" x14ac:dyDescent="0.3">
      <c r="A228" s="85"/>
      <c r="B228" s="77"/>
      <c r="C228" s="90"/>
      <c r="D228" s="90"/>
      <c r="E228" s="90"/>
      <c r="F228" s="91"/>
      <c r="G228" s="25"/>
      <c r="H228" s="25"/>
      <c r="I228" s="25"/>
      <c r="J228" s="25"/>
      <c r="K228" s="25"/>
      <c r="L228" s="25"/>
      <c r="M228" s="25"/>
      <c r="N228" s="25"/>
      <c r="O228" s="25"/>
      <c r="P228" s="25"/>
      <c r="Q228" s="25"/>
      <c r="R228" s="92"/>
      <c r="S228" s="25"/>
      <c r="T228" s="80"/>
      <c r="U228" s="89"/>
      <c r="V228" s="5"/>
    </row>
    <row r="229" spans="1:23" ht="17.399999999999999" x14ac:dyDescent="0.3">
      <c r="A229" s="85"/>
      <c r="B229" s="153" t="s">
        <v>208</v>
      </c>
      <c r="C229" s="90"/>
      <c r="D229" s="90"/>
      <c r="E229" s="90"/>
      <c r="F229" s="91"/>
      <c r="G229" s="25"/>
      <c r="H229" s="25"/>
      <c r="I229" s="25"/>
      <c r="J229" s="25"/>
      <c r="K229" s="25"/>
      <c r="L229" s="25"/>
      <c r="M229" s="25"/>
      <c r="N229" s="154" t="s">
        <v>207</v>
      </c>
      <c r="O229" s="25"/>
      <c r="P229" s="25"/>
      <c r="Q229" s="25"/>
      <c r="R229" s="92"/>
      <c r="S229" s="25"/>
      <c r="T229" s="80"/>
      <c r="U229" s="89"/>
      <c r="V229" s="5"/>
    </row>
    <row r="230" spans="1:23" ht="15.6" x14ac:dyDescent="0.3">
      <c r="A230" s="85"/>
      <c r="B230" s="77"/>
      <c r="C230" s="90"/>
      <c r="D230" s="90"/>
      <c r="E230" s="90"/>
      <c r="F230" s="91"/>
      <c r="G230" s="25"/>
      <c r="H230" s="25"/>
      <c r="I230" s="25"/>
      <c r="J230" s="25"/>
      <c r="K230" s="25"/>
      <c r="L230" s="25"/>
      <c r="M230" s="25"/>
      <c r="N230" s="25"/>
      <c r="O230" s="25"/>
      <c r="P230" s="25"/>
      <c r="Q230" s="25"/>
      <c r="R230" s="92"/>
      <c r="S230" s="25"/>
      <c r="T230" s="80"/>
      <c r="U230" s="89"/>
      <c r="V230" s="5"/>
    </row>
    <row r="231" spans="1:23" ht="15.6" x14ac:dyDescent="0.3">
      <c r="A231" s="6"/>
      <c r="B231" s="14" t="s">
        <v>177</v>
      </c>
      <c r="C231" s="82"/>
      <c r="D231" s="82"/>
      <c r="E231" s="82"/>
      <c r="F231" s="83"/>
      <c r="G231" s="82"/>
      <c r="H231" s="17"/>
      <c r="I231" s="17"/>
      <c r="J231" s="17"/>
      <c r="K231" s="17"/>
      <c r="L231" s="17"/>
      <c r="M231" s="17"/>
      <c r="N231" s="17"/>
      <c r="O231" s="17"/>
      <c r="P231" s="84" t="s">
        <v>108</v>
      </c>
      <c r="Q231" s="17" t="s">
        <v>109</v>
      </c>
      <c r="R231" s="84" t="s">
        <v>117</v>
      </c>
      <c r="S231" s="17" t="s">
        <v>109</v>
      </c>
      <c r="T231" s="8"/>
      <c r="U231" s="93"/>
      <c r="V231" s="5"/>
    </row>
    <row r="232" spans="1:23" ht="15.6" x14ac:dyDescent="0.3">
      <c r="A232" s="24"/>
      <c r="B232" s="54" t="s">
        <v>94</v>
      </c>
      <c r="C232" s="94"/>
      <c r="D232" s="94"/>
      <c r="E232" s="94"/>
      <c r="F232" s="25"/>
      <c r="G232" s="94"/>
      <c r="H232" s="94"/>
      <c r="I232" s="94"/>
      <c r="J232" s="94"/>
      <c r="K232" s="94"/>
      <c r="L232" s="94"/>
      <c r="M232" s="94"/>
      <c r="N232" s="94"/>
      <c r="O232" s="94"/>
      <c r="P232" s="54">
        <v>3237</v>
      </c>
      <c r="Q232" s="95">
        <f t="shared" ref="Q232:Q239" si="1">P232/$P$241</f>
        <v>0.98061193577703731</v>
      </c>
      <c r="R232" s="53">
        <v>376168</v>
      </c>
      <c r="S232" s="135">
        <f t="shared" ref="S232:S239" si="2">R232/$R$241</f>
        <v>0.98251589345508306</v>
      </c>
      <c r="T232" s="80"/>
      <c r="U232" s="89"/>
      <c r="V232" s="5"/>
    </row>
    <row r="233" spans="1:23" ht="15.6" x14ac:dyDescent="0.3">
      <c r="A233" s="24"/>
      <c r="B233" s="54" t="s">
        <v>95</v>
      </c>
      <c r="C233" s="94"/>
      <c r="D233" s="94"/>
      <c r="E233" s="94"/>
      <c r="F233" s="25"/>
      <c r="G233" s="95"/>
      <c r="H233" s="94"/>
      <c r="I233" s="94"/>
      <c r="J233" s="94"/>
      <c r="K233" s="94"/>
      <c r="L233" s="94"/>
      <c r="M233" s="94"/>
      <c r="N233" s="94"/>
      <c r="O233" s="94"/>
      <c r="P233" s="54">
        <v>31</v>
      </c>
      <c r="Q233" s="95">
        <f t="shared" si="1"/>
        <v>9.3910936079975773E-3</v>
      </c>
      <c r="R233" s="53">
        <v>2962</v>
      </c>
      <c r="S233" s="135">
        <f t="shared" si="2"/>
        <v>7.7364690149453325E-3</v>
      </c>
      <c r="T233" s="80"/>
      <c r="U233" s="89"/>
      <c r="V233" s="5"/>
      <c r="W233" s="110"/>
    </row>
    <row r="234" spans="1:23" ht="15.6" x14ac:dyDescent="0.3">
      <c r="A234" s="24"/>
      <c r="B234" s="54" t="s">
        <v>96</v>
      </c>
      <c r="C234" s="94"/>
      <c r="D234" s="94"/>
      <c r="E234" s="94"/>
      <c r="F234" s="25"/>
      <c r="G234" s="95"/>
      <c r="H234" s="94"/>
      <c r="I234" s="94"/>
      <c r="J234" s="94"/>
      <c r="K234" s="94"/>
      <c r="L234" s="94"/>
      <c r="M234" s="94"/>
      <c r="N234" s="94"/>
      <c r="O234" s="94"/>
      <c r="P234" s="54">
        <v>33</v>
      </c>
      <c r="Q234" s="95">
        <f t="shared" si="1"/>
        <v>9.9969706149651612E-3</v>
      </c>
      <c r="R234" s="53">
        <v>3732</v>
      </c>
      <c r="S234" s="135">
        <f t="shared" si="2"/>
        <v>9.7476375299716343E-3</v>
      </c>
      <c r="T234" s="80"/>
      <c r="U234" s="89"/>
      <c r="V234" s="5"/>
    </row>
    <row r="235" spans="1:23" ht="15.6" x14ac:dyDescent="0.3">
      <c r="A235" s="24"/>
      <c r="B235" s="54" t="s">
        <v>171</v>
      </c>
      <c r="C235" s="94"/>
      <c r="D235" s="94"/>
      <c r="E235" s="94"/>
      <c r="F235" s="25"/>
      <c r="G235" s="95"/>
      <c r="H235" s="94"/>
      <c r="I235" s="94"/>
      <c r="J235" s="94"/>
      <c r="K235" s="94"/>
      <c r="L235" s="94"/>
      <c r="M235" s="94"/>
      <c r="N235" s="94"/>
      <c r="O235" s="94"/>
      <c r="P235" s="54">
        <v>0</v>
      </c>
      <c r="Q235" s="95">
        <f t="shared" si="1"/>
        <v>0</v>
      </c>
      <c r="R235" s="53">
        <v>0</v>
      </c>
      <c r="S235" s="135">
        <f t="shared" si="2"/>
        <v>0</v>
      </c>
      <c r="T235" s="80"/>
      <c r="U235" s="89"/>
      <c r="V235" s="5"/>
      <c r="W235" s="110"/>
    </row>
    <row r="236" spans="1:23" ht="15.6" x14ac:dyDescent="0.3">
      <c r="A236" s="24"/>
      <c r="B236" s="54" t="s">
        <v>172</v>
      </c>
      <c r="C236" s="94"/>
      <c r="D236" s="94"/>
      <c r="E236" s="94"/>
      <c r="F236" s="25"/>
      <c r="G236" s="95"/>
      <c r="H236" s="94"/>
      <c r="I236" s="94"/>
      <c r="J236" s="94"/>
      <c r="K236" s="94"/>
      <c r="L236" s="94"/>
      <c r="M236" s="94"/>
      <c r="N236" s="94"/>
      <c r="O236" s="94"/>
      <c r="P236" s="54">
        <v>0</v>
      </c>
      <c r="Q236" s="95">
        <f t="shared" si="1"/>
        <v>0</v>
      </c>
      <c r="R236" s="53">
        <v>0</v>
      </c>
      <c r="S236" s="135">
        <f t="shared" si="2"/>
        <v>0</v>
      </c>
      <c r="T236" s="80"/>
      <c r="U236" s="89"/>
      <c r="V236" s="5"/>
    </row>
    <row r="237" spans="1:23" ht="15.6" x14ac:dyDescent="0.3">
      <c r="A237" s="24"/>
      <c r="B237" s="54" t="s">
        <v>173</v>
      </c>
      <c r="C237" s="94"/>
      <c r="D237" s="94"/>
      <c r="E237" s="94"/>
      <c r="F237" s="25"/>
      <c r="G237" s="95"/>
      <c r="H237" s="94"/>
      <c r="I237" s="94"/>
      <c r="J237" s="94"/>
      <c r="K237" s="94"/>
      <c r="L237" s="94"/>
      <c r="M237" s="94"/>
      <c r="N237" s="94"/>
      <c r="O237" s="94"/>
      <c r="P237" s="54">
        <v>0</v>
      </c>
      <c r="Q237" s="95">
        <f t="shared" si="1"/>
        <v>0</v>
      </c>
      <c r="R237" s="53">
        <v>0</v>
      </c>
      <c r="S237" s="135">
        <f t="shared" si="2"/>
        <v>0</v>
      </c>
      <c r="T237" s="80"/>
      <c r="U237" s="89"/>
      <c r="V237" s="5"/>
      <c r="W237" s="110"/>
    </row>
    <row r="238" spans="1:23" ht="15.6" x14ac:dyDescent="0.3">
      <c r="A238" s="24"/>
      <c r="B238" s="54" t="s">
        <v>174</v>
      </c>
      <c r="C238" s="94"/>
      <c r="D238" s="94"/>
      <c r="E238" s="94"/>
      <c r="F238" s="25"/>
      <c r="G238" s="95"/>
      <c r="H238" s="94"/>
      <c r="I238" s="94"/>
      <c r="J238" s="94"/>
      <c r="K238" s="94"/>
      <c r="L238" s="94"/>
      <c r="M238" s="94"/>
      <c r="N238" s="94"/>
      <c r="O238" s="94"/>
      <c r="P238" s="54">
        <v>0</v>
      </c>
      <c r="Q238" s="95">
        <f t="shared" si="1"/>
        <v>0</v>
      </c>
      <c r="R238" s="53">
        <v>0</v>
      </c>
      <c r="S238" s="135">
        <f t="shared" si="2"/>
        <v>0</v>
      </c>
      <c r="T238" s="80"/>
      <c r="U238" s="89"/>
      <c r="V238" s="5"/>
    </row>
    <row r="239" spans="1:23" ht="15.6" x14ac:dyDescent="0.3">
      <c r="A239" s="24"/>
      <c r="B239" s="54" t="s">
        <v>175</v>
      </c>
      <c r="C239" s="94"/>
      <c r="D239" s="94"/>
      <c r="E239" s="94"/>
      <c r="F239" s="25"/>
      <c r="G239" s="95"/>
      <c r="H239" s="94"/>
      <c r="I239" s="94"/>
      <c r="J239" s="94"/>
      <c r="K239" s="94"/>
      <c r="L239" s="94"/>
      <c r="M239" s="94"/>
      <c r="N239" s="94"/>
      <c r="O239" s="94"/>
      <c r="P239" s="54">
        <v>0</v>
      </c>
      <c r="Q239" s="95">
        <f t="shared" si="1"/>
        <v>0</v>
      </c>
      <c r="R239" s="53">
        <v>0</v>
      </c>
      <c r="S239" s="135">
        <f t="shared" si="2"/>
        <v>0</v>
      </c>
      <c r="T239" s="80"/>
      <c r="U239" s="89"/>
      <c r="V239" s="5"/>
      <c r="W239" s="110"/>
    </row>
    <row r="240" spans="1:23" ht="15.6" x14ac:dyDescent="0.3">
      <c r="A240" s="24"/>
      <c r="B240" s="54"/>
      <c r="C240" s="94"/>
      <c r="D240" s="94"/>
      <c r="E240" s="94"/>
      <c r="F240" s="25"/>
      <c r="G240" s="95"/>
      <c r="H240" s="94"/>
      <c r="I240" s="94"/>
      <c r="J240" s="94"/>
      <c r="K240" s="94"/>
      <c r="L240" s="94"/>
      <c r="M240" s="94"/>
      <c r="N240" s="94"/>
      <c r="O240" s="94"/>
      <c r="P240" s="54"/>
      <c r="Q240" s="95"/>
      <c r="R240" s="53"/>
      <c r="S240" s="135"/>
      <c r="T240" s="80"/>
      <c r="U240" s="89"/>
      <c r="V240" s="5"/>
    </row>
    <row r="241" spans="1:22" ht="15.6" x14ac:dyDescent="0.3">
      <c r="A241" s="24"/>
      <c r="B241" s="25"/>
      <c r="C241" s="25"/>
      <c r="D241" s="25"/>
      <c r="E241" s="25"/>
      <c r="F241" s="25"/>
      <c r="G241" s="25"/>
      <c r="H241" s="96"/>
      <c r="I241" s="96"/>
      <c r="J241" s="96"/>
      <c r="K241" s="96"/>
      <c r="L241" s="96"/>
      <c r="M241" s="96"/>
      <c r="N241" s="96"/>
      <c r="O241" s="96"/>
      <c r="P241" s="34">
        <f>SUM(P232:P240)</f>
        <v>3301</v>
      </c>
      <c r="Q241" s="135">
        <f>SUM(Q232:Q240)</f>
        <v>1</v>
      </c>
      <c r="R241" s="53">
        <f>SUM(R232:R240)</f>
        <v>382862</v>
      </c>
      <c r="S241" s="135">
        <f>SUM(S232:S240)</f>
        <v>1</v>
      </c>
      <c r="T241" s="25"/>
      <c r="U241" s="25"/>
      <c r="V241" s="5"/>
    </row>
    <row r="242" spans="1:22" ht="15.6" x14ac:dyDescent="0.3">
      <c r="A242" s="24"/>
      <c r="B242" s="25"/>
      <c r="C242" s="25"/>
      <c r="D242" s="25"/>
      <c r="E242" s="25"/>
      <c r="F242" s="25"/>
      <c r="G242" s="25"/>
      <c r="H242" s="96"/>
      <c r="I242" s="96"/>
      <c r="J242" s="96"/>
      <c r="K242" s="96"/>
      <c r="L242" s="96"/>
      <c r="M242" s="96"/>
      <c r="N242" s="96"/>
      <c r="O242" s="96"/>
      <c r="P242" s="34"/>
      <c r="Q242" s="135"/>
      <c r="R242" s="53"/>
      <c r="S242" s="135"/>
      <c r="T242" s="25"/>
      <c r="U242" s="25"/>
      <c r="V242" s="5"/>
    </row>
    <row r="243" spans="1:22" ht="15.6" x14ac:dyDescent="0.3">
      <c r="A243" s="144"/>
      <c r="B243" s="14" t="s">
        <v>279</v>
      </c>
      <c r="C243" s="82"/>
      <c r="D243" s="82"/>
      <c r="E243" s="82"/>
      <c r="F243" s="83"/>
      <c r="G243" s="82"/>
      <c r="H243" s="17"/>
      <c r="I243" s="17"/>
      <c r="J243" s="17"/>
      <c r="K243" s="17"/>
      <c r="L243" s="17"/>
      <c r="M243" s="17"/>
      <c r="N243" s="17"/>
      <c r="O243" s="17"/>
      <c r="P243" s="84" t="s">
        <v>108</v>
      </c>
      <c r="Q243" s="17" t="s">
        <v>109</v>
      </c>
      <c r="R243" s="84" t="s">
        <v>117</v>
      </c>
      <c r="S243" s="17" t="s">
        <v>109</v>
      </c>
      <c r="T243" s="142"/>
      <c r="U243" s="143"/>
      <c r="V243" s="5"/>
    </row>
    <row r="244" spans="1:22" ht="15.6" x14ac:dyDescent="0.3">
      <c r="A244" s="24"/>
      <c r="B244" s="54" t="s">
        <v>94</v>
      </c>
      <c r="C244" s="94"/>
      <c r="D244" s="94"/>
      <c r="E244" s="94"/>
      <c r="F244" s="25"/>
      <c r="G244" s="94"/>
      <c r="H244" s="94"/>
      <c r="I244" s="94"/>
      <c r="J244" s="94"/>
      <c r="K244" s="94"/>
      <c r="L244" s="94"/>
      <c r="M244" s="94"/>
      <c r="N244" s="94"/>
      <c r="O244" s="94"/>
      <c r="P244" s="54">
        <v>5</v>
      </c>
      <c r="Q244" s="95">
        <f t="shared" ref="Q244:Q251" si="3">P244/$P$253</f>
        <v>0.11904761904761904</v>
      </c>
      <c r="R244" s="53">
        <v>498</v>
      </c>
      <c r="S244" s="135">
        <f t="shared" ref="S244:S251" si="4">R244/$R$253</f>
        <v>8.0361465225108925E-2</v>
      </c>
      <c r="T244" s="25"/>
      <c r="U244" s="25"/>
      <c r="V244" s="5"/>
    </row>
    <row r="245" spans="1:22" ht="15.6" x14ac:dyDescent="0.3">
      <c r="A245" s="24"/>
      <c r="B245" s="54" t="s">
        <v>95</v>
      </c>
      <c r="C245" s="94"/>
      <c r="D245" s="94"/>
      <c r="E245" s="94"/>
      <c r="F245" s="25"/>
      <c r="G245" s="95"/>
      <c r="H245" s="94"/>
      <c r="I245" s="94"/>
      <c r="J245" s="94"/>
      <c r="K245" s="94"/>
      <c r="L245" s="94"/>
      <c r="M245" s="94"/>
      <c r="N245" s="94"/>
      <c r="O245" s="94"/>
      <c r="P245" s="54">
        <v>2</v>
      </c>
      <c r="Q245" s="95">
        <f t="shared" si="3"/>
        <v>4.7619047619047616E-2</v>
      </c>
      <c r="R245" s="53">
        <v>209</v>
      </c>
      <c r="S245" s="135">
        <f t="shared" si="4"/>
        <v>3.3725996449895108E-2</v>
      </c>
      <c r="T245" s="25"/>
      <c r="U245" s="25"/>
      <c r="V245" s="5"/>
    </row>
    <row r="246" spans="1:22" ht="15.6" x14ac:dyDescent="0.3">
      <c r="A246" s="24"/>
      <c r="B246" s="54" t="s">
        <v>96</v>
      </c>
      <c r="C246" s="94"/>
      <c r="D246" s="94"/>
      <c r="E246" s="94"/>
      <c r="F246" s="25"/>
      <c r="G246" s="95"/>
      <c r="H246" s="94"/>
      <c r="I246" s="94"/>
      <c r="J246" s="94"/>
      <c r="K246" s="94"/>
      <c r="L246" s="94"/>
      <c r="M246" s="94"/>
      <c r="N246" s="94"/>
      <c r="O246" s="94"/>
      <c r="P246" s="54">
        <v>2</v>
      </c>
      <c r="Q246" s="95">
        <f t="shared" si="3"/>
        <v>4.7619047619047616E-2</v>
      </c>
      <c r="R246" s="53">
        <v>205</v>
      </c>
      <c r="S246" s="135">
        <f t="shared" si="4"/>
        <v>3.3080522833629174E-2</v>
      </c>
      <c r="T246" s="25"/>
      <c r="U246" s="25"/>
      <c r="V246" s="5"/>
    </row>
    <row r="247" spans="1:22" ht="15.6" x14ac:dyDescent="0.3">
      <c r="A247" s="24"/>
      <c r="B247" s="54" t="s">
        <v>171</v>
      </c>
      <c r="C247" s="94"/>
      <c r="D247" s="94"/>
      <c r="E247" s="94"/>
      <c r="F247" s="25"/>
      <c r="G247" s="95"/>
      <c r="H247" s="94"/>
      <c r="I247" s="94"/>
      <c r="J247" s="94"/>
      <c r="K247" s="94"/>
      <c r="L247" s="94"/>
      <c r="M247" s="94"/>
      <c r="N247" s="94"/>
      <c r="O247" s="94"/>
      <c r="P247" s="54">
        <v>4</v>
      </c>
      <c r="Q247" s="95">
        <f t="shared" si="3"/>
        <v>9.5238095238095233E-2</v>
      </c>
      <c r="R247" s="53">
        <v>452</v>
      </c>
      <c r="S247" s="135">
        <f t="shared" si="4"/>
        <v>7.2938518638050676E-2</v>
      </c>
      <c r="T247" s="25"/>
      <c r="U247" s="25"/>
      <c r="V247" s="5"/>
    </row>
    <row r="248" spans="1:22" ht="15.6" x14ac:dyDescent="0.3">
      <c r="A248" s="24"/>
      <c r="B248" s="54" t="s">
        <v>172</v>
      </c>
      <c r="C248" s="94"/>
      <c r="D248" s="94"/>
      <c r="E248" s="94"/>
      <c r="F248" s="25"/>
      <c r="G248" s="95"/>
      <c r="H248" s="94"/>
      <c r="I248" s="94"/>
      <c r="J248" s="94"/>
      <c r="K248" s="94"/>
      <c r="L248" s="94"/>
      <c r="M248" s="94"/>
      <c r="N248" s="94"/>
      <c r="O248" s="94"/>
      <c r="P248" s="54">
        <v>2</v>
      </c>
      <c r="Q248" s="95">
        <f t="shared" si="3"/>
        <v>4.7619047619047616E-2</v>
      </c>
      <c r="R248" s="53">
        <v>292</v>
      </c>
      <c r="S248" s="135">
        <f t="shared" si="4"/>
        <v>4.7119573987413267E-2</v>
      </c>
      <c r="T248" s="25"/>
      <c r="U248" s="25"/>
      <c r="V248" s="5"/>
    </row>
    <row r="249" spans="1:22" ht="15.6" x14ac:dyDescent="0.3">
      <c r="A249" s="24"/>
      <c r="B249" s="54" t="s">
        <v>173</v>
      </c>
      <c r="C249" s="94"/>
      <c r="D249" s="94"/>
      <c r="E249" s="94"/>
      <c r="F249" s="25"/>
      <c r="G249" s="95"/>
      <c r="H249" s="94"/>
      <c r="I249" s="94"/>
      <c r="J249" s="94"/>
      <c r="K249" s="94"/>
      <c r="L249" s="94"/>
      <c r="M249" s="94"/>
      <c r="N249" s="94"/>
      <c r="O249" s="94"/>
      <c r="P249" s="54">
        <v>1</v>
      </c>
      <c r="Q249" s="95">
        <f t="shared" si="3"/>
        <v>2.3809523809523808E-2</v>
      </c>
      <c r="R249" s="53">
        <v>94</v>
      </c>
      <c r="S249" s="135">
        <f t="shared" si="4"/>
        <v>1.5168629982249476E-2</v>
      </c>
      <c r="T249" s="25"/>
      <c r="U249" s="25"/>
      <c r="V249" s="5"/>
    </row>
    <row r="250" spans="1:22" ht="15.6" x14ac:dyDescent="0.3">
      <c r="A250" s="24"/>
      <c r="B250" s="54" t="s">
        <v>174</v>
      </c>
      <c r="C250" s="94"/>
      <c r="D250" s="94"/>
      <c r="E250" s="94"/>
      <c r="F250" s="25"/>
      <c r="G250" s="95"/>
      <c r="H250" s="94"/>
      <c r="I250" s="94"/>
      <c r="J250" s="94"/>
      <c r="K250" s="94"/>
      <c r="L250" s="94"/>
      <c r="M250" s="94"/>
      <c r="N250" s="94"/>
      <c r="O250" s="94"/>
      <c r="P250" s="54">
        <v>15</v>
      </c>
      <c r="Q250" s="95">
        <f t="shared" si="3"/>
        <v>0.35714285714285715</v>
      </c>
      <c r="R250" s="53">
        <v>2951</v>
      </c>
      <c r="S250" s="135">
        <f t="shared" si="4"/>
        <v>0.47619816040019364</v>
      </c>
      <c r="T250" s="25"/>
      <c r="U250" s="25"/>
      <c r="V250" s="5"/>
    </row>
    <row r="251" spans="1:22" ht="15.6" x14ac:dyDescent="0.3">
      <c r="A251" s="24"/>
      <c r="B251" s="54" t="s">
        <v>175</v>
      </c>
      <c r="C251" s="94"/>
      <c r="D251" s="94"/>
      <c r="E251" s="94"/>
      <c r="F251" s="25"/>
      <c r="G251" s="95"/>
      <c r="H251" s="94"/>
      <c r="I251" s="94"/>
      <c r="J251" s="94"/>
      <c r="K251" s="94"/>
      <c r="L251" s="94"/>
      <c r="M251" s="94"/>
      <c r="N251" s="94"/>
      <c r="O251" s="94"/>
      <c r="P251" s="54">
        <v>11</v>
      </c>
      <c r="Q251" s="95">
        <f t="shared" si="3"/>
        <v>0.26190476190476192</v>
      </c>
      <c r="R251" s="53">
        <v>1496</v>
      </c>
      <c r="S251" s="135">
        <f t="shared" si="4"/>
        <v>0.24140713248345974</v>
      </c>
      <c r="T251" s="25"/>
      <c r="U251" s="25"/>
      <c r="V251" s="5"/>
    </row>
    <row r="252" spans="1:22" ht="15.6" x14ac:dyDescent="0.3">
      <c r="A252" s="24"/>
      <c r="B252" s="54"/>
      <c r="C252" s="94"/>
      <c r="D252" s="94"/>
      <c r="E252" s="94"/>
      <c r="F252" s="25"/>
      <c r="G252" s="95"/>
      <c r="H252" s="94"/>
      <c r="I252" s="94"/>
      <c r="J252" s="94"/>
      <c r="K252" s="94"/>
      <c r="L252" s="94"/>
      <c r="M252" s="94"/>
      <c r="N252" s="94"/>
      <c r="O252" s="94"/>
      <c r="P252" s="54"/>
      <c r="Q252" s="95"/>
      <c r="R252" s="53"/>
      <c r="S252" s="135"/>
      <c r="T252" s="25"/>
      <c r="U252" s="25"/>
      <c r="V252" s="5"/>
    </row>
    <row r="253" spans="1:22" ht="15.6" x14ac:dyDescent="0.3">
      <c r="A253" s="24"/>
      <c r="B253" s="25"/>
      <c r="C253" s="25"/>
      <c r="D253" s="25"/>
      <c r="E253" s="25"/>
      <c r="F253" s="25"/>
      <c r="G253" s="25"/>
      <c r="H253" s="96"/>
      <c r="I253" s="96"/>
      <c r="J253" s="96"/>
      <c r="K253" s="96"/>
      <c r="L253" s="96"/>
      <c r="M253" s="96"/>
      <c r="N253" s="96"/>
      <c r="O253" s="96"/>
      <c r="P253" s="34">
        <f>SUM(P244:P252)</f>
        <v>42</v>
      </c>
      <c r="Q253" s="135">
        <f>SUM(Q244:Q252)</f>
        <v>1</v>
      </c>
      <c r="R253" s="53">
        <f>SUM(R244:R252)</f>
        <v>6197</v>
      </c>
      <c r="S253" s="135">
        <f>SUM(S244:S252)</f>
        <v>1</v>
      </c>
      <c r="T253" s="25"/>
      <c r="U253" s="25"/>
      <c r="V253" s="5"/>
    </row>
    <row r="254" spans="1:22" ht="15.6" x14ac:dyDescent="0.3">
      <c r="A254" s="24"/>
      <c r="B254" s="25"/>
      <c r="C254" s="25"/>
      <c r="D254" s="25"/>
      <c r="E254" s="25"/>
      <c r="F254" s="25"/>
      <c r="G254" s="25"/>
      <c r="H254" s="96"/>
      <c r="I254" s="96"/>
      <c r="J254" s="96"/>
      <c r="K254" s="96"/>
      <c r="L254" s="96"/>
      <c r="M254" s="96"/>
      <c r="N254" s="96"/>
      <c r="O254" s="96"/>
      <c r="P254" s="34"/>
      <c r="Q254" s="135"/>
      <c r="R254" s="53"/>
      <c r="S254" s="135"/>
      <c r="T254" s="25"/>
      <c r="U254" s="25"/>
      <c r="V254" s="5"/>
    </row>
    <row r="255" spans="1:22" ht="15.6" x14ac:dyDescent="0.3">
      <c r="A255" s="144"/>
      <c r="B255" s="14" t="s">
        <v>179</v>
      </c>
      <c r="C255" s="142"/>
      <c r="D255" s="142"/>
      <c r="E255" s="142"/>
      <c r="F255" s="142"/>
      <c r="G255" s="142"/>
      <c r="H255" s="149"/>
      <c r="I255" s="149"/>
      <c r="J255" s="149"/>
      <c r="K255" s="149"/>
      <c r="L255" s="149"/>
      <c r="M255" s="149"/>
      <c r="N255" s="149"/>
      <c r="O255" s="149"/>
      <c r="P255" s="84" t="s">
        <v>108</v>
      </c>
      <c r="Q255" s="17" t="s">
        <v>109</v>
      </c>
      <c r="R255" s="84" t="s">
        <v>117</v>
      </c>
      <c r="S255" s="17" t="s">
        <v>109</v>
      </c>
      <c r="T255" s="142"/>
      <c r="U255" s="143"/>
      <c r="V255" s="5"/>
    </row>
    <row r="256" spans="1:22" ht="15.6" x14ac:dyDescent="0.3">
      <c r="A256" s="24"/>
      <c r="B256" s="54" t="s">
        <v>94</v>
      </c>
      <c r="C256" s="25"/>
      <c r="D256" s="25"/>
      <c r="E256" s="25"/>
      <c r="F256" s="25"/>
      <c r="G256" s="25"/>
      <c r="H256" s="96"/>
      <c r="I256" s="96"/>
      <c r="J256" s="96"/>
      <c r="K256" s="96"/>
      <c r="L256" s="96"/>
      <c r="M256" s="96"/>
      <c r="N256" s="96"/>
      <c r="O256" s="96"/>
      <c r="P256" s="54">
        <v>0</v>
      </c>
      <c r="Q256" s="95">
        <v>0</v>
      </c>
      <c r="R256" s="53">
        <v>0</v>
      </c>
      <c r="S256" s="135">
        <v>0</v>
      </c>
      <c r="T256" s="25"/>
      <c r="U256" s="25"/>
      <c r="V256" s="5"/>
    </row>
    <row r="257" spans="1:22" ht="15.6" x14ac:dyDescent="0.3">
      <c r="A257" s="24"/>
      <c r="B257" s="54" t="s">
        <v>95</v>
      </c>
      <c r="C257" s="25"/>
      <c r="D257" s="25"/>
      <c r="E257" s="25"/>
      <c r="F257" s="25"/>
      <c r="G257" s="25"/>
      <c r="H257" s="96"/>
      <c r="I257" s="96"/>
      <c r="J257" s="96"/>
      <c r="K257" s="96"/>
      <c r="L257" s="96"/>
      <c r="M257" s="96"/>
      <c r="N257" s="96"/>
      <c r="O257" s="96"/>
      <c r="P257" s="54">
        <v>0</v>
      </c>
      <c r="Q257" s="95">
        <v>0</v>
      </c>
      <c r="R257" s="53">
        <v>0</v>
      </c>
      <c r="S257" s="135">
        <v>0</v>
      </c>
      <c r="T257" s="25"/>
      <c r="U257" s="25"/>
      <c r="V257" s="5"/>
    </row>
    <row r="258" spans="1:22" ht="15.6" x14ac:dyDescent="0.3">
      <c r="A258" s="24"/>
      <c r="B258" s="54" t="s">
        <v>96</v>
      </c>
      <c r="C258" s="25"/>
      <c r="D258" s="25"/>
      <c r="E258" s="25"/>
      <c r="F258" s="25"/>
      <c r="G258" s="25"/>
      <c r="H258" s="96"/>
      <c r="I258" s="96"/>
      <c r="J258" s="96"/>
      <c r="K258" s="96"/>
      <c r="L258" s="96"/>
      <c r="M258" s="96"/>
      <c r="N258" s="96"/>
      <c r="O258" s="96"/>
      <c r="P258" s="54">
        <v>0</v>
      </c>
      <c r="Q258" s="95">
        <v>0</v>
      </c>
      <c r="R258" s="53">
        <v>0</v>
      </c>
      <c r="S258" s="135">
        <v>0</v>
      </c>
      <c r="T258" s="25"/>
      <c r="U258" s="25"/>
      <c r="V258" s="5"/>
    </row>
    <row r="259" spans="1:22" ht="15.6" x14ac:dyDescent="0.3">
      <c r="A259" s="24"/>
      <c r="B259" s="54" t="s">
        <v>171</v>
      </c>
      <c r="C259" s="25"/>
      <c r="D259" s="25"/>
      <c r="E259" s="25"/>
      <c r="F259" s="25"/>
      <c r="G259" s="25"/>
      <c r="H259" s="96"/>
      <c r="I259" s="96"/>
      <c r="J259" s="96"/>
      <c r="K259" s="96"/>
      <c r="L259" s="96"/>
      <c r="M259" s="96"/>
      <c r="N259" s="96"/>
      <c r="O259" s="96"/>
      <c r="P259" s="54">
        <v>0</v>
      </c>
      <c r="Q259" s="95">
        <v>0</v>
      </c>
      <c r="R259" s="53">
        <v>0</v>
      </c>
      <c r="S259" s="135">
        <v>0</v>
      </c>
      <c r="T259" s="25"/>
      <c r="U259" s="25"/>
      <c r="V259" s="5"/>
    </row>
    <row r="260" spans="1:22" ht="15.6" x14ac:dyDescent="0.3">
      <c r="A260" s="24"/>
      <c r="B260" s="54" t="s">
        <v>172</v>
      </c>
      <c r="C260" s="25"/>
      <c r="D260" s="25"/>
      <c r="E260" s="25"/>
      <c r="F260" s="25"/>
      <c r="G260" s="25"/>
      <c r="H260" s="96"/>
      <c r="I260" s="96"/>
      <c r="J260" s="96"/>
      <c r="K260" s="96"/>
      <c r="L260" s="96"/>
      <c r="M260" s="96"/>
      <c r="N260" s="96"/>
      <c r="O260" s="96"/>
      <c r="P260" s="54">
        <v>0</v>
      </c>
      <c r="Q260" s="95">
        <v>0</v>
      </c>
      <c r="R260" s="53">
        <v>0</v>
      </c>
      <c r="S260" s="135">
        <v>0</v>
      </c>
      <c r="T260" s="25"/>
      <c r="U260" s="25"/>
      <c r="V260" s="5"/>
    </row>
    <row r="261" spans="1:22" ht="15.6" x14ac:dyDescent="0.3">
      <c r="A261" s="24"/>
      <c r="B261" s="54" t="s">
        <v>173</v>
      </c>
      <c r="C261" s="25"/>
      <c r="D261" s="25"/>
      <c r="E261" s="25"/>
      <c r="F261" s="25"/>
      <c r="G261" s="25"/>
      <c r="H261" s="96"/>
      <c r="I261" s="96"/>
      <c r="J261" s="96"/>
      <c r="K261" s="96"/>
      <c r="L261" s="96"/>
      <c r="M261" s="96"/>
      <c r="N261" s="96"/>
      <c r="O261" s="96"/>
      <c r="P261" s="54">
        <v>0</v>
      </c>
      <c r="Q261" s="95">
        <v>0</v>
      </c>
      <c r="R261" s="53">
        <v>0</v>
      </c>
      <c r="S261" s="135">
        <v>0</v>
      </c>
      <c r="T261" s="25"/>
      <c r="U261" s="25"/>
      <c r="V261" s="5"/>
    </row>
    <row r="262" spans="1:22" ht="15.6" x14ac:dyDescent="0.3">
      <c r="A262" s="24"/>
      <c r="B262" s="54" t="s">
        <v>174</v>
      </c>
      <c r="C262" s="25"/>
      <c r="D262" s="25"/>
      <c r="E262" s="25"/>
      <c r="F262" s="25"/>
      <c r="G262" s="25"/>
      <c r="H262" s="96"/>
      <c r="I262" s="96"/>
      <c r="J262" s="96"/>
      <c r="K262" s="96"/>
      <c r="L262" s="96"/>
      <c r="M262" s="96"/>
      <c r="N262" s="96"/>
      <c r="O262" s="96"/>
      <c r="P262" s="54">
        <v>0</v>
      </c>
      <c r="Q262" s="95">
        <v>0</v>
      </c>
      <c r="R262" s="53">
        <v>0</v>
      </c>
      <c r="S262" s="135">
        <v>0</v>
      </c>
      <c r="T262" s="25"/>
      <c r="U262" s="25"/>
      <c r="V262" s="5"/>
    </row>
    <row r="263" spans="1:22" ht="15.6" x14ac:dyDescent="0.3">
      <c r="A263" s="24"/>
      <c r="B263" s="54" t="s">
        <v>175</v>
      </c>
      <c r="C263" s="25"/>
      <c r="D263" s="25"/>
      <c r="E263" s="25"/>
      <c r="F263" s="25"/>
      <c r="G263" s="25"/>
      <c r="H263" s="96"/>
      <c r="I263" s="96"/>
      <c r="J263" s="96"/>
      <c r="K263" s="96"/>
      <c r="L263" s="96"/>
      <c r="M263" s="96"/>
      <c r="N263" s="96"/>
      <c r="O263" s="96"/>
      <c r="P263" s="54">
        <v>0</v>
      </c>
      <c r="Q263" s="95">
        <v>0</v>
      </c>
      <c r="R263" s="53">
        <v>0</v>
      </c>
      <c r="S263" s="135">
        <v>0</v>
      </c>
      <c r="T263" s="25"/>
      <c r="U263" s="25"/>
      <c r="V263" s="5"/>
    </row>
    <row r="264" spans="1:22" ht="15.6" x14ac:dyDescent="0.3">
      <c r="A264" s="24"/>
      <c r="B264" s="54"/>
      <c r="C264" s="25"/>
      <c r="D264" s="25"/>
      <c r="E264" s="25"/>
      <c r="F264" s="25"/>
      <c r="G264" s="25"/>
      <c r="H264" s="96"/>
      <c r="I264" s="96"/>
      <c r="J264" s="96"/>
      <c r="K264" s="96"/>
      <c r="L264" s="96"/>
      <c r="M264" s="96"/>
      <c r="N264" s="96"/>
      <c r="O264" s="96"/>
      <c r="P264" s="54"/>
      <c r="Q264" s="95"/>
      <c r="R264" s="53"/>
      <c r="S264" s="135"/>
      <c r="T264" s="25"/>
      <c r="U264" s="25"/>
      <c r="V264" s="5"/>
    </row>
    <row r="265" spans="1:22" ht="15.6" x14ac:dyDescent="0.3">
      <c r="A265" s="24"/>
      <c r="B265" s="25" t="s">
        <v>123</v>
      </c>
      <c r="C265" s="25"/>
      <c r="D265" s="25"/>
      <c r="E265" s="25"/>
      <c r="F265" s="25"/>
      <c r="G265" s="25"/>
      <c r="H265" s="96"/>
      <c r="I265" s="96"/>
      <c r="J265" s="96"/>
      <c r="K265" s="96"/>
      <c r="L265" s="96"/>
      <c r="M265" s="96"/>
      <c r="N265" s="96"/>
      <c r="O265" s="96"/>
      <c r="P265" s="34">
        <f>SUM(P256:P263)</f>
        <v>0</v>
      </c>
      <c r="Q265" s="95">
        <f>SUM(Q256:Q263)</f>
        <v>0</v>
      </c>
      <c r="R265" s="53">
        <f>SUM(R256:R263)</f>
        <v>0</v>
      </c>
      <c r="S265" s="135">
        <f>SUM(S256:S263)</f>
        <v>0</v>
      </c>
      <c r="T265" s="25"/>
      <c r="U265" s="25"/>
      <c r="V265" s="5"/>
    </row>
    <row r="266" spans="1:22" ht="15.6" x14ac:dyDescent="0.3">
      <c r="A266" s="24"/>
      <c r="B266" s="25"/>
      <c r="C266" s="25"/>
      <c r="D266" s="25"/>
      <c r="E266" s="25"/>
      <c r="F266" s="25"/>
      <c r="G266" s="25"/>
      <c r="H266" s="96"/>
      <c r="I266" s="96"/>
      <c r="J266" s="96"/>
      <c r="K266" s="96"/>
      <c r="L266" s="96"/>
      <c r="M266" s="96"/>
      <c r="N266" s="96"/>
      <c r="O266" s="96"/>
      <c r="P266" s="34"/>
      <c r="Q266" s="135"/>
      <c r="R266" s="53"/>
      <c r="S266" s="135"/>
      <c r="T266" s="25"/>
      <c r="U266" s="25"/>
      <c r="V266" s="5"/>
    </row>
    <row r="267" spans="1:22" ht="15.6" x14ac:dyDescent="0.3">
      <c r="A267" s="24"/>
      <c r="B267" s="145" t="s">
        <v>180</v>
      </c>
      <c r="C267" s="25"/>
      <c r="D267" s="25"/>
      <c r="E267" s="25"/>
      <c r="F267" s="25"/>
      <c r="G267" s="25"/>
      <c r="H267" s="96"/>
      <c r="I267" s="96"/>
      <c r="J267" s="96"/>
      <c r="K267" s="96"/>
      <c r="L267" s="96"/>
      <c r="M267" s="96"/>
      <c r="N267" s="96"/>
      <c r="O267" s="96"/>
      <c r="P267" s="165">
        <f>+P241+P253+P265</f>
        <v>3343</v>
      </c>
      <c r="Q267" s="147"/>
      <c r="R267" s="148">
        <f>+R265+R253+R241</f>
        <v>389059</v>
      </c>
      <c r="S267" s="147"/>
      <c r="T267" s="25"/>
      <c r="U267" s="25"/>
      <c r="V267" s="5"/>
    </row>
    <row r="268" spans="1:22" ht="15.6" x14ac:dyDescent="0.3">
      <c r="A268" s="24"/>
      <c r="B268" s="25"/>
      <c r="C268" s="25"/>
      <c r="D268" s="25"/>
      <c r="E268" s="25"/>
      <c r="F268" s="25"/>
      <c r="G268" s="25"/>
      <c r="H268" s="96"/>
      <c r="I268" s="96"/>
      <c r="J268" s="96"/>
      <c r="K268" s="96"/>
      <c r="L268" s="96"/>
      <c r="M268" s="96"/>
      <c r="N268" s="96"/>
      <c r="O268" s="96"/>
      <c r="P268" s="96"/>
      <c r="Q268" s="96"/>
      <c r="R268" s="53"/>
      <c r="S268" s="96"/>
      <c r="T268" s="25"/>
      <c r="U268" s="25"/>
      <c r="V268" s="5"/>
    </row>
    <row r="269" spans="1:22" ht="15.6" x14ac:dyDescent="0.3">
      <c r="A269" s="6"/>
      <c r="B269" s="8"/>
      <c r="C269" s="8"/>
      <c r="D269" s="8"/>
      <c r="E269" s="8"/>
      <c r="F269" s="8"/>
      <c r="G269" s="8"/>
      <c r="H269" s="97"/>
      <c r="I269" s="97"/>
      <c r="J269" s="97"/>
      <c r="K269" s="97"/>
      <c r="L269" s="97"/>
      <c r="M269" s="97"/>
      <c r="N269" s="97"/>
      <c r="O269" s="97"/>
      <c r="P269" s="97"/>
      <c r="Q269" s="97"/>
      <c r="R269" s="98"/>
      <c r="S269" s="97"/>
      <c r="T269" s="8"/>
      <c r="U269" s="8"/>
      <c r="V269" s="5"/>
    </row>
    <row r="270" spans="1:22" ht="15.6" x14ac:dyDescent="0.3">
      <c r="A270" s="164"/>
      <c r="B270" s="14" t="s">
        <v>97</v>
      </c>
      <c r="C270" s="15"/>
      <c r="D270" s="15"/>
      <c r="E270" s="15"/>
      <c r="F270" s="17" t="s">
        <v>103</v>
      </c>
      <c r="G270" s="15"/>
      <c r="H270" s="14" t="s">
        <v>105</v>
      </c>
      <c r="I270" s="159"/>
      <c r="J270" s="159"/>
      <c r="K270" s="159"/>
      <c r="L270" s="159"/>
      <c r="M270" s="159"/>
      <c r="N270" s="159"/>
      <c r="O270" s="159"/>
      <c r="P270" s="159"/>
      <c r="Q270" s="159"/>
      <c r="R270" s="159"/>
      <c r="S270" s="159"/>
      <c r="T270" s="159"/>
      <c r="U270" s="159"/>
      <c r="V270" s="5"/>
    </row>
    <row r="271" spans="1:22" ht="15.6" x14ac:dyDescent="0.3">
      <c r="A271" s="164"/>
      <c r="B271" s="159"/>
      <c r="C271" s="8"/>
      <c r="D271" s="8"/>
      <c r="E271" s="8"/>
      <c r="F271" s="8"/>
      <c r="G271" s="8"/>
      <c r="H271" s="8"/>
      <c r="I271" s="159"/>
      <c r="J271" s="159"/>
      <c r="K271" s="159"/>
      <c r="L271" s="159"/>
      <c r="M271" s="159"/>
      <c r="N271" s="159"/>
      <c r="O271" s="159"/>
      <c r="P271" s="159"/>
      <c r="Q271" s="159"/>
      <c r="R271" s="159"/>
      <c r="S271" s="159"/>
      <c r="T271" s="159"/>
      <c r="U271" s="159"/>
      <c r="V271" s="5"/>
    </row>
    <row r="272" spans="1:22" ht="15.6" x14ac:dyDescent="0.3">
      <c r="A272" s="164"/>
      <c r="B272" s="13" t="s">
        <v>98</v>
      </c>
      <c r="C272" s="13"/>
      <c r="D272" s="13"/>
      <c r="E272" s="13"/>
      <c r="F272" s="133" t="s">
        <v>159</v>
      </c>
      <c r="G272" s="13"/>
      <c r="H272" s="13" t="s">
        <v>167</v>
      </c>
      <c r="I272" s="159"/>
      <c r="J272" s="159"/>
      <c r="K272" s="159"/>
      <c r="L272" s="159"/>
      <c r="M272" s="159"/>
      <c r="N272" s="159"/>
      <c r="O272" s="159"/>
      <c r="P272" s="159"/>
      <c r="Q272" s="159"/>
      <c r="R272" s="159"/>
      <c r="S272" s="159"/>
      <c r="T272" s="159"/>
      <c r="U272" s="159"/>
      <c r="V272" s="5"/>
    </row>
    <row r="273" spans="1:22" ht="15.6" x14ac:dyDescent="0.3">
      <c r="A273" s="164"/>
      <c r="B273" s="13" t="s">
        <v>273</v>
      </c>
      <c r="C273" s="13"/>
      <c r="D273" s="13"/>
      <c r="E273" s="13"/>
      <c r="F273" s="133" t="s">
        <v>274</v>
      </c>
      <c r="G273" s="13"/>
      <c r="H273" s="13" t="s">
        <v>275</v>
      </c>
      <c r="I273" s="159"/>
      <c r="J273" s="159"/>
      <c r="K273" s="159"/>
      <c r="L273" s="159"/>
      <c r="M273" s="159"/>
      <c r="N273" s="159"/>
      <c r="O273" s="159"/>
      <c r="P273" s="159"/>
      <c r="Q273" s="159"/>
      <c r="R273" s="159"/>
      <c r="S273" s="159"/>
      <c r="T273" s="159"/>
      <c r="U273" s="159"/>
      <c r="V273" s="5"/>
    </row>
    <row r="274" spans="1:22" ht="15.6" x14ac:dyDescent="0.3">
      <c r="A274" s="164"/>
      <c r="B274" s="13" t="s">
        <v>99</v>
      </c>
      <c r="C274" s="13"/>
      <c r="D274" s="13"/>
      <c r="E274" s="13"/>
      <c r="F274" s="133" t="s">
        <v>158</v>
      </c>
      <c r="G274" s="13"/>
      <c r="H274" s="13" t="s">
        <v>168</v>
      </c>
      <c r="I274" s="159"/>
      <c r="J274" s="159"/>
      <c r="K274" s="159"/>
      <c r="L274" s="159"/>
      <c r="M274" s="159"/>
      <c r="N274" s="159"/>
      <c r="O274" s="159"/>
      <c r="P274" s="159"/>
      <c r="Q274" s="159"/>
      <c r="R274" s="159"/>
      <c r="S274" s="159"/>
      <c r="T274" s="159"/>
      <c r="U274" s="159"/>
      <c r="V274" s="5"/>
    </row>
    <row r="275" spans="1:22" ht="15.6" x14ac:dyDescent="0.3">
      <c r="A275" s="164"/>
      <c r="B275" s="13"/>
      <c r="C275" s="13"/>
      <c r="D275" s="13"/>
      <c r="E275" s="13"/>
      <c r="F275" s="13"/>
      <c r="G275" s="100"/>
      <c r="H275" s="159"/>
      <c r="I275" s="159"/>
      <c r="J275" s="159"/>
      <c r="K275" s="159"/>
      <c r="L275" s="159"/>
      <c r="M275" s="159"/>
      <c r="N275" s="159"/>
      <c r="O275" s="159"/>
      <c r="P275" s="159"/>
      <c r="Q275" s="159"/>
      <c r="R275" s="159"/>
      <c r="S275" s="159"/>
      <c r="T275" s="159"/>
      <c r="U275" s="159"/>
      <c r="V275" s="5"/>
    </row>
    <row r="276" spans="1:22" ht="15.6" x14ac:dyDescent="0.3">
      <c r="A276" s="164"/>
      <c r="B276" s="13"/>
      <c r="C276" s="13"/>
      <c r="D276" s="13"/>
      <c r="E276" s="13"/>
      <c r="F276" s="13"/>
      <c r="G276" s="100"/>
      <c r="H276" s="159"/>
      <c r="I276" s="159"/>
      <c r="J276" s="159"/>
      <c r="K276" s="159"/>
      <c r="L276" s="159"/>
      <c r="M276" s="159"/>
      <c r="N276" s="159"/>
      <c r="O276" s="159"/>
      <c r="P276" s="159"/>
      <c r="Q276" s="159"/>
      <c r="R276" s="159"/>
      <c r="S276" s="159"/>
      <c r="T276" s="159"/>
      <c r="U276" s="159"/>
      <c r="V276" s="5"/>
    </row>
    <row r="277" spans="1:22" ht="18" thickBot="1" x14ac:dyDescent="0.35">
      <c r="A277" s="164"/>
      <c r="B277" s="49" t="str">
        <f>B194</f>
        <v>PM9 INVESTOR REPORT QUARTER ENDING APRIL 2008</v>
      </c>
      <c r="C277" s="13"/>
      <c r="D277" s="13"/>
      <c r="E277" s="13"/>
      <c r="F277" s="13"/>
      <c r="G277" s="100"/>
      <c r="H277" s="159"/>
      <c r="I277" s="159"/>
      <c r="J277" s="159"/>
      <c r="K277" s="159"/>
      <c r="L277" s="159"/>
      <c r="M277" s="159"/>
      <c r="N277" s="159"/>
      <c r="O277" s="159"/>
      <c r="P277" s="159"/>
      <c r="Q277" s="159"/>
      <c r="R277" s="159"/>
      <c r="S277" s="159"/>
      <c r="T277" s="159"/>
      <c r="U277" s="159"/>
      <c r="V277" s="5"/>
    </row>
    <row r="278" spans="1:22" x14ac:dyDescent="0.25">
      <c r="A278" s="101"/>
      <c r="B278" s="101"/>
      <c r="C278" s="101"/>
      <c r="D278" s="101"/>
      <c r="E278" s="101"/>
      <c r="F278" s="101"/>
      <c r="G278" s="101"/>
      <c r="H278" s="101"/>
      <c r="I278" s="101"/>
      <c r="J278" s="101"/>
      <c r="K278" s="101"/>
      <c r="L278" s="101"/>
      <c r="M278" s="101"/>
      <c r="N278" s="101"/>
      <c r="O278" s="101"/>
      <c r="P278" s="101"/>
      <c r="Q278" s="101"/>
      <c r="R278" s="101"/>
      <c r="S278" s="101"/>
      <c r="T278" s="101"/>
      <c r="U278" s="101"/>
    </row>
  </sheetData>
  <phoneticPr fontId="0" type="noConversion"/>
  <hyperlinks>
    <hyperlink ref="J9" r:id="rId1" xr:uid="{00000000-0004-0000-0A00-000000000000}"/>
    <hyperlink ref="N229" r:id="rId2" xr:uid="{00000000-0004-0000-0A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4" max="14" man="1"/>
    <brk id="194" max="14"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D2926"/>
  </sheetPr>
  <dimension ref="A1:W278"/>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t="s">
        <v>263</v>
      </c>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0.69889999999999997</v>
      </c>
      <c r="R16" s="17" t="s">
        <v>149</v>
      </c>
      <c r="S16" s="140">
        <v>0.30109999999999998</v>
      </c>
      <c r="T16" s="16"/>
      <c r="U16" s="15"/>
      <c r="V16" s="5"/>
    </row>
    <row r="17" spans="1:22" ht="15.6" x14ac:dyDescent="0.3">
      <c r="A17" s="6"/>
      <c r="B17" s="14" t="s">
        <v>4</v>
      </c>
      <c r="C17" s="15"/>
      <c r="D17" s="15"/>
      <c r="E17" s="15"/>
      <c r="F17" s="15"/>
      <c r="G17" s="15"/>
      <c r="H17" s="15"/>
      <c r="I17" s="15"/>
      <c r="J17" s="15"/>
      <c r="K17" s="15"/>
      <c r="L17" s="15"/>
      <c r="M17" s="15"/>
      <c r="N17" s="15"/>
      <c r="O17" s="15"/>
      <c r="P17" s="15"/>
      <c r="Q17" s="169"/>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39681</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173697.88200000001</v>
      </c>
      <c r="E30" s="32"/>
      <c r="F30" s="125">
        <f>F29*F36</f>
        <v>178216.035</v>
      </c>
      <c r="G30" s="31"/>
      <c r="H30" s="150">
        <f>H29*H36</f>
        <v>30121.002</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160663.85440000001</v>
      </c>
      <c r="E31" s="36"/>
      <c r="F31" s="126">
        <f>F35*F29</f>
        <v>164842.97200000001</v>
      </c>
      <c r="G31" s="35"/>
      <c r="H31" s="155">
        <f>H35*H29</f>
        <v>27860.766</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173697.88200000001</v>
      </c>
      <c r="E33" s="32"/>
      <c r="F33" s="31">
        <f>F32*F36</f>
        <v>122743.15650000001</v>
      </c>
      <c r="G33" s="31"/>
      <c r="H33" s="31">
        <f>H32*H36</f>
        <v>17018.366129999999</v>
      </c>
      <c r="I33" s="31"/>
      <c r="J33" s="31">
        <f>J32*J36</f>
        <v>7000</v>
      </c>
      <c r="K33" s="31"/>
      <c r="L33" s="31">
        <f>L32*L36</f>
        <v>20300</v>
      </c>
      <c r="M33" s="31"/>
      <c r="N33" s="31">
        <f>N32*N36</f>
        <v>3000</v>
      </c>
      <c r="O33" s="31"/>
      <c r="P33" s="31">
        <f>P32*P36</f>
        <v>45300</v>
      </c>
      <c r="Q33" s="31"/>
      <c r="R33" s="31"/>
      <c r="S33" s="161"/>
      <c r="T33" s="31">
        <f>SUM(C33:P33)</f>
        <v>389059.40463</v>
      </c>
      <c r="U33" s="34"/>
      <c r="V33" s="5"/>
    </row>
    <row r="34" spans="1:22" ht="15.6" x14ac:dyDescent="0.3">
      <c r="A34" s="28"/>
      <c r="B34" s="29" t="s">
        <v>291</v>
      </c>
      <c r="C34" s="36"/>
      <c r="D34" s="35">
        <f>D35*D32</f>
        <v>160663.85440000001</v>
      </c>
      <c r="E34" s="36"/>
      <c r="F34" s="35">
        <f>F35*F32</f>
        <v>113532.6948</v>
      </c>
      <c r="G34" s="35"/>
      <c r="H34" s="35">
        <f>H35*H32</f>
        <v>15741.332789999999</v>
      </c>
      <c r="I34" s="35"/>
      <c r="J34" s="35">
        <f>J35*J32</f>
        <v>7000</v>
      </c>
      <c r="K34" s="35"/>
      <c r="L34" s="35">
        <f>L35*L32</f>
        <v>20300</v>
      </c>
      <c r="M34" s="35"/>
      <c r="N34" s="35">
        <f>N35*N32</f>
        <v>3000</v>
      </c>
      <c r="O34" s="35"/>
      <c r="P34" s="35">
        <f>P35*P32</f>
        <v>45300</v>
      </c>
      <c r="Q34" s="35"/>
      <c r="R34" s="35"/>
      <c r="S34" s="37"/>
      <c r="T34" s="35">
        <f>SUM(C34:P34)</f>
        <v>365537.88199000002</v>
      </c>
      <c r="U34" s="34"/>
      <c r="V34" s="5"/>
    </row>
    <row r="35" spans="1:22" ht="15.6" x14ac:dyDescent="0.3">
      <c r="A35" s="28"/>
      <c r="B35" s="123" t="s">
        <v>139</v>
      </c>
      <c r="C35" s="127"/>
      <c r="D35" s="167">
        <v>0.46434639999999999</v>
      </c>
      <c r="E35" s="168"/>
      <c r="F35" s="167">
        <v>0.46434639999999999</v>
      </c>
      <c r="G35" s="167"/>
      <c r="H35" s="167">
        <v>0.46434609999999998</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67">
        <v>0.50201700000000005</v>
      </c>
      <c r="E36" s="168"/>
      <c r="F36" s="167">
        <v>0.50201700000000005</v>
      </c>
      <c r="G36" s="167"/>
      <c r="H36" s="167">
        <v>0.50201669999999998</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6.0199999999999997E-2</v>
      </c>
      <c r="E38" s="25"/>
      <c r="F38" s="38">
        <v>5.0360000000000002E-2</v>
      </c>
      <c r="G38" s="39"/>
      <c r="H38" s="38">
        <v>2.85563E-2</v>
      </c>
      <c r="I38" s="39"/>
      <c r="J38" s="38">
        <v>6.13E-2</v>
      </c>
      <c r="K38" s="39"/>
      <c r="L38" s="38">
        <v>5.1459999999999999E-2</v>
      </c>
      <c r="M38" s="39"/>
      <c r="N38" s="38">
        <v>6.3600000000000004E-2</v>
      </c>
      <c r="O38" s="39"/>
      <c r="P38" s="38">
        <v>5.3760000000000002E-2</v>
      </c>
      <c r="Q38" s="39"/>
      <c r="R38" s="38"/>
      <c r="S38" s="160"/>
      <c r="T38" s="39"/>
      <c r="U38" s="25"/>
      <c r="V38" s="5"/>
    </row>
    <row r="39" spans="1:22" ht="15.6" x14ac:dyDescent="0.3">
      <c r="A39" s="24"/>
      <c r="B39" s="25" t="s">
        <v>14</v>
      </c>
      <c r="C39" s="25"/>
      <c r="D39" s="38">
        <v>5.8312500000000003E-2</v>
      </c>
      <c r="E39" s="25"/>
      <c r="F39" s="38">
        <v>4.5199999999999997E-2</v>
      </c>
      <c r="G39" s="39"/>
      <c r="H39" s="38">
        <v>3.245E-2</v>
      </c>
      <c r="I39" s="39"/>
      <c r="J39" s="38">
        <v>5.94125E-2</v>
      </c>
      <c r="K39" s="39"/>
      <c r="L39" s="38">
        <v>4.6300000000000001E-2</v>
      </c>
      <c r="M39" s="39"/>
      <c r="N39" s="38">
        <v>6.1712500000000003E-2</v>
      </c>
      <c r="O39" s="39"/>
      <c r="P39" s="38">
        <v>4.8599999999999997E-2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6.0199999999999997E-2</v>
      </c>
      <c r="E41" s="25"/>
      <c r="F41" s="38">
        <v>6.0299999999999999E-2</v>
      </c>
      <c r="G41" s="39"/>
      <c r="H41" s="38">
        <v>6.0429999999999998E-2</v>
      </c>
      <c r="I41" s="39"/>
      <c r="J41" s="38">
        <f>+J38</f>
        <v>6.13E-2</v>
      </c>
      <c r="K41" s="39"/>
      <c r="L41" s="38">
        <v>6.1594999999999997E-2</v>
      </c>
      <c r="M41" s="39"/>
      <c r="N41" s="38">
        <f>+N38</f>
        <v>6.3600000000000004E-2</v>
      </c>
      <c r="O41" s="39"/>
      <c r="P41" s="38">
        <v>6.404E-2</v>
      </c>
      <c r="Q41" s="39"/>
      <c r="R41" s="38"/>
      <c r="S41" s="160"/>
      <c r="T41" s="39">
        <f>SUMPRODUCT(D41:P41,D33:P33)/T33</f>
        <v>6.0807514012120277E-2</v>
      </c>
      <c r="U41" s="25"/>
      <c r="V41" s="5"/>
    </row>
    <row r="42" spans="1:22" ht="15.6" x14ac:dyDescent="0.3">
      <c r="A42" s="24"/>
      <c r="B42" s="25" t="s">
        <v>294</v>
      </c>
      <c r="C42" s="25"/>
      <c r="D42" s="38">
        <f>+D39</f>
        <v>5.8312500000000003E-2</v>
      </c>
      <c r="E42" s="25"/>
      <c r="F42" s="38">
        <v>5.8412499999999999E-2</v>
      </c>
      <c r="G42" s="39"/>
      <c r="H42" s="38">
        <v>5.8542499999999997E-2</v>
      </c>
      <c r="I42" s="39"/>
      <c r="J42" s="38">
        <f>+J39</f>
        <v>5.94125E-2</v>
      </c>
      <c r="K42" s="39"/>
      <c r="L42" s="38">
        <v>5.9707499999999997E-2</v>
      </c>
      <c r="M42" s="39"/>
      <c r="N42" s="38">
        <f>+N39</f>
        <v>6.1712500000000003E-2</v>
      </c>
      <c r="O42" s="39"/>
      <c r="P42" s="38">
        <v>6.2152499999999999E-2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0.26074550686897635</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39675</v>
      </c>
      <c r="U53" s="25"/>
      <c r="V53" s="5"/>
    </row>
    <row r="54" spans="1:23" ht="15.6" x14ac:dyDescent="0.3">
      <c r="A54" s="24"/>
      <c r="B54" s="25" t="s">
        <v>130</v>
      </c>
      <c r="C54" s="25"/>
      <c r="D54" s="25"/>
      <c r="E54" s="25"/>
      <c r="F54" s="25"/>
      <c r="G54" s="25"/>
      <c r="H54" s="58"/>
      <c r="I54" s="58"/>
      <c r="J54" s="58"/>
      <c r="K54" s="58"/>
      <c r="L54" s="58"/>
      <c r="M54" s="58"/>
      <c r="N54" s="58"/>
      <c r="O54" s="58"/>
      <c r="P54" s="25">
        <f>+T54-R54+1</f>
        <v>90</v>
      </c>
      <c r="Q54" s="25"/>
      <c r="R54" s="45">
        <v>39493</v>
      </c>
      <c r="S54" s="46"/>
      <c r="T54" s="45">
        <v>39582</v>
      </c>
      <c r="U54" s="25"/>
      <c r="V54" s="5"/>
    </row>
    <row r="55" spans="1:23" ht="15.6" x14ac:dyDescent="0.3">
      <c r="A55" s="24"/>
      <c r="B55" s="25" t="s">
        <v>131</v>
      </c>
      <c r="C55" s="25"/>
      <c r="D55" s="25"/>
      <c r="E55" s="25"/>
      <c r="F55" s="25"/>
      <c r="G55" s="25"/>
      <c r="H55" s="25"/>
      <c r="I55" s="25"/>
      <c r="J55" s="25"/>
      <c r="K55" s="25"/>
      <c r="L55" s="25"/>
      <c r="M55" s="25"/>
      <c r="N55" s="25"/>
      <c r="O55" s="25"/>
      <c r="P55" s="25">
        <f>+T55-R55+1</f>
        <v>92</v>
      </c>
      <c r="Q55" s="25"/>
      <c r="R55" s="45">
        <v>39583</v>
      </c>
      <c r="S55" s="46"/>
      <c r="T55" s="45">
        <v>39674</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39661</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281</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389059</v>
      </c>
      <c r="M66" s="34"/>
      <c r="N66" s="34">
        <f>23521+2264+194</f>
        <v>25979</v>
      </c>
      <c r="O66" s="34"/>
      <c r="P66" s="34">
        <f>2264+194</f>
        <v>2458</v>
      </c>
      <c r="Q66" s="34"/>
      <c r="R66" s="34">
        <v>0</v>
      </c>
      <c r="S66" s="34"/>
      <c r="T66" s="53">
        <f>+L66-N66+P66-R66</f>
        <v>365538</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389059</v>
      </c>
      <c r="M69" s="34"/>
      <c r="N69" s="34">
        <f>SUM(N66:N68)</f>
        <v>25979</v>
      </c>
      <c r="O69" s="34"/>
      <c r="P69" s="34">
        <f>SUM(P66:P68)</f>
        <v>2458</v>
      </c>
      <c r="Q69" s="34"/>
      <c r="R69" s="34">
        <f>SUM(R66:R68)</f>
        <v>0</v>
      </c>
      <c r="S69" s="34"/>
      <c r="T69" s="54">
        <f>SUM(T66:T68)</f>
        <v>365538</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2"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2" ht="15.6" x14ac:dyDescent="0.3">
      <c r="A82" s="24"/>
      <c r="B82" s="25" t="s">
        <v>27</v>
      </c>
      <c r="C82" s="34"/>
      <c r="D82" s="34"/>
      <c r="E82" s="34"/>
      <c r="F82" s="54"/>
      <c r="G82" s="34"/>
      <c r="H82" s="54"/>
      <c r="I82" s="54"/>
      <c r="J82" s="54">
        <f>SUM(J69:J81)</f>
        <v>700000</v>
      </c>
      <c r="K82" s="34"/>
      <c r="L82" s="54">
        <f>SUM(L69:L81)</f>
        <v>389059</v>
      </c>
      <c r="M82" s="34"/>
      <c r="N82" s="34"/>
      <c r="O82" s="34"/>
      <c r="P82" s="34"/>
      <c r="Q82" s="34"/>
      <c r="R82" s="54"/>
      <c r="S82" s="34"/>
      <c r="T82" s="54">
        <f>SUM(T69:T81)</f>
        <v>365538</v>
      </c>
      <c r="U82" s="25"/>
      <c r="V82" s="5"/>
    </row>
    <row r="83" spans="1:22"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2" ht="15.6" x14ac:dyDescent="0.3">
      <c r="A84" s="6"/>
      <c r="B84" s="8"/>
      <c r="C84" s="8"/>
      <c r="D84" s="8"/>
      <c r="E84" s="8"/>
      <c r="F84" s="8"/>
      <c r="G84" s="8"/>
      <c r="H84" s="8"/>
      <c r="I84" s="8"/>
      <c r="J84" s="8"/>
      <c r="K84" s="8"/>
      <c r="L84" s="8"/>
      <c r="M84" s="8"/>
      <c r="N84" s="8"/>
      <c r="O84" s="8"/>
      <c r="P84" s="8"/>
      <c r="Q84" s="8"/>
      <c r="R84" s="8"/>
      <c r="S84" s="8"/>
      <c r="T84" s="8"/>
      <c r="U84" s="8"/>
      <c r="V84" s="5"/>
    </row>
    <row r="85" spans="1:22" ht="15.6" x14ac:dyDescent="0.3">
      <c r="A85" s="6"/>
      <c r="B85" s="51" t="s">
        <v>28</v>
      </c>
      <c r="C85" s="14"/>
      <c r="D85" s="14"/>
      <c r="E85" s="14"/>
      <c r="F85" s="14"/>
      <c r="G85" s="14"/>
      <c r="H85" s="17"/>
      <c r="I85" s="17"/>
      <c r="J85" s="158" t="s">
        <v>101</v>
      </c>
      <c r="K85" s="17"/>
      <c r="L85" s="157">
        <f>+R195</f>
        <v>39660</v>
      </c>
      <c r="M85" s="17"/>
      <c r="N85" s="17"/>
      <c r="O85" s="17"/>
      <c r="P85" s="17"/>
      <c r="Q85" s="17"/>
      <c r="R85" s="17" t="s">
        <v>114</v>
      </c>
      <c r="S85" s="17"/>
      <c r="T85" s="17" t="s">
        <v>122</v>
      </c>
      <c r="U85" s="8"/>
      <c r="V85" s="5"/>
    </row>
    <row r="86" spans="1:22"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2" ht="15.6" x14ac:dyDescent="0.3">
      <c r="A87" s="24"/>
      <c r="B87" s="25" t="s">
        <v>30</v>
      </c>
      <c r="C87" s="25"/>
      <c r="D87" s="25"/>
      <c r="E87" s="25"/>
      <c r="F87" s="25"/>
      <c r="G87" s="25"/>
      <c r="H87" s="40"/>
      <c r="I87" s="57"/>
      <c r="J87" s="40"/>
      <c r="K87" s="25"/>
      <c r="L87" s="128"/>
      <c r="M87" s="25"/>
      <c r="N87" s="25"/>
      <c r="O87" s="25"/>
      <c r="P87" s="25"/>
      <c r="Q87" s="25"/>
      <c r="R87" s="34">
        <f>25979-38</f>
        <v>25941</v>
      </c>
      <c r="S87" s="25"/>
      <c r="T87" s="53"/>
      <c r="U87" s="25"/>
      <c r="V87" s="5"/>
    </row>
    <row r="88" spans="1:22" ht="15.6" x14ac:dyDescent="0.3">
      <c r="A88" s="24"/>
      <c r="B88" s="25" t="s">
        <v>254</v>
      </c>
      <c r="C88" s="25"/>
      <c r="D88" s="25"/>
      <c r="E88" s="25"/>
      <c r="F88" s="25"/>
      <c r="G88" s="25"/>
      <c r="H88" s="40"/>
      <c r="I88" s="57"/>
      <c r="J88" s="40"/>
      <c r="K88" s="25"/>
      <c r="L88" s="128"/>
      <c r="M88" s="25"/>
      <c r="N88" s="25"/>
      <c r="O88" s="25"/>
      <c r="P88" s="25"/>
      <c r="Q88" s="25"/>
      <c r="R88" s="34"/>
      <c r="S88" s="25"/>
      <c r="T88" s="53">
        <f>5108+2397-881-651</f>
        <v>5973</v>
      </c>
      <c r="U88" s="25"/>
      <c r="V88" s="5"/>
    </row>
    <row r="89" spans="1:22" ht="15.6" x14ac:dyDescent="0.3">
      <c r="A89" s="24"/>
      <c r="B89" s="25" t="s">
        <v>255</v>
      </c>
      <c r="C89" s="25"/>
      <c r="D89" s="25"/>
      <c r="E89" s="25"/>
      <c r="F89" s="25"/>
      <c r="G89" s="25"/>
      <c r="H89" s="40"/>
      <c r="I89" s="57"/>
      <c r="J89" s="40"/>
      <c r="K89" s="25"/>
      <c r="L89" s="128"/>
      <c r="M89" s="25"/>
      <c r="N89" s="25"/>
      <c r="O89" s="25"/>
      <c r="P89" s="25"/>
      <c r="Q89" s="25"/>
      <c r="R89" s="34"/>
      <c r="S89" s="25"/>
      <c r="T89" s="53">
        <f>125+190</f>
        <v>315</v>
      </c>
      <c r="U89" s="25"/>
      <c r="V89" s="5"/>
    </row>
    <row r="90" spans="1:22" ht="15.6" x14ac:dyDescent="0.3">
      <c r="A90" s="24"/>
      <c r="B90" s="25" t="s">
        <v>256</v>
      </c>
      <c r="C90" s="25"/>
      <c r="D90" s="25"/>
      <c r="E90" s="25"/>
      <c r="F90" s="25"/>
      <c r="G90" s="25"/>
      <c r="H90" s="40"/>
      <c r="I90" s="57"/>
      <c r="J90" s="40"/>
      <c r="K90" s="25"/>
      <c r="L90" s="128"/>
      <c r="M90" s="25"/>
      <c r="N90" s="25"/>
      <c r="O90" s="25"/>
      <c r="P90" s="25"/>
      <c r="Q90" s="25"/>
      <c r="R90" s="34"/>
      <c r="S90" s="25"/>
      <c r="T90" s="53">
        <v>377</v>
      </c>
      <c r="U90" s="25"/>
      <c r="V90" s="5"/>
    </row>
    <row r="91" spans="1:22" ht="15.6" x14ac:dyDescent="0.3">
      <c r="A91" s="24"/>
      <c r="B91" s="25" t="s">
        <v>270</v>
      </c>
      <c r="C91" s="25"/>
      <c r="D91" s="25"/>
      <c r="E91" s="25"/>
      <c r="F91" s="25"/>
      <c r="G91" s="25"/>
      <c r="H91" s="40"/>
      <c r="I91" s="57"/>
      <c r="J91" s="40"/>
      <c r="K91" s="25"/>
      <c r="L91" s="128"/>
      <c r="M91" s="25"/>
      <c r="N91" s="25"/>
      <c r="O91" s="25"/>
      <c r="P91" s="25"/>
      <c r="Q91" s="25"/>
      <c r="R91" s="34"/>
      <c r="S91" s="25"/>
      <c r="T91" s="53">
        <f>12+218</f>
        <v>230</v>
      </c>
      <c r="U91" s="25"/>
      <c r="V91" s="5"/>
    </row>
    <row r="92" spans="1:22" ht="15.6" x14ac:dyDescent="0.3">
      <c r="A92" s="24"/>
      <c r="B92" s="25" t="s">
        <v>144</v>
      </c>
      <c r="C92" s="25"/>
      <c r="D92" s="25"/>
      <c r="E92" s="25"/>
      <c r="F92" s="25"/>
      <c r="G92" s="25"/>
      <c r="H92" s="25"/>
      <c r="I92" s="25"/>
      <c r="J92" s="25"/>
      <c r="K92" s="25"/>
      <c r="L92" s="25"/>
      <c r="M92" s="25"/>
      <c r="N92" s="25"/>
      <c r="O92" s="25"/>
      <c r="P92" s="25"/>
      <c r="Q92" s="25"/>
      <c r="R92" s="34"/>
      <c r="S92" s="25"/>
      <c r="T92" s="53">
        <v>0</v>
      </c>
      <c r="U92" s="25"/>
      <c r="V92" s="5"/>
    </row>
    <row r="93" spans="1:22" ht="15.6" x14ac:dyDescent="0.3">
      <c r="A93" s="24"/>
      <c r="B93" s="25" t="s">
        <v>233</v>
      </c>
      <c r="C93" s="25"/>
      <c r="D93" s="25"/>
      <c r="E93" s="25"/>
      <c r="F93" s="25"/>
      <c r="G93" s="25"/>
      <c r="H93" s="25"/>
      <c r="I93" s="25"/>
      <c r="J93" s="25"/>
      <c r="K93" s="25"/>
      <c r="L93" s="25"/>
      <c r="M93" s="25"/>
      <c r="N93" s="25"/>
      <c r="O93" s="25"/>
      <c r="P93" s="25"/>
      <c r="Q93" s="25"/>
      <c r="R93" s="34"/>
      <c r="S93" s="25"/>
      <c r="T93" s="53">
        <v>287</v>
      </c>
      <c r="U93" s="25"/>
      <c r="V93" s="5"/>
    </row>
    <row r="94" spans="1:22" ht="15.6" x14ac:dyDescent="0.3">
      <c r="A94" s="24"/>
      <c r="B94" s="25" t="s">
        <v>32</v>
      </c>
      <c r="C94" s="25"/>
      <c r="D94" s="25"/>
      <c r="E94" s="25"/>
      <c r="F94" s="25"/>
      <c r="G94" s="25"/>
      <c r="H94" s="25"/>
      <c r="I94" s="25"/>
      <c r="J94" s="25"/>
      <c r="K94" s="25"/>
      <c r="L94" s="25"/>
      <c r="M94" s="25"/>
      <c r="N94" s="25"/>
      <c r="O94" s="25"/>
      <c r="P94" s="25"/>
      <c r="Q94" s="25"/>
      <c r="R94" s="34">
        <f>SUM(R86:R93)</f>
        <v>25941</v>
      </c>
      <c r="S94" s="25"/>
      <c r="T94" s="54">
        <f>SUM(T86:T93)</f>
        <v>7182</v>
      </c>
      <c r="U94" s="25"/>
      <c r="V94" s="5"/>
    </row>
    <row r="95" spans="1:22" ht="15.6" x14ac:dyDescent="0.3">
      <c r="A95" s="24"/>
      <c r="B95" s="25" t="s">
        <v>176</v>
      </c>
      <c r="C95" s="25"/>
      <c r="D95" s="25"/>
      <c r="E95" s="25"/>
      <c r="F95" s="25"/>
      <c r="G95" s="25"/>
      <c r="H95" s="25"/>
      <c r="I95" s="25"/>
      <c r="J95" s="25"/>
      <c r="K95" s="25"/>
      <c r="L95" s="25"/>
      <c r="M95" s="25"/>
      <c r="N95" s="25"/>
      <c r="O95" s="25"/>
      <c r="P95" s="25"/>
      <c r="Q95" s="25"/>
      <c r="R95" s="34">
        <v>-40</v>
      </c>
      <c r="S95" s="25"/>
      <c r="T95" s="54">
        <f>-R95</f>
        <v>40</v>
      </c>
      <c r="U95" s="25"/>
      <c r="V95" s="5"/>
    </row>
    <row r="96" spans="1:22" ht="15.6" x14ac:dyDescent="0.3">
      <c r="A96" s="24"/>
      <c r="B96" s="25" t="s">
        <v>33</v>
      </c>
      <c r="C96" s="25"/>
      <c r="D96" s="25"/>
      <c r="E96" s="25"/>
      <c r="F96" s="25"/>
      <c r="G96" s="25"/>
      <c r="H96" s="25"/>
      <c r="I96" s="25"/>
      <c r="J96" s="25"/>
      <c r="K96" s="25"/>
      <c r="L96" s="25"/>
      <c r="M96" s="25"/>
      <c r="N96" s="25"/>
      <c r="O96" s="25"/>
      <c r="P96" s="25"/>
      <c r="Q96" s="25"/>
      <c r="R96" s="34">
        <f>-T96</f>
        <v>0</v>
      </c>
      <c r="S96" s="25"/>
      <c r="T96" s="53">
        <v>0</v>
      </c>
      <c r="U96" s="25"/>
      <c r="V96" s="5"/>
    </row>
    <row r="97" spans="1:23" ht="15.6" x14ac:dyDescent="0.3">
      <c r="A97" s="24"/>
      <c r="B97" s="25" t="s">
        <v>278</v>
      </c>
      <c r="C97" s="25"/>
      <c r="D97" s="25"/>
      <c r="E97" s="25"/>
      <c r="F97" s="25"/>
      <c r="G97" s="25"/>
      <c r="H97" s="25"/>
      <c r="I97" s="25"/>
      <c r="J97" s="25"/>
      <c r="K97" s="25"/>
      <c r="L97" s="25"/>
      <c r="M97" s="25"/>
      <c r="N97" s="25"/>
      <c r="O97" s="25"/>
      <c r="P97" s="25"/>
      <c r="Q97" s="25"/>
      <c r="R97" s="34"/>
      <c r="S97" s="25"/>
      <c r="T97" s="53">
        <v>46</v>
      </c>
      <c r="U97" s="25"/>
      <c r="V97" s="5"/>
    </row>
    <row r="98" spans="1:23" ht="15.6" x14ac:dyDescent="0.3">
      <c r="A98" s="24"/>
      <c r="B98" s="25" t="s">
        <v>34</v>
      </c>
      <c r="C98" s="25"/>
      <c r="D98" s="25"/>
      <c r="E98" s="25"/>
      <c r="F98" s="25"/>
      <c r="G98" s="25"/>
      <c r="H98" s="25"/>
      <c r="I98" s="25"/>
      <c r="J98" s="25"/>
      <c r="K98" s="25"/>
      <c r="L98" s="25"/>
      <c r="M98" s="25"/>
      <c r="N98" s="25"/>
      <c r="O98" s="25"/>
      <c r="P98" s="25"/>
      <c r="Q98" s="25"/>
      <c r="R98" s="34">
        <f>R94+R96+R95</f>
        <v>25901</v>
      </c>
      <c r="S98" s="25"/>
      <c r="T98" s="54">
        <f>T94+T96+T95+T97</f>
        <v>7268</v>
      </c>
      <c r="U98" s="25"/>
      <c r="V98" s="5"/>
      <c r="W98" s="166"/>
    </row>
    <row r="99" spans="1:23" ht="15.6" x14ac:dyDescent="0.3">
      <c r="A99" s="24"/>
      <c r="B99" s="119" t="s">
        <v>35</v>
      </c>
      <c r="C99" s="25"/>
      <c r="D99" s="25"/>
      <c r="E99" s="25"/>
      <c r="F99" s="25"/>
      <c r="G99" s="25"/>
      <c r="H99" s="25"/>
      <c r="I99" s="25"/>
      <c r="J99" s="25"/>
      <c r="K99" s="25"/>
      <c r="L99" s="25"/>
      <c r="M99" s="25"/>
      <c r="N99" s="25"/>
      <c r="O99" s="25"/>
      <c r="P99" s="25"/>
      <c r="Q99" s="25"/>
      <c r="R99" s="34"/>
      <c r="S99" s="25"/>
      <c r="T99" s="53"/>
      <c r="U99" s="25"/>
      <c r="V99" s="5"/>
    </row>
    <row r="100" spans="1:23" ht="15.6" x14ac:dyDescent="0.3">
      <c r="A100" s="24">
        <v>1</v>
      </c>
      <c r="B100" s="25" t="s">
        <v>36</v>
      </c>
      <c r="C100" s="25"/>
      <c r="D100" s="25"/>
      <c r="E100" s="25"/>
      <c r="F100" s="25"/>
      <c r="G100" s="25"/>
      <c r="H100" s="25"/>
      <c r="I100" s="25"/>
      <c r="J100" s="25"/>
      <c r="K100" s="25"/>
      <c r="L100" s="25"/>
      <c r="M100" s="25"/>
      <c r="N100" s="25"/>
      <c r="O100" s="25"/>
      <c r="P100" s="25"/>
      <c r="Q100" s="25"/>
      <c r="R100" s="25"/>
      <c r="S100" s="25"/>
      <c r="T100" s="53">
        <v>0</v>
      </c>
      <c r="U100" s="25"/>
      <c r="V100" s="5"/>
    </row>
    <row r="101" spans="1:23" ht="15.6" x14ac:dyDescent="0.3">
      <c r="A101" s="24">
        <f>+A100+1</f>
        <v>2</v>
      </c>
      <c r="B101" s="25" t="s">
        <v>37</v>
      </c>
      <c r="C101" s="25"/>
      <c r="D101" s="25"/>
      <c r="E101" s="25"/>
      <c r="F101" s="25"/>
      <c r="G101" s="25"/>
      <c r="H101" s="25"/>
      <c r="I101" s="25"/>
      <c r="J101" s="25"/>
      <c r="K101" s="25"/>
      <c r="L101" s="25"/>
      <c r="M101" s="25"/>
      <c r="N101" s="25"/>
      <c r="O101" s="25"/>
      <c r="P101" s="25"/>
      <c r="Q101" s="25"/>
      <c r="R101" s="25"/>
      <c r="S101" s="25"/>
      <c r="T101" s="53">
        <v>-2</v>
      </c>
      <c r="U101" s="25"/>
      <c r="V101" s="5"/>
    </row>
    <row r="102" spans="1:23" ht="15.6" x14ac:dyDescent="0.3">
      <c r="A102" s="24">
        <f>+A101+1</f>
        <v>3</v>
      </c>
      <c r="B102" s="25" t="s">
        <v>160</v>
      </c>
      <c r="C102" s="25"/>
      <c r="D102" s="25"/>
      <c r="E102" s="25"/>
      <c r="F102" s="25"/>
      <c r="G102" s="25"/>
      <c r="H102" s="25"/>
      <c r="I102" s="25"/>
      <c r="J102" s="25"/>
      <c r="K102" s="25"/>
      <c r="L102" s="25"/>
      <c r="M102" s="25"/>
      <c r="N102" s="25"/>
      <c r="O102" s="25"/>
      <c r="P102" s="25"/>
      <c r="Q102" s="25"/>
      <c r="R102" s="25"/>
      <c r="S102" s="25"/>
      <c r="T102" s="53">
        <f>-147-90-5</f>
        <v>-242</v>
      </c>
      <c r="U102" s="25"/>
      <c r="V102" s="5"/>
    </row>
    <row r="103" spans="1:23" ht="15.6" x14ac:dyDescent="0.3">
      <c r="A103" s="24" t="s">
        <v>136</v>
      </c>
      <c r="B103" s="25" t="s">
        <v>125</v>
      </c>
      <c r="C103" s="25"/>
      <c r="D103" s="25"/>
      <c r="E103" s="25"/>
      <c r="F103" s="25"/>
      <c r="G103" s="25"/>
      <c r="H103" s="25"/>
      <c r="I103" s="25"/>
      <c r="J103" s="25"/>
      <c r="K103" s="25"/>
      <c r="L103" s="25"/>
      <c r="M103" s="25"/>
      <c r="N103" s="25"/>
      <c r="O103" s="25"/>
      <c r="P103" s="25"/>
      <c r="Q103" s="25"/>
      <c r="R103" s="25"/>
      <c r="S103" s="25"/>
      <c r="T103" s="53">
        <v>0</v>
      </c>
      <c r="U103" s="25"/>
      <c r="V103" s="5"/>
    </row>
    <row r="104" spans="1:23" ht="15.6" x14ac:dyDescent="0.3">
      <c r="A104" s="24" t="s">
        <v>137</v>
      </c>
      <c r="B104" s="25" t="s">
        <v>267</v>
      </c>
      <c r="C104" s="25"/>
      <c r="D104" s="25"/>
      <c r="E104" s="25"/>
      <c r="F104" s="25"/>
      <c r="G104" s="25"/>
      <c r="H104" s="25"/>
      <c r="I104" s="25"/>
      <c r="J104" s="25"/>
      <c r="K104" s="25"/>
      <c r="L104" s="25"/>
      <c r="M104" s="25"/>
      <c r="N104" s="25"/>
      <c r="O104" s="25"/>
      <c r="P104" s="25"/>
      <c r="Q104" s="25"/>
      <c r="R104" s="25"/>
      <c r="S104" s="25"/>
      <c r="T104" s="53">
        <v>-2</v>
      </c>
      <c r="U104" s="25"/>
      <c r="V104" s="5"/>
    </row>
    <row r="105" spans="1:23" ht="15.6" x14ac:dyDescent="0.3">
      <c r="A105" s="24" t="s">
        <v>162</v>
      </c>
      <c r="B105" s="25" t="s">
        <v>218</v>
      </c>
      <c r="C105" s="25"/>
      <c r="D105" s="25"/>
      <c r="E105" s="25"/>
      <c r="F105" s="25"/>
      <c r="G105" s="25"/>
      <c r="H105" s="25"/>
      <c r="I105" s="25"/>
      <c r="J105" s="25"/>
      <c r="K105" s="25"/>
      <c r="L105" s="25"/>
      <c r="M105" s="25"/>
      <c r="N105" s="25"/>
      <c r="O105" s="25"/>
      <c r="P105" s="25"/>
      <c r="Q105" s="25"/>
      <c r="R105" s="25"/>
      <c r="S105" s="25"/>
      <c r="T105" s="53">
        <v>-2635</v>
      </c>
      <c r="U105" s="25"/>
      <c r="V105" s="5"/>
      <c r="W105" s="110"/>
    </row>
    <row r="106" spans="1:23" ht="15.6" x14ac:dyDescent="0.3">
      <c r="A106" s="24" t="s">
        <v>163</v>
      </c>
      <c r="B106" s="25" t="s">
        <v>219</v>
      </c>
      <c r="C106" s="25"/>
      <c r="D106" s="25"/>
      <c r="E106" s="25"/>
      <c r="F106" s="25"/>
      <c r="G106" s="25"/>
      <c r="H106" s="25"/>
      <c r="I106" s="25"/>
      <c r="J106" s="25"/>
      <c r="K106" s="25"/>
      <c r="L106" s="25"/>
      <c r="M106" s="25"/>
      <c r="N106" s="25"/>
      <c r="O106" s="25"/>
      <c r="P106" s="25"/>
      <c r="Q106" s="25"/>
      <c r="R106" s="25"/>
      <c r="S106" s="25"/>
      <c r="T106" s="53">
        <v>-1866</v>
      </c>
      <c r="U106" s="25"/>
      <c r="V106" s="5"/>
      <c r="W106" s="110"/>
    </row>
    <row r="107" spans="1:23" ht="15.6" x14ac:dyDescent="0.3">
      <c r="A107" s="24" t="s">
        <v>252</v>
      </c>
      <c r="B107" s="25" t="s">
        <v>242</v>
      </c>
      <c r="C107" s="25"/>
      <c r="D107" s="25"/>
      <c r="E107" s="25"/>
      <c r="F107" s="25"/>
      <c r="G107" s="25"/>
      <c r="H107" s="25"/>
      <c r="I107" s="25"/>
      <c r="J107" s="25"/>
      <c r="K107" s="25"/>
      <c r="L107" s="25"/>
      <c r="M107" s="25"/>
      <c r="N107" s="25"/>
      <c r="O107" s="25"/>
      <c r="P107" s="25"/>
      <c r="Q107" s="25"/>
      <c r="R107" s="25"/>
      <c r="S107" s="25"/>
      <c r="T107" s="53">
        <v>-259</v>
      </c>
      <c r="U107" s="25"/>
      <c r="V107" s="170"/>
      <c r="W107" s="110"/>
    </row>
    <row r="108" spans="1:23" ht="15.6" x14ac:dyDescent="0.3">
      <c r="A108" s="24" t="s">
        <v>245</v>
      </c>
      <c r="B108" s="25" t="s">
        <v>220</v>
      </c>
      <c r="C108" s="25"/>
      <c r="D108" s="25"/>
      <c r="E108" s="25"/>
      <c r="F108" s="25"/>
      <c r="G108" s="25"/>
      <c r="H108" s="25"/>
      <c r="I108" s="25"/>
      <c r="J108" s="25"/>
      <c r="K108" s="25"/>
      <c r="L108" s="25"/>
      <c r="M108" s="25"/>
      <c r="N108" s="25"/>
      <c r="O108" s="25"/>
      <c r="P108" s="25"/>
      <c r="Q108" s="25"/>
      <c r="R108" s="25"/>
      <c r="S108" s="25"/>
      <c r="T108" s="53">
        <v>-108</v>
      </c>
      <c r="U108" s="25"/>
      <c r="V108" s="5"/>
      <c r="W108" s="110"/>
    </row>
    <row r="109" spans="1:23" ht="15.6" x14ac:dyDescent="0.3">
      <c r="A109" s="24" t="s">
        <v>246</v>
      </c>
      <c r="B109" s="25" t="s">
        <v>221</v>
      </c>
      <c r="C109" s="25"/>
      <c r="D109" s="25"/>
      <c r="E109" s="25"/>
      <c r="F109" s="25"/>
      <c r="G109" s="25"/>
      <c r="H109" s="25"/>
      <c r="I109" s="25"/>
      <c r="J109" s="25"/>
      <c r="K109" s="25"/>
      <c r="L109" s="25"/>
      <c r="M109" s="25"/>
      <c r="N109" s="25"/>
      <c r="O109" s="25"/>
      <c r="P109" s="25"/>
      <c r="Q109" s="25"/>
      <c r="R109" s="25"/>
      <c r="S109" s="25"/>
      <c r="T109" s="53">
        <v>-315</v>
      </c>
      <c r="U109" s="25"/>
      <c r="V109" s="5"/>
      <c r="W109" s="110"/>
    </row>
    <row r="110" spans="1:23" ht="15.6" x14ac:dyDescent="0.3">
      <c r="A110" s="24" t="s">
        <v>247</v>
      </c>
      <c r="B110" s="25" t="s">
        <v>222</v>
      </c>
      <c r="C110" s="25"/>
      <c r="D110" s="25"/>
      <c r="E110" s="25"/>
      <c r="F110" s="25"/>
      <c r="G110" s="25"/>
      <c r="H110" s="25"/>
      <c r="I110" s="25"/>
      <c r="J110" s="25"/>
      <c r="K110" s="25"/>
      <c r="L110" s="25"/>
      <c r="M110" s="25"/>
      <c r="N110" s="25"/>
      <c r="O110" s="25"/>
      <c r="P110" s="25"/>
      <c r="Q110" s="25"/>
      <c r="R110" s="25"/>
      <c r="S110" s="25"/>
      <c r="T110" s="53">
        <v>-48</v>
      </c>
      <c r="U110" s="25"/>
      <c r="V110" s="5"/>
      <c r="W110" s="110"/>
    </row>
    <row r="111" spans="1:23" ht="15.6" x14ac:dyDescent="0.3">
      <c r="A111" s="24" t="s">
        <v>248</v>
      </c>
      <c r="B111" s="25" t="s">
        <v>223</v>
      </c>
      <c r="C111" s="25"/>
      <c r="D111" s="25"/>
      <c r="E111" s="25"/>
      <c r="F111" s="25"/>
      <c r="G111" s="25"/>
      <c r="H111" s="25"/>
      <c r="I111" s="25"/>
      <c r="J111" s="25"/>
      <c r="K111" s="25"/>
      <c r="L111" s="25"/>
      <c r="M111" s="25"/>
      <c r="N111" s="25"/>
      <c r="O111" s="25"/>
      <c r="P111" s="25"/>
      <c r="Q111" s="25"/>
      <c r="R111" s="25"/>
      <c r="S111" s="25"/>
      <c r="T111" s="53">
        <v>-731</v>
      </c>
      <c r="U111" s="25"/>
      <c r="V111" s="5"/>
      <c r="W111" s="110"/>
    </row>
    <row r="112" spans="1:23" ht="15.6" x14ac:dyDescent="0.3">
      <c r="A112" s="24">
        <v>7</v>
      </c>
      <c r="B112" s="25" t="s">
        <v>38</v>
      </c>
      <c r="C112" s="25"/>
      <c r="D112" s="25"/>
      <c r="E112" s="25"/>
      <c r="F112" s="25"/>
      <c r="G112" s="25"/>
      <c r="H112" s="25"/>
      <c r="I112" s="25"/>
      <c r="J112" s="25"/>
      <c r="K112" s="25"/>
      <c r="L112" s="25"/>
      <c r="M112" s="25"/>
      <c r="N112" s="25"/>
      <c r="O112" s="25"/>
      <c r="P112" s="25"/>
      <c r="Q112" s="25"/>
      <c r="R112" s="25"/>
      <c r="S112" s="25"/>
      <c r="T112" s="53">
        <v>-8</v>
      </c>
      <c r="U112" s="25"/>
      <c r="V112" s="5"/>
    </row>
    <row r="113" spans="1:22" ht="15.6" x14ac:dyDescent="0.3">
      <c r="A113" s="24">
        <f t="shared" ref="A113:A118" si="0">+A112+1</f>
        <v>8</v>
      </c>
      <c r="B113" s="25" t="s">
        <v>49</v>
      </c>
      <c r="C113" s="25"/>
      <c r="D113" s="25"/>
      <c r="E113" s="25"/>
      <c r="F113" s="25"/>
      <c r="G113" s="25"/>
      <c r="H113" s="25"/>
      <c r="I113" s="25"/>
      <c r="J113" s="25"/>
      <c r="K113" s="25"/>
      <c r="L113" s="25"/>
      <c r="M113" s="25"/>
      <c r="N113" s="25"/>
      <c r="O113" s="25"/>
      <c r="P113" s="25"/>
      <c r="Q113" s="25"/>
      <c r="R113" s="34">
        <f>-T113</f>
        <v>38</v>
      </c>
      <c r="S113" s="25"/>
      <c r="T113" s="53">
        <v>-38</v>
      </c>
      <c r="U113" s="25"/>
      <c r="V113" s="5"/>
    </row>
    <row r="114" spans="1:22" ht="15.6" x14ac:dyDescent="0.3">
      <c r="A114" s="24">
        <f t="shared" si="0"/>
        <v>9</v>
      </c>
      <c r="B114" s="25" t="s">
        <v>134</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39</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40</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161</v>
      </c>
      <c r="C117" s="25"/>
      <c r="D117" s="25"/>
      <c r="E117" s="25"/>
      <c r="F117" s="25"/>
      <c r="G117" s="25"/>
      <c r="H117" s="25"/>
      <c r="I117" s="25"/>
      <c r="J117" s="25"/>
      <c r="K117" s="25"/>
      <c r="L117" s="25"/>
      <c r="M117" s="25"/>
      <c r="N117" s="25"/>
      <c r="O117" s="25"/>
      <c r="P117" s="25"/>
      <c r="Q117" s="25"/>
      <c r="R117" s="25"/>
      <c r="S117" s="25"/>
      <c r="T117" s="53">
        <v>-147</v>
      </c>
      <c r="U117" s="25"/>
      <c r="V117" s="5"/>
    </row>
    <row r="118" spans="1:22" ht="15.6" x14ac:dyDescent="0.3">
      <c r="A118" s="24">
        <f t="shared" si="0"/>
        <v>13</v>
      </c>
      <c r="B118" s="25" t="s">
        <v>135</v>
      </c>
      <c r="C118" s="25"/>
      <c r="D118" s="25"/>
      <c r="E118" s="25"/>
      <c r="F118" s="25"/>
      <c r="G118" s="25"/>
      <c r="H118" s="25"/>
      <c r="I118" s="25"/>
      <c r="J118" s="25"/>
      <c r="K118" s="25"/>
      <c r="L118" s="25"/>
      <c r="M118" s="25"/>
      <c r="N118" s="25"/>
      <c r="O118" s="25"/>
      <c r="P118" s="25"/>
      <c r="Q118" s="25"/>
      <c r="R118" s="25"/>
      <c r="S118" s="25"/>
      <c r="T118" s="53">
        <f>-T98-SUM(T100:T117)</f>
        <v>-867</v>
      </c>
      <c r="U118" s="25"/>
      <c r="V118" s="5"/>
    </row>
    <row r="119" spans="1:22" ht="15.6" x14ac:dyDescent="0.3">
      <c r="A119" s="24"/>
      <c r="B119" s="119" t="s">
        <v>41</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229</v>
      </c>
      <c r="C120" s="25"/>
      <c r="D120" s="25"/>
      <c r="E120" s="25"/>
      <c r="F120" s="25"/>
      <c r="G120" s="25"/>
      <c r="H120" s="25"/>
      <c r="I120" s="25"/>
      <c r="J120" s="25"/>
      <c r="K120" s="25"/>
      <c r="L120" s="25"/>
      <c r="M120" s="25"/>
      <c r="N120" s="25"/>
      <c r="O120" s="25"/>
      <c r="P120" s="25"/>
      <c r="Q120" s="25"/>
      <c r="R120" s="34">
        <f>-R179</f>
        <v>-10</v>
      </c>
      <c r="S120" s="34"/>
      <c r="T120" s="53"/>
      <c r="U120" s="25"/>
      <c r="V120" s="5"/>
    </row>
    <row r="121" spans="1:22" ht="15.6" x14ac:dyDescent="0.3">
      <c r="A121" s="24"/>
      <c r="B121" s="25" t="s">
        <v>230</v>
      </c>
      <c r="C121" s="25"/>
      <c r="D121" s="25"/>
      <c r="E121" s="25"/>
      <c r="F121" s="25"/>
      <c r="G121" s="25"/>
      <c r="H121" s="25"/>
      <c r="I121" s="25"/>
      <c r="J121" s="25"/>
      <c r="K121" s="25"/>
      <c r="L121" s="25"/>
      <c r="M121" s="25"/>
      <c r="N121" s="25"/>
      <c r="O121" s="25"/>
      <c r="P121" s="25"/>
      <c r="Q121" s="25"/>
      <c r="R121" s="34">
        <v>-10</v>
      </c>
      <c r="S121" s="34"/>
      <c r="T121" s="53"/>
      <c r="U121" s="25"/>
      <c r="V121" s="5"/>
    </row>
    <row r="122" spans="1:22" ht="15.6" x14ac:dyDescent="0.3">
      <c r="A122" s="24"/>
      <c r="B122" s="25" t="s">
        <v>42</v>
      </c>
      <c r="C122" s="25"/>
      <c r="D122" s="25"/>
      <c r="E122" s="25"/>
      <c r="F122" s="25"/>
      <c r="G122" s="25"/>
      <c r="H122" s="25"/>
      <c r="I122" s="25"/>
      <c r="J122" s="25"/>
      <c r="K122" s="25"/>
      <c r="L122" s="25"/>
      <c r="M122" s="25"/>
      <c r="N122" s="25"/>
      <c r="O122" s="25"/>
      <c r="P122" s="25"/>
      <c r="Q122" s="25"/>
      <c r="R122" s="34">
        <f>-Q179</f>
        <v>-2398</v>
      </c>
      <c r="S122" s="34"/>
      <c r="T122" s="53"/>
      <c r="U122" s="25"/>
      <c r="V122" s="5"/>
    </row>
    <row r="123" spans="1:22" ht="15.6" x14ac:dyDescent="0.3">
      <c r="A123" s="24"/>
      <c r="B123" s="25" t="s">
        <v>235</v>
      </c>
      <c r="C123" s="25"/>
      <c r="D123" s="25"/>
      <c r="E123" s="25"/>
      <c r="F123" s="25"/>
      <c r="G123" s="25"/>
      <c r="H123" s="25"/>
      <c r="I123" s="25"/>
      <c r="J123" s="25"/>
      <c r="K123" s="25"/>
      <c r="L123" s="25"/>
      <c r="M123" s="25"/>
      <c r="N123" s="25"/>
      <c r="O123" s="25"/>
      <c r="P123" s="25"/>
      <c r="Q123" s="25"/>
      <c r="R123" s="34">
        <v>-13034</v>
      </c>
      <c r="S123" s="34"/>
      <c r="T123" s="53"/>
      <c r="U123" s="25"/>
      <c r="V123" s="5"/>
    </row>
    <row r="124" spans="1:22" ht="15.6" x14ac:dyDescent="0.3">
      <c r="A124" s="24"/>
      <c r="B124" s="25" t="s">
        <v>236</v>
      </c>
      <c r="C124" s="25"/>
      <c r="D124" s="25"/>
      <c r="E124" s="25"/>
      <c r="F124" s="25"/>
      <c r="G124" s="25"/>
      <c r="H124" s="25"/>
      <c r="I124" s="25"/>
      <c r="J124" s="25"/>
      <c r="K124" s="25"/>
      <c r="L124" s="25"/>
      <c r="M124" s="25"/>
      <c r="N124" s="25"/>
      <c r="O124" s="25"/>
      <c r="P124" s="25"/>
      <c r="Q124" s="25"/>
      <c r="R124" s="34">
        <v>-9210</v>
      </c>
      <c r="S124" s="34"/>
      <c r="T124" s="53"/>
      <c r="U124" s="25"/>
      <c r="V124" s="5"/>
    </row>
    <row r="125" spans="1:22" ht="15.6" x14ac:dyDescent="0.3">
      <c r="A125" s="24"/>
      <c r="B125" s="25" t="s">
        <v>241</v>
      </c>
      <c r="C125" s="25"/>
      <c r="D125" s="25"/>
      <c r="E125" s="25"/>
      <c r="F125" s="25"/>
      <c r="G125" s="25"/>
      <c r="H125" s="25"/>
      <c r="I125" s="25"/>
      <c r="J125" s="25"/>
      <c r="K125" s="25"/>
      <c r="L125" s="25"/>
      <c r="M125" s="25"/>
      <c r="N125" s="25"/>
      <c r="O125" s="25"/>
      <c r="P125" s="25"/>
      <c r="Q125" s="25"/>
      <c r="R125" s="34">
        <v>-1277</v>
      </c>
      <c r="S125" s="34"/>
      <c r="T125" s="53"/>
      <c r="U125" s="25"/>
      <c r="V125" s="5"/>
    </row>
    <row r="126" spans="1:22" ht="15.6" x14ac:dyDescent="0.3">
      <c r="A126" s="24"/>
      <c r="B126" s="25" t="s">
        <v>237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238</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239</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240</v>
      </c>
      <c r="C129" s="25"/>
      <c r="D129" s="25"/>
      <c r="E129" s="25"/>
      <c r="F129" s="25"/>
      <c r="G129" s="25"/>
      <c r="H129" s="25"/>
      <c r="I129" s="25"/>
      <c r="J129" s="25"/>
      <c r="K129" s="25"/>
      <c r="L129" s="25"/>
      <c r="M129" s="25"/>
      <c r="N129" s="25"/>
      <c r="O129" s="25"/>
      <c r="P129" s="25"/>
      <c r="Q129" s="25"/>
      <c r="R129" s="34">
        <v>0</v>
      </c>
      <c r="S129" s="34"/>
      <c r="T129" s="53"/>
      <c r="U129" s="25"/>
      <c r="V129" s="5"/>
    </row>
    <row r="130" spans="1:22" ht="15.6" x14ac:dyDescent="0.3">
      <c r="A130" s="24"/>
      <c r="B130" s="25" t="s">
        <v>43</v>
      </c>
      <c r="C130" s="25"/>
      <c r="D130" s="25"/>
      <c r="E130" s="25"/>
      <c r="F130" s="25"/>
      <c r="G130" s="25"/>
      <c r="H130" s="25"/>
      <c r="I130" s="25"/>
      <c r="J130" s="25"/>
      <c r="K130" s="25"/>
      <c r="L130" s="25"/>
      <c r="M130" s="25"/>
      <c r="N130" s="25"/>
      <c r="O130" s="25"/>
      <c r="P130" s="25"/>
      <c r="Q130" s="25"/>
      <c r="R130" s="34">
        <f>SUM(R120:R129)</f>
        <v>-25939</v>
      </c>
      <c r="S130" s="34"/>
      <c r="T130" s="34">
        <f>SUM(T99:T128)</f>
        <v>-7268</v>
      </c>
      <c r="U130" s="25"/>
      <c r="V130" s="5"/>
    </row>
    <row r="131" spans="1:22" ht="15.6" x14ac:dyDescent="0.3">
      <c r="A131" s="24"/>
      <c r="B131" s="25" t="s">
        <v>44</v>
      </c>
      <c r="C131" s="25"/>
      <c r="D131" s="25"/>
      <c r="E131" s="25"/>
      <c r="F131" s="25"/>
      <c r="G131" s="25"/>
      <c r="H131" s="25"/>
      <c r="I131" s="25"/>
      <c r="J131" s="25"/>
      <c r="K131" s="25"/>
      <c r="L131" s="25"/>
      <c r="M131" s="25"/>
      <c r="N131" s="25"/>
      <c r="O131" s="25"/>
      <c r="P131" s="25"/>
      <c r="Q131" s="25"/>
      <c r="R131" s="34">
        <f>R98+R130+R113</f>
        <v>0</v>
      </c>
      <c r="S131" s="34"/>
      <c r="T131" s="34">
        <f>T98+T130</f>
        <v>0</v>
      </c>
      <c r="U131" s="25"/>
      <c r="V131" s="5"/>
    </row>
    <row r="132" spans="1:22" ht="15.6" x14ac:dyDescent="0.3">
      <c r="A132" s="24"/>
      <c r="B132" s="25"/>
      <c r="C132" s="25"/>
      <c r="D132" s="25"/>
      <c r="E132" s="25"/>
      <c r="F132" s="25"/>
      <c r="G132" s="25"/>
      <c r="H132" s="25"/>
      <c r="I132" s="25"/>
      <c r="J132" s="25"/>
      <c r="K132" s="25"/>
      <c r="L132" s="25"/>
      <c r="M132" s="25"/>
      <c r="N132" s="25"/>
      <c r="O132" s="25"/>
      <c r="P132" s="25"/>
      <c r="Q132" s="25"/>
      <c r="R132" s="34"/>
      <c r="S132" s="34"/>
      <c r="T132" s="34"/>
      <c r="U132" s="25"/>
      <c r="V132" s="5"/>
    </row>
    <row r="133" spans="1:22" ht="15.6" x14ac:dyDescent="0.3">
      <c r="A133" s="6"/>
      <c r="B133" s="8"/>
      <c r="C133" s="8"/>
      <c r="D133" s="8"/>
      <c r="E133" s="8"/>
      <c r="F133" s="8"/>
      <c r="G133" s="8"/>
      <c r="H133" s="8"/>
      <c r="I133" s="8"/>
      <c r="J133" s="8"/>
      <c r="K133" s="8"/>
      <c r="L133" s="8"/>
      <c r="M133" s="8"/>
      <c r="N133" s="8"/>
      <c r="O133" s="8"/>
      <c r="P133" s="8"/>
      <c r="Q133" s="8"/>
      <c r="R133" s="8"/>
      <c r="S133" s="8"/>
      <c r="T133" s="52"/>
      <c r="U133" s="8"/>
      <c r="V133" s="5"/>
    </row>
    <row r="134" spans="1:22" ht="18" thickBot="1" x14ac:dyDescent="0.35">
      <c r="A134" s="102"/>
      <c r="B134" s="103" t="str">
        <f>B61</f>
        <v>PM9 INVESTOR REPORT QUARTER ENDING JULY 2008</v>
      </c>
      <c r="C134" s="104"/>
      <c r="D134" s="104"/>
      <c r="E134" s="104"/>
      <c r="F134" s="104"/>
      <c r="G134" s="104"/>
      <c r="H134" s="104"/>
      <c r="I134" s="104"/>
      <c r="J134" s="104"/>
      <c r="K134" s="104"/>
      <c r="L134" s="104"/>
      <c r="M134" s="104"/>
      <c r="N134" s="104"/>
      <c r="O134" s="104"/>
      <c r="P134" s="104"/>
      <c r="Q134" s="104"/>
      <c r="R134" s="104"/>
      <c r="S134" s="104"/>
      <c r="T134" s="107"/>
      <c r="U134" s="106"/>
      <c r="V134" s="5"/>
    </row>
    <row r="135" spans="1:22" ht="15.6" x14ac:dyDescent="0.3">
      <c r="A135" s="2"/>
      <c r="B135" s="60" t="s">
        <v>45</v>
      </c>
      <c r="C135" s="4"/>
      <c r="D135" s="4"/>
      <c r="E135" s="4"/>
      <c r="F135" s="4"/>
      <c r="G135" s="4"/>
      <c r="H135" s="4"/>
      <c r="I135" s="4"/>
      <c r="J135" s="4"/>
      <c r="K135" s="4"/>
      <c r="L135" s="4"/>
      <c r="M135" s="4"/>
      <c r="N135" s="4"/>
      <c r="O135" s="4"/>
      <c r="P135" s="4"/>
      <c r="Q135" s="4"/>
      <c r="R135" s="4"/>
      <c r="S135" s="4"/>
      <c r="T135" s="50"/>
      <c r="U135" s="4"/>
      <c r="V135" s="5"/>
    </row>
    <row r="136" spans="1:22" ht="15.6" x14ac:dyDescent="0.3">
      <c r="A136" s="6"/>
      <c r="B136" s="21"/>
      <c r="C136" s="8"/>
      <c r="D136" s="8"/>
      <c r="E136" s="8"/>
      <c r="F136" s="8"/>
      <c r="G136" s="8"/>
      <c r="H136" s="8"/>
      <c r="I136" s="8"/>
      <c r="J136" s="8"/>
      <c r="K136" s="8"/>
      <c r="L136" s="8"/>
      <c r="M136" s="8"/>
      <c r="N136" s="8"/>
      <c r="O136" s="8"/>
      <c r="P136" s="8"/>
      <c r="Q136" s="8"/>
      <c r="R136" s="8"/>
      <c r="S136" s="8"/>
      <c r="T136" s="52"/>
      <c r="U136" s="8"/>
      <c r="V136" s="5"/>
    </row>
    <row r="137" spans="1:22" ht="15.6" x14ac:dyDescent="0.3">
      <c r="A137" s="6"/>
      <c r="B137" s="120" t="s">
        <v>46</v>
      </c>
      <c r="C137" s="8"/>
      <c r="D137" s="8"/>
      <c r="E137" s="8"/>
      <c r="F137" s="8"/>
      <c r="G137" s="8"/>
      <c r="H137" s="8"/>
      <c r="I137" s="8"/>
      <c r="J137" s="8"/>
      <c r="K137" s="8"/>
      <c r="L137" s="8"/>
      <c r="M137" s="8"/>
      <c r="N137" s="8"/>
      <c r="O137" s="8"/>
      <c r="P137" s="8"/>
      <c r="Q137" s="8"/>
      <c r="R137" s="8"/>
      <c r="S137" s="8"/>
      <c r="T137" s="52"/>
      <c r="U137" s="8"/>
      <c r="V137" s="5"/>
    </row>
    <row r="138" spans="1:22" ht="15.6" x14ac:dyDescent="0.3">
      <c r="A138" s="24"/>
      <c r="B138" s="25" t="s">
        <v>47</v>
      </c>
      <c r="C138" s="25"/>
      <c r="D138" s="25"/>
      <c r="E138" s="25"/>
      <c r="F138" s="25"/>
      <c r="G138" s="25"/>
      <c r="H138" s="25"/>
      <c r="I138" s="25"/>
      <c r="J138" s="25"/>
      <c r="K138" s="25"/>
      <c r="L138" s="25"/>
      <c r="M138" s="25"/>
      <c r="N138" s="25"/>
      <c r="O138" s="25"/>
      <c r="P138" s="25"/>
      <c r="Q138" s="25"/>
      <c r="R138" s="25"/>
      <c r="S138" s="25"/>
      <c r="T138" s="53">
        <f>+T32*0.0176</f>
        <v>12320</v>
      </c>
      <c r="U138" s="25"/>
      <c r="V138" s="5"/>
    </row>
    <row r="139" spans="1:22" ht="15.6" x14ac:dyDescent="0.3">
      <c r="A139" s="24"/>
      <c r="B139" s="25" t="s">
        <v>48</v>
      </c>
      <c r="C139" s="25"/>
      <c r="D139" s="25"/>
      <c r="E139" s="25"/>
      <c r="F139" s="25"/>
      <c r="G139" s="25"/>
      <c r="H139" s="25"/>
      <c r="I139" s="25"/>
      <c r="J139" s="25"/>
      <c r="K139" s="25"/>
      <c r="L139" s="25"/>
      <c r="M139" s="25"/>
      <c r="N139" s="25"/>
      <c r="O139" s="25"/>
      <c r="P139" s="25"/>
      <c r="Q139" s="25"/>
      <c r="R139" s="25"/>
      <c r="S139" s="25"/>
      <c r="T139" s="53">
        <v>12320</v>
      </c>
      <c r="U139" s="25"/>
      <c r="V139" s="5"/>
    </row>
    <row r="140" spans="1:22" ht="15.6" x14ac:dyDescent="0.3">
      <c r="A140" s="24"/>
      <c r="B140" s="25" t="s">
        <v>145</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132</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133</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232</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49</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138</v>
      </c>
      <c r="C145" s="25"/>
      <c r="D145" s="25"/>
      <c r="E145" s="25"/>
      <c r="F145" s="25"/>
      <c r="G145" s="25"/>
      <c r="H145" s="25"/>
      <c r="I145" s="25"/>
      <c r="J145" s="25"/>
      <c r="K145" s="25"/>
      <c r="L145" s="25"/>
      <c r="M145" s="25"/>
      <c r="N145" s="25"/>
      <c r="O145" s="25"/>
      <c r="P145" s="25"/>
      <c r="Q145" s="25"/>
      <c r="R145" s="25"/>
      <c r="S145" s="25"/>
      <c r="T145" s="53">
        <v>0</v>
      </c>
      <c r="U145" s="25"/>
      <c r="V145" s="5"/>
    </row>
    <row r="146" spans="1:23" ht="15.6" x14ac:dyDescent="0.3">
      <c r="A146" s="24"/>
      <c r="B146" s="25" t="s">
        <v>231</v>
      </c>
      <c r="C146" s="25"/>
      <c r="D146" s="25"/>
      <c r="E146" s="25"/>
      <c r="F146" s="25"/>
      <c r="G146" s="25"/>
      <c r="H146" s="25"/>
      <c r="I146" s="25"/>
      <c r="J146" s="25"/>
      <c r="K146" s="25"/>
      <c r="L146" s="25"/>
      <c r="M146" s="25"/>
      <c r="N146" s="25"/>
      <c r="O146" s="25"/>
      <c r="P146" s="25"/>
      <c r="Q146" s="25"/>
      <c r="R146" s="25"/>
      <c r="S146" s="25"/>
      <c r="T146" s="53">
        <v>0</v>
      </c>
      <c r="U146" s="25"/>
      <c r="V146" s="5"/>
      <c r="W146" s="110"/>
    </row>
    <row r="147" spans="1:23" ht="15.6" x14ac:dyDescent="0.3">
      <c r="A147" s="24"/>
      <c r="B147" s="25" t="s">
        <v>50</v>
      </c>
      <c r="C147" s="25"/>
      <c r="D147" s="25"/>
      <c r="E147" s="25"/>
      <c r="F147" s="25"/>
      <c r="G147" s="25"/>
      <c r="H147" s="25"/>
      <c r="I147" s="25"/>
      <c r="J147" s="25"/>
      <c r="K147" s="25"/>
      <c r="L147" s="25"/>
      <c r="M147" s="25"/>
      <c r="N147" s="25"/>
      <c r="O147" s="25"/>
      <c r="P147" s="25"/>
      <c r="Q147" s="25"/>
      <c r="R147" s="25"/>
      <c r="S147" s="25"/>
      <c r="T147" s="53">
        <f>SUM(T139:T146)</f>
        <v>12320</v>
      </c>
      <c r="U147" s="25"/>
      <c r="V147" s="5"/>
    </row>
    <row r="148" spans="1:23" ht="15.6" x14ac:dyDescent="0.3">
      <c r="A148" s="24"/>
      <c r="B148" s="25"/>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141" t="s">
        <v>264</v>
      </c>
      <c r="C149" s="25"/>
      <c r="D149" s="25"/>
      <c r="E149" s="25"/>
      <c r="F149" s="25"/>
      <c r="G149" s="25"/>
      <c r="H149" s="25"/>
      <c r="I149" s="25"/>
      <c r="J149" s="25"/>
      <c r="K149" s="25"/>
      <c r="L149" s="25"/>
      <c r="M149" s="25"/>
      <c r="N149" s="25"/>
      <c r="O149" s="25"/>
      <c r="P149" s="25"/>
      <c r="Q149" s="25"/>
      <c r="R149" s="25"/>
      <c r="S149" s="25"/>
      <c r="T149" s="53"/>
      <c r="U149" s="25"/>
      <c r="V149" s="5"/>
    </row>
    <row r="150" spans="1:23" ht="15.6" x14ac:dyDescent="0.3">
      <c r="A150" s="24"/>
      <c r="B150" s="25" t="s">
        <v>170</v>
      </c>
      <c r="C150" s="25"/>
      <c r="D150" s="25"/>
      <c r="E150" s="25"/>
      <c r="F150" s="25"/>
      <c r="G150" s="25"/>
      <c r="H150" s="25"/>
      <c r="I150" s="25"/>
      <c r="J150" s="25"/>
      <c r="K150" s="25"/>
      <c r="L150" s="25"/>
      <c r="M150" s="25"/>
      <c r="N150" s="25"/>
      <c r="O150" s="25"/>
      <c r="P150" s="25"/>
      <c r="Q150" s="25"/>
      <c r="R150" s="25"/>
      <c r="S150" s="25"/>
      <c r="T150" s="53">
        <v>10000</v>
      </c>
      <c r="U150" s="25"/>
      <c r="V150" s="5"/>
    </row>
    <row r="151" spans="1:23" ht="15.6" x14ac:dyDescent="0.3">
      <c r="A151" s="24"/>
      <c r="B151" s="25" t="s">
        <v>260</v>
      </c>
      <c r="C151" s="25"/>
      <c r="D151" s="25"/>
      <c r="E151" s="25"/>
      <c r="F151" s="25"/>
      <c r="G151" s="25"/>
      <c r="H151" s="25"/>
      <c r="I151" s="25"/>
      <c r="J151" s="25"/>
      <c r="K151" s="25"/>
      <c r="L151" s="25"/>
      <c r="M151" s="25"/>
      <c r="N151" s="25"/>
      <c r="O151" s="25"/>
      <c r="P151" s="25"/>
      <c r="Q151" s="25"/>
      <c r="R151" s="25"/>
      <c r="S151" s="25"/>
      <c r="T151" s="53">
        <v>6000</v>
      </c>
      <c r="U151" s="25"/>
      <c r="V151" s="5"/>
    </row>
    <row r="152" spans="1:23" ht="15.6" x14ac:dyDescent="0.3">
      <c r="A152" s="24"/>
      <c r="B152" s="25" t="s">
        <v>228</v>
      </c>
      <c r="C152" s="25"/>
      <c r="D152" s="25"/>
      <c r="E152" s="25"/>
      <c r="F152" s="25"/>
      <c r="G152" s="25"/>
      <c r="H152" s="25"/>
      <c r="I152" s="25"/>
      <c r="J152" s="25"/>
      <c r="K152" s="25"/>
      <c r="L152" s="25"/>
      <c r="M152" s="25"/>
      <c r="N152" s="25"/>
      <c r="O152" s="25"/>
      <c r="P152" s="25"/>
      <c r="Q152" s="25"/>
      <c r="R152" s="25"/>
      <c r="S152" s="25"/>
      <c r="T152" s="53">
        <v>0</v>
      </c>
      <c r="U152" s="25"/>
      <c r="V152" s="5"/>
    </row>
    <row r="153" spans="1:23" ht="15.6" x14ac:dyDescent="0.3">
      <c r="A153" s="24"/>
      <c r="B153" s="25" t="s">
        <v>266</v>
      </c>
      <c r="C153" s="25"/>
      <c r="D153" s="25"/>
      <c r="E153" s="25"/>
      <c r="F153" s="25"/>
      <c r="G153" s="25"/>
      <c r="H153" s="25"/>
      <c r="I153" s="25"/>
      <c r="J153" s="25"/>
      <c r="K153" s="25"/>
      <c r="L153" s="25"/>
      <c r="M153" s="25"/>
      <c r="N153" s="25"/>
      <c r="O153" s="25"/>
      <c r="P153" s="25"/>
      <c r="Q153" s="25"/>
      <c r="R153" s="25"/>
      <c r="S153" s="25"/>
      <c r="T153" s="53">
        <v>6000</v>
      </c>
      <c r="U153" s="25"/>
      <c r="V153" s="5"/>
    </row>
    <row r="154" spans="1:23" ht="15.6" x14ac:dyDescent="0.3">
      <c r="A154" s="24"/>
      <c r="B154" s="25"/>
      <c r="C154" s="25"/>
      <c r="D154" s="25"/>
      <c r="E154" s="25"/>
      <c r="F154" s="25"/>
      <c r="G154" s="25"/>
      <c r="H154" s="25"/>
      <c r="I154" s="25"/>
      <c r="J154" s="25"/>
      <c r="K154" s="25"/>
      <c r="L154" s="25"/>
      <c r="M154" s="25"/>
      <c r="N154" s="25"/>
      <c r="O154" s="25"/>
      <c r="P154" s="25"/>
      <c r="Q154" s="25"/>
      <c r="R154" s="25"/>
      <c r="S154" s="25"/>
      <c r="T154" s="53"/>
      <c r="U154" s="25"/>
      <c r="V154" s="5"/>
    </row>
    <row r="155" spans="1:23" ht="15.6" x14ac:dyDescent="0.3">
      <c r="A155" s="24"/>
      <c r="B155" s="25"/>
      <c r="C155" s="25"/>
      <c r="D155" s="25"/>
      <c r="E155" s="25"/>
      <c r="F155" s="25"/>
      <c r="G155" s="25"/>
      <c r="H155" s="25"/>
      <c r="I155" s="25"/>
      <c r="J155" s="25"/>
      <c r="K155" s="25"/>
      <c r="L155" s="25"/>
      <c r="M155" s="25"/>
      <c r="N155" s="25"/>
      <c r="O155" s="25"/>
      <c r="P155" s="25"/>
      <c r="Q155" s="25"/>
      <c r="R155" s="25"/>
      <c r="S155" s="25"/>
      <c r="T155" s="61"/>
      <c r="U155" s="25"/>
      <c r="V155" s="5"/>
    </row>
    <row r="156" spans="1:23" ht="15.6" x14ac:dyDescent="0.3">
      <c r="A156" s="6"/>
      <c r="B156" s="120" t="s">
        <v>25</v>
      </c>
      <c r="C156" s="8"/>
      <c r="D156" s="8"/>
      <c r="E156" s="8"/>
      <c r="F156" s="8"/>
      <c r="G156" s="8"/>
      <c r="H156" s="8"/>
      <c r="I156" s="8"/>
      <c r="J156" s="8"/>
      <c r="K156" s="8"/>
      <c r="L156" s="8"/>
      <c r="M156" s="8"/>
      <c r="N156" s="8"/>
      <c r="O156" s="8"/>
      <c r="P156" s="8"/>
      <c r="Q156" s="8"/>
      <c r="R156" s="8"/>
      <c r="S156" s="8"/>
      <c r="T156" s="52"/>
      <c r="U156" s="8"/>
      <c r="V156" s="5"/>
    </row>
    <row r="157" spans="1:23" ht="15.6" x14ac:dyDescent="0.3">
      <c r="A157" s="24"/>
      <c r="B157" s="25" t="s">
        <v>51</v>
      </c>
      <c r="C157" s="25"/>
      <c r="D157" s="25"/>
      <c r="E157" s="25"/>
      <c r="F157" s="25"/>
      <c r="G157" s="25"/>
      <c r="H157" s="25"/>
      <c r="I157" s="25"/>
      <c r="J157" s="25"/>
      <c r="K157" s="25"/>
      <c r="L157" s="25"/>
      <c r="M157" s="25"/>
      <c r="N157" s="25"/>
      <c r="O157" s="25"/>
      <c r="P157" s="25"/>
      <c r="Q157" s="25"/>
      <c r="R157" s="25"/>
      <c r="S157" s="25"/>
      <c r="T157" s="59" t="s">
        <v>127</v>
      </c>
      <c r="U157" s="25"/>
      <c r="V157" s="5"/>
    </row>
    <row r="158" spans="1:23" ht="15.6" x14ac:dyDescent="0.3">
      <c r="A158" s="24"/>
      <c r="B158" s="25" t="s">
        <v>52</v>
      </c>
      <c r="C158" s="160"/>
      <c r="D158" s="160"/>
      <c r="E158" s="160"/>
      <c r="F158" s="160"/>
      <c r="G158" s="160"/>
      <c r="H158" s="160"/>
      <c r="I158" s="160"/>
      <c r="J158" s="160"/>
      <c r="K158" s="160"/>
      <c r="L158" s="160"/>
      <c r="M158" s="160"/>
      <c r="N158" s="160"/>
      <c r="O158" s="160"/>
      <c r="P158" s="160"/>
      <c r="Q158" s="160"/>
      <c r="R158" s="160"/>
      <c r="S158" s="160"/>
      <c r="T158" s="59" t="s">
        <v>127</v>
      </c>
      <c r="U158" s="25"/>
      <c r="V158" s="5"/>
    </row>
    <row r="159" spans="1:23" ht="15.6" x14ac:dyDescent="0.3">
      <c r="A159" s="24"/>
      <c r="B159" s="25" t="s">
        <v>53</v>
      </c>
      <c r="C159" s="25"/>
      <c r="D159" s="25"/>
      <c r="E159" s="25"/>
      <c r="F159" s="25"/>
      <c r="G159" s="25"/>
      <c r="H159" s="25"/>
      <c r="I159" s="25"/>
      <c r="J159" s="25"/>
      <c r="K159" s="25"/>
      <c r="L159" s="25"/>
      <c r="M159" s="25"/>
      <c r="N159" s="25"/>
      <c r="O159" s="25"/>
      <c r="P159" s="25"/>
      <c r="Q159" s="25"/>
      <c r="R159" s="25"/>
      <c r="S159" s="25"/>
      <c r="T159" s="59" t="s">
        <v>127</v>
      </c>
      <c r="U159" s="25"/>
      <c r="V159" s="5"/>
    </row>
    <row r="160" spans="1:23" ht="15.6" x14ac:dyDescent="0.3">
      <c r="A160" s="24"/>
      <c r="B160" s="25" t="s">
        <v>54</v>
      </c>
      <c r="C160" s="25"/>
      <c r="D160" s="25"/>
      <c r="E160" s="25"/>
      <c r="F160" s="25"/>
      <c r="G160" s="25"/>
      <c r="H160" s="25"/>
      <c r="I160" s="25"/>
      <c r="J160" s="25"/>
      <c r="K160" s="25"/>
      <c r="L160" s="25"/>
      <c r="M160" s="25"/>
      <c r="N160" s="25"/>
      <c r="O160" s="25"/>
      <c r="P160" s="25"/>
      <c r="Q160" s="25"/>
      <c r="R160" s="25"/>
      <c r="S160" s="25"/>
      <c r="T160" s="59" t="s">
        <v>127</v>
      </c>
      <c r="U160" s="25"/>
      <c r="V160" s="5"/>
    </row>
    <row r="161" spans="1:22" ht="15.6" x14ac:dyDescent="0.3">
      <c r="A161" s="24"/>
      <c r="B161" s="25"/>
      <c r="C161" s="25"/>
      <c r="D161" s="25"/>
      <c r="E161" s="25"/>
      <c r="F161" s="25"/>
      <c r="G161" s="25"/>
      <c r="H161" s="25"/>
      <c r="I161" s="25"/>
      <c r="J161" s="25"/>
      <c r="K161" s="25"/>
      <c r="L161" s="25"/>
      <c r="M161" s="25"/>
      <c r="N161" s="25"/>
      <c r="O161" s="25"/>
      <c r="P161" s="25"/>
      <c r="Q161" s="25"/>
      <c r="R161" s="25"/>
      <c r="S161" s="25"/>
      <c r="T161" s="61"/>
      <c r="U161" s="25"/>
      <c r="V161" s="5"/>
    </row>
    <row r="162" spans="1:22" ht="15.6" x14ac:dyDescent="0.3">
      <c r="A162" s="6"/>
      <c r="B162" s="120" t="s">
        <v>55</v>
      </c>
      <c r="C162" s="8"/>
      <c r="D162" s="8"/>
      <c r="E162" s="8"/>
      <c r="F162" s="8"/>
      <c r="G162" s="8"/>
      <c r="H162" s="8"/>
      <c r="I162" s="8"/>
      <c r="J162" s="8"/>
      <c r="K162" s="8"/>
      <c r="L162" s="8"/>
      <c r="M162" s="8"/>
      <c r="N162" s="8"/>
      <c r="O162" s="8"/>
      <c r="P162" s="8"/>
      <c r="Q162" s="8"/>
      <c r="R162" s="8"/>
      <c r="S162" s="8"/>
      <c r="T162" s="63"/>
      <c r="U162" s="8"/>
      <c r="V162" s="5"/>
    </row>
    <row r="163" spans="1:22" ht="15.6" x14ac:dyDescent="0.3">
      <c r="A163" s="24"/>
      <c r="B163" s="25" t="s">
        <v>56</v>
      </c>
      <c r="C163" s="25"/>
      <c r="D163" s="25"/>
      <c r="E163" s="25"/>
      <c r="F163" s="25"/>
      <c r="G163" s="25"/>
      <c r="H163" s="25"/>
      <c r="I163" s="25"/>
      <c r="J163" s="25"/>
      <c r="K163" s="25"/>
      <c r="L163" s="25"/>
      <c r="M163" s="25"/>
      <c r="N163" s="25"/>
      <c r="O163" s="25"/>
      <c r="P163" s="25"/>
      <c r="Q163" s="25"/>
      <c r="R163" s="25"/>
      <c r="S163" s="25"/>
      <c r="T163" s="53">
        <v>0</v>
      </c>
      <c r="U163" s="25"/>
      <c r="V163" s="5"/>
    </row>
    <row r="164" spans="1:22" ht="15.6" x14ac:dyDescent="0.3">
      <c r="A164" s="24"/>
      <c r="B164" s="25" t="s">
        <v>57</v>
      </c>
      <c r="C164" s="25"/>
      <c r="D164" s="25"/>
      <c r="E164" s="25"/>
      <c r="F164" s="25"/>
      <c r="G164" s="25"/>
      <c r="H164" s="25"/>
      <c r="I164" s="25"/>
      <c r="J164" s="25"/>
      <c r="K164" s="25"/>
      <c r="L164" s="25"/>
      <c r="M164" s="25"/>
      <c r="N164" s="25"/>
      <c r="O164" s="25"/>
      <c r="P164" s="25"/>
      <c r="Q164" s="25"/>
      <c r="R164" s="25"/>
      <c r="S164" s="25"/>
      <c r="T164" s="53">
        <f>-T113</f>
        <v>38</v>
      </c>
      <c r="U164" s="25"/>
      <c r="V164" s="5"/>
    </row>
    <row r="165" spans="1:22" ht="15.6" x14ac:dyDescent="0.3">
      <c r="A165" s="24"/>
      <c r="B165" s="25" t="s">
        <v>58</v>
      </c>
      <c r="C165" s="25"/>
      <c r="D165" s="25"/>
      <c r="E165" s="25"/>
      <c r="F165" s="25"/>
      <c r="G165" s="25"/>
      <c r="H165" s="25"/>
      <c r="I165" s="25"/>
      <c r="J165" s="25"/>
      <c r="K165" s="25"/>
      <c r="L165" s="25"/>
      <c r="M165" s="25"/>
      <c r="N165" s="25"/>
      <c r="O165" s="25"/>
      <c r="P165" s="25"/>
      <c r="Q165" s="25"/>
      <c r="R165" s="25"/>
      <c r="S165" s="25"/>
      <c r="T165" s="53">
        <f>T164+T163</f>
        <v>38</v>
      </c>
      <c r="U165" s="25"/>
      <c r="V165" s="5"/>
    </row>
    <row r="166" spans="1:22" ht="15.6" x14ac:dyDescent="0.3">
      <c r="A166" s="24"/>
      <c r="B166" s="25" t="s">
        <v>309</v>
      </c>
      <c r="C166" s="25"/>
      <c r="D166" s="25"/>
      <c r="E166" s="25"/>
      <c r="F166" s="25"/>
      <c r="G166" s="25"/>
      <c r="H166" s="25"/>
      <c r="I166" s="25"/>
      <c r="J166" s="25"/>
      <c r="K166" s="25"/>
      <c r="L166" s="25"/>
      <c r="M166" s="25"/>
      <c r="N166" s="25"/>
      <c r="O166" s="25"/>
      <c r="P166" s="25"/>
      <c r="Q166" s="25"/>
      <c r="R166" s="25"/>
      <c r="S166" s="25"/>
      <c r="T166" s="53">
        <f>T113</f>
        <v>-38</v>
      </c>
      <c r="U166" s="25"/>
      <c r="V166" s="5"/>
    </row>
    <row r="167" spans="1:22" ht="15.6" x14ac:dyDescent="0.3">
      <c r="A167" s="24"/>
      <c r="B167" s="25" t="s">
        <v>59</v>
      </c>
      <c r="C167" s="25"/>
      <c r="D167" s="25"/>
      <c r="E167" s="25"/>
      <c r="F167" s="25"/>
      <c r="G167" s="25"/>
      <c r="H167" s="25"/>
      <c r="I167" s="25"/>
      <c r="J167" s="25"/>
      <c r="K167" s="25"/>
      <c r="L167" s="25"/>
      <c r="M167" s="25"/>
      <c r="N167" s="25"/>
      <c r="O167" s="25"/>
      <c r="P167" s="25"/>
      <c r="Q167" s="25"/>
      <c r="R167" s="25"/>
      <c r="S167" s="25"/>
      <c r="T167" s="53">
        <f>T165+T166</f>
        <v>0</v>
      </c>
      <c r="U167" s="25"/>
      <c r="V167" s="5"/>
    </row>
    <row r="168" spans="1:22" ht="16.2" thickBot="1" x14ac:dyDescent="0.35">
      <c r="A168" s="24"/>
      <c r="B168" s="25"/>
      <c r="C168" s="25"/>
      <c r="D168" s="25"/>
      <c r="E168" s="25"/>
      <c r="F168" s="25"/>
      <c r="G168" s="25"/>
      <c r="H168" s="25"/>
      <c r="I168" s="25"/>
      <c r="J168" s="25"/>
      <c r="K168" s="25"/>
      <c r="L168" s="25"/>
      <c r="M168" s="25"/>
      <c r="N168" s="25"/>
      <c r="O168" s="25"/>
      <c r="P168" s="25"/>
      <c r="Q168" s="25"/>
      <c r="R168" s="25"/>
      <c r="S168" s="25"/>
      <c r="T168" s="61"/>
      <c r="U168" s="25"/>
      <c r="V168" s="5"/>
    </row>
    <row r="169" spans="1:22" ht="15.6" x14ac:dyDescent="0.3">
      <c r="A169" s="2"/>
      <c r="B169" s="4"/>
      <c r="C169" s="4"/>
      <c r="D169" s="4"/>
      <c r="E169" s="4"/>
      <c r="F169" s="4"/>
      <c r="G169" s="4"/>
      <c r="H169" s="4"/>
      <c r="I169" s="4"/>
      <c r="J169" s="4"/>
      <c r="K169" s="4"/>
      <c r="L169" s="4"/>
      <c r="M169" s="4"/>
      <c r="N169" s="4"/>
      <c r="O169" s="4"/>
      <c r="P169" s="4"/>
      <c r="Q169" s="4"/>
      <c r="R169" s="4"/>
      <c r="S169" s="4"/>
      <c r="T169" s="50"/>
      <c r="U169" s="4"/>
      <c r="V169" s="5"/>
    </row>
    <row r="170" spans="1:22" ht="15.6" x14ac:dyDescent="0.3">
      <c r="A170" s="6"/>
      <c r="B170" s="120" t="s">
        <v>60</v>
      </c>
      <c r="C170" s="8"/>
      <c r="D170" s="8"/>
      <c r="E170" s="8"/>
      <c r="F170" s="8"/>
      <c r="G170" s="8"/>
      <c r="H170" s="8"/>
      <c r="I170" s="8"/>
      <c r="J170" s="8"/>
      <c r="K170" s="8"/>
      <c r="L170" s="8"/>
      <c r="M170" s="8"/>
      <c r="N170" s="8"/>
      <c r="O170" s="8"/>
      <c r="P170" s="8"/>
      <c r="Q170" s="8"/>
      <c r="R170" s="8"/>
      <c r="S170" s="8"/>
      <c r="T170" s="52"/>
      <c r="U170" s="8"/>
      <c r="V170" s="5"/>
    </row>
    <row r="171" spans="1:22" ht="15.6" x14ac:dyDescent="0.3">
      <c r="A171" s="6"/>
      <c r="B171" s="21"/>
      <c r="C171" s="8"/>
      <c r="D171" s="8"/>
      <c r="E171" s="8"/>
      <c r="F171" s="8"/>
      <c r="G171" s="8"/>
      <c r="H171" s="8"/>
      <c r="I171" s="8"/>
      <c r="J171" s="8"/>
      <c r="K171" s="8"/>
      <c r="L171" s="8"/>
      <c r="M171" s="8"/>
      <c r="N171" s="8"/>
      <c r="O171" s="8"/>
      <c r="P171" s="8"/>
      <c r="Q171" s="8"/>
      <c r="R171" s="8"/>
      <c r="S171" s="8"/>
      <c r="T171" s="52"/>
      <c r="U171" s="8"/>
      <c r="V171" s="5"/>
    </row>
    <row r="172" spans="1:22" ht="15.6" x14ac:dyDescent="0.3">
      <c r="A172" s="24"/>
      <c r="B172" s="25" t="s">
        <v>61</v>
      </c>
      <c r="C172" s="25"/>
      <c r="D172" s="25"/>
      <c r="E172" s="25"/>
      <c r="F172" s="25"/>
      <c r="G172" s="25"/>
      <c r="H172" s="25"/>
      <c r="I172" s="25"/>
      <c r="J172" s="25"/>
      <c r="K172" s="25"/>
      <c r="L172" s="25"/>
      <c r="M172" s="25"/>
      <c r="N172" s="25"/>
      <c r="O172" s="25"/>
      <c r="P172" s="25"/>
      <c r="Q172" s="25"/>
      <c r="R172" s="25"/>
      <c r="S172" s="25"/>
      <c r="T172" s="53">
        <f>T69</f>
        <v>365538</v>
      </c>
      <c r="U172" s="25"/>
      <c r="V172" s="5"/>
    </row>
    <row r="173" spans="1:22" ht="15.6" x14ac:dyDescent="0.3">
      <c r="A173" s="24"/>
      <c r="B173" s="25" t="s">
        <v>62</v>
      </c>
      <c r="C173" s="25"/>
      <c r="D173" s="25"/>
      <c r="E173" s="25"/>
      <c r="F173" s="25"/>
      <c r="G173" s="25"/>
      <c r="H173" s="25"/>
      <c r="I173" s="25"/>
      <c r="J173" s="25"/>
      <c r="K173" s="25"/>
      <c r="L173" s="25"/>
      <c r="M173" s="25"/>
      <c r="N173" s="25"/>
      <c r="O173" s="25"/>
      <c r="P173" s="25"/>
      <c r="Q173" s="25"/>
      <c r="R173" s="25"/>
      <c r="S173" s="25"/>
      <c r="T173" s="53">
        <f>T82</f>
        <v>365538</v>
      </c>
      <c r="U173" s="25"/>
      <c r="V173" s="5"/>
    </row>
    <row r="174" spans="1:22" ht="16.2" thickBot="1" x14ac:dyDescent="0.35">
      <c r="A174" s="24"/>
      <c r="B174" s="25"/>
      <c r="C174" s="25"/>
      <c r="D174" s="25"/>
      <c r="E174" s="25"/>
      <c r="F174" s="25"/>
      <c r="G174" s="25"/>
      <c r="H174" s="25"/>
      <c r="I174" s="25"/>
      <c r="J174" s="25"/>
      <c r="K174" s="25"/>
      <c r="L174" s="25"/>
      <c r="M174" s="25"/>
      <c r="N174" s="25"/>
      <c r="O174" s="25"/>
      <c r="P174" s="25"/>
      <c r="Q174" s="25"/>
      <c r="R174" s="25"/>
      <c r="S174" s="25"/>
      <c r="T174" s="61"/>
      <c r="U174" s="25"/>
      <c r="V174" s="5"/>
    </row>
    <row r="175" spans="1:22" ht="15.6" x14ac:dyDescent="0.3">
      <c r="A175" s="2"/>
      <c r="B175" s="4"/>
      <c r="C175" s="4"/>
      <c r="D175" s="4"/>
      <c r="E175" s="4"/>
      <c r="F175" s="4"/>
      <c r="G175" s="4"/>
      <c r="H175" s="4"/>
      <c r="I175" s="4"/>
      <c r="J175" s="4"/>
      <c r="K175" s="4"/>
      <c r="L175" s="4"/>
      <c r="M175" s="4"/>
      <c r="N175" s="4"/>
      <c r="O175" s="4"/>
      <c r="P175" s="4"/>
      <c r="Q175" s="4"/>
      <c r="R175" s="4"/>
      <c r="S175" s="4"/>
      <c r="T175" s="50"/>
      <c r="U175" s="4"/>
      <c r="V175" s="5"/>
    </row>
    <row r="176" spans="1:22" ht="15.6" x14ac:dyDescent="0.3">
      <c r="A176" s="6"/>
      <c r="B176" s="120" t="s">
        <v>63</v>
      </c>
      <c r="C176" s="118"/>
      <c r="D176" s="118"/>
      <c r="E176" s="118"/>
      <c r="F176" s="118"/>
      <c r="G176" s="118"/>
      <c r="H176" s="121"/>
      <c r="I176" s="121"/>
      <c r="J176" s="121"/>
      <c r="K176" s="121"/>
      <c r="L176" s="121"/>
      <c r="M176" s="121"/>
      <c r="N176" s="121"/>
      <c r="O176" s="121"/>
      <c r="P176" s="121"/>
      <c r="Q176" s="121" t="s">
        <v>107</v>
      </c>
      <c r="R176" s="121" t="s">
        <v>234</v>
      </c>
      <c r="S176" s="112"/>
      <c r="T176" s="122" t="s">
        <v>123</v>
      </c>
      <c r="U176" s="10"/>
      <c r="V176" s="5"/>
    </row>
    <row r="177" spans="1:22" ht="15.6" x14ac:dyDescent="0.3">
      <c r="A177" s="24"/>
      <c r="B177" s="25" t="s">
        <v>64</v>
      </c>
      <c r="C177" s="25"/>
      <c r="D177" s="25"/>
      <c r="E177" s="25"/>
      <c r="F177" s="25"/>
      <c r="G177" s="25"/>
      <c r="H177" s="25"/>
      <c r="I177" s="25"/>
      <c r="J177" s="25"/>
      <c r="K177" s="25"/>
      <c r="L177" s="25"/>
      <c r="M177" s="25"/>
      <c r="N177" s="25"/>
      <c r="O177" s="25"/>
      <c r="P177" s="25"/>
      <c r="Q177" s="53">
        <v>112000</v>
      </c>
      <c r="R177" s="40"/>
      <c r="S177" s="25"/>
      <c r="T177" s="53"/>
      <c r="U177" s="25"/>
      <c r="V177" s="5"/>
    </row>
    <row r="178" spans="1:22" ht="15.6" x14ac:dyDescent="0.3">
      <c r="A178" s="24"/>
      <c r="B178" s="25" t="s">
        <v>65</v>
      </c>
      <c r="C178" s="25"/>
      <c r="D178" s="25"/>
      <c r="E178" s="25"/>
      <c r="F178" s="25"/>
      <c r="G178" s="25"/>
      <c r="H178" s="25"/>
      <c r="I178" s="25"/>
      <c r="J178" s="25"/>
      <c r="K178" s="25"/>
      <c r="L178" s="25"/>
      <c r="M178" s="25"/>
      <c r="N178" s="25"/>
      <c r="O178" s="25"/>
      <c r="P178" s="25"/>
      <c r="Q178" s="53">
        <f>+'April 08'!Q180</f>
        <v>39591</v>
      </c>
      <c r="R178" s="53">
        <f>+'April 08'!R180</f>
        <v>2384</v>
      </c>
      <c r="S178" s="25"/>
      <c r="T178" s="53">
        <f>Q178+R178</f>
        <v>41975</v>
      </c>
      <c r="U178" s="25"/>
      <c r="V178" s="5"/>
    </row>
    <row r="179" spans="1:22" ht="15.6" x14ac:dyDescent="0.3">
      <c r="A179" s="24"/>
      <c r="B179" s="25" t="s">
        <v>66</v>
      </c>
      <c r="C179" s="25"/>
      <c r="D179" s="25"/>
      <c r="E179" s="25"/>
      <c r="F179" s="25"/>
      <c r="G179" s="25"/>
      <c r="H179" s="25"/>
      <c r="I179" s="25"/>
      <c r="J179" s="25"/>
      <c r="K179" s="25"/>
      <c r="L179" s="25"/>
      <c r="M179" s="25"/>
      <c r="N179" s="25"/>
      <c r="O179" s="25"/>
      <c r="P179" s="25"/>
      <c r="Q179" s="34">
        <f>2255+143</f>
        <v>2398</v>
      </c>
      <c r="R179" s="34">
        <v>10</v>
      </c>
      <c r="S179" s="25"/>
      <c r="T179" s="53">
        <f>Q179+R179</f>
        <v>2408</v>
      </c>
      <c r="U179" s="25"/>
      <c r="V179" s="5"/>
    </row>
    <row r="180" spans="1:22" ht="15.6" x14ac:dyDescent="0.3">
      <c r="A180" s="24"/>
      <c r="B180" s="25" t="s">
        <v>67</v>
      </c>
      <c r="C180" s="25"/>
      <c r="D180" s="25"/>
      <c r="E180" s="25"/>
      <c r="F180" s="25"/>
      <c r="G180" s="25"/>
      <c r="H180" s="25"/>
      <c r="I180" s="25"/>
      <c r="J180" s="25"/>
      <c r="K180" s="25"/>
      <c r="L180" s="25"/>
      <c r="M180" s="25"/>
      <c r="N180" s="25"/>
      <c r="O180" s="25"/>
      <c r="P180" s="25"/>
      <c r="Q180" s="53">
        <f>Q178+Q179</f>
        <v>41989</v>
      </c>
      <c r="R180" s="53">
        <f>R179+R178</f>
        <v>2394</v>
      </c>
      <c r="S180" s="25"/>
      <c r="T180" s="53">
        <f>Q180+R180</f>
        <v>44383</v>
      </c>
      <c r="U180" s="25"/>
      <c r="V180" s="5"/>
    </row>
    <row r="181" spans="1:22" ht="15.6" x14ac:dyDescent="0.3">
      <c r="A181" s="24"/>
      <c r="B181" s="25" t="s">
        <v>68</v>
      </c>
      <c r="C181" s="25"/>
      <c r="D181" s="25"/>
      <c r="E181" s="25"/>
      <c r="F181" s="25"/>
      <c r="G181" s="25"/>
      <c r="H181" s="25"/>
      <c r="I181" s="25"/>
      <c r="J181" s="25"/>
      <c r="K181" s="25"/>
      <c r="L181" s="25"/>
      <c r="M181" s="25"/>
      <c r="N181" s="25"/>
      <c r="O181" s="25"/>
      <c r="P181" s="25"/>
      <c r="Q181" s="53">
        <f>Q177-Q180-R180</f>
        <v>67617</v>
      </c>
      <c r="R181" s="40"/>
      <c r="S181" s="25"/>
      <c r="T181" s="53"/>
      <c r="U181" s="25"/>
      <c r="V181" s="5"/>
    </row>
    <row r="182" spans="1:22" ht="16.2" thickBot="1" x14ac:dyDescent="0.35">
      <c r="A182" s="24"/>
      <c r="B182" s="25"/>
      <c r="C182" s="25"/>
      <c r="D182" s="25"/>
      <c r="E182" s="25"/>
      <c r="F182" s="25"/>
      <c r="G182" s="25"/>
      <c r="H182" s="25"/>
      <c r="I182" s="25"/>
      <c r="J182" s="25"/>
      <c r="K182" s="25"/>
      <c r="L182" s="25"/>
      <c r="M182" s="25"/>
      <c r="N182" s="25"/>
      <c r="O182" s="25"/>
      <c r="P182" s="25"/>
      <c r="Q182" s="25"/>
      <c r="R182" s="25"/>
      <c r="S182" s="25"/>
      <c r="T182" s="61"/>
      <c r="U182" s="25"/>
      <c r="V182" s="5"/>
    </row>
    <row r="183" spans="1:22" ht="15.6" x14ac:dyDescent="0.3">
      <c r="A183" s="2"/>
      <c r="B183" s="4"/>
      <c r="C183" s="4"/>
      <c r="D183" s="4"/>
      <c r="E183" s="4"/>
      <c r="F183" s="4"/>
      <c r="G183" s="4"/>
      <c r="H183" s="4"/>
      <c r="I183" s="4"/>
      <c r="J183" s="4"/>
      <c r="K183" s="4"/>
      <c r="L183" s="4"/>
      <c r="M183" s="4"/>
      <c r="N183" s="4"/>
      <c r="O183" s="4"/>
      <c r="P183" s="4"/>
      <c r="Q183" s="4"/>
      <c r="R183" s="4"/>
      <c r="S183" s="4"/>
      <c r="T183" s="50"/>
      <c r="U183" s="4"/>
      <c r="V183" s="5"/>
    </row>
    <row r="184" spans="1:22" ht="15.6" x14ac:dyDescent="0.3">
      <c r="A184" s="6"/>
      <c r="B184" s="120" t="s">
        <v>69</v>
      </c>
      <c r="C184" s="8"/>
      <c r="D184" s="8"/>
      <c r="E184" s="8"/>
      <c r="F184" s="8"/>
      <c r="G184" s="8"/>
      <c r="H184" s="8"/>
      <c r="I184" s="8"/>
      <c r="J184" s="8"/>
      <c r="K184" s="8"/>
      <c r="L184" s="8"/>
      <c r="M184" s="8"/>
      <c r="N184" s="8"/>
      <c r="O184" s="8"/>
      <c r="P184" s="8"/>
      <c r="Q184" s="8"/>
      <c r="R184" s="8"/>
      <c r="S184" s="8"/>
      <c r="T184" s="65"/>
      <c r="U184" s="8"/>
      <c r="V184" s="5"/>
    </row>
    <row r="185" spans="1:22" ht="15.6" x14ac:dyDescent="0.3">
      <c r="A185" s="24"/>
      <c r="B185" s="25" t="s">
        <v>70</v>
      </c>
      <c r="C185" s="25"/>
      <c r="D185" s="25"/>
      <c r="E185" s="25"/>
      <c r="F185" s="25"/>
      <c r="G185" s="25"/>
      <c r="H185" s="25"/>
      <c r="I185" s="25"/>
      <c r="J185" s="25"/>
      <c r="K185" s="25"/>
      <c r="L185" s="25"/>
      <c r="M185" s="25"/>
      <c r="N185" s="25"/>
      <c r="O185" s="25"/>
      <c r="P185" s="25"/>
      <c r="Q185" s="25"/>
      <c r="R185" s="25"/>
      <c r="S185" s="25"/>
      <c r="T185" s="59">
        <f>(T98+T100+T101+T102+T103+T104)/-(T105+T106+T107)</f>
        <v>1.4752100840336135</v>
      </c>
      <c r="U185" s="25" t="s">
        <v>124</v>
      </c>
      <c r="V185" s="5"/>
    </row>
    <row r="186" spans="1:22" ht="15.6" x14ac:dyDescent="0.3">
      <c r="A186" s="24"/>
      <c r="B186" s="25" t="s">
        <v>71</v>
      </c>
      <c r="C186" s="25"/>
      <c r="D186" s="25"/>
      <c r="E186" s="25"/>
      <c r="F186" s="25"/>
      <c r="G186" s="25"/>
      <c r="H186" s="25"/>
      <c r="I186" s="25"/>
      <c r="J186" s="25"/>
      <c r="K186" s="25"/>
      <c r="L186" s="25"/>
      <c r="M186" s="25"/>
      <c r="N186" s="25"/>
      <c r="O186" s="25"/>
      <c r="P186" s="25"/>
      <c r="Q186" s="25"/>
      <c r="R186" s="25"/>
      <c r="S186" s="25"/>
      <c r="T186" s="66">
        <v>1.39</v>
      </c>
      <c r="U186" s="25" t="s">
        <v>124</v>
      </c>
      <c r="V186" s="5"/>
    </row>
    <row r="187" spans="1:22" ht="15.6" x14ac:dyDescent="0.3">
      <c r="A187" s="24"/>
      <c r="B187" s="25" t="s">
        <v>72</v>
      </c>
      <c r="C187" s="25"/>
      <c r="D187" s="25"/>
      <c r="E187" s="25"/>
      <c r="F187" s="25"/>
      <c r="G187" s="25"/>
      <c r="H187" s="25"/>
      <c r="I187" s="25"/>
      <c r="J187" s="25"/>
      <c r="K187" s="25"/>
      <c r="L187" s="25"/>
      <c r="M187" s="25"/>
      <c r="N187" s="25"/>
      <c r="O187" s="25"/>
      <c r="P187" s="25"/>
      <c r="Q187" s="25"/>
      <c r="R187" s="25"/>
      <c r="S187" s="25"/>
      <c r="T187" s="59">
        <f>(T98+T100+T101+T102+T103+T104+T105+T106+T107)/-(T108+T109)</f>
        <v>5.3475177304964543</v>
      </c>
      <c r="U187" s="25" t="s">
        <v>124</v>
      </c>
      <c r="V187" s="5"/>
    </row>
    <row r="188" spans="1:22" ht="15.6" x14ac:dyDescent="0.3">
      <c r="A188" s="24"/>
      <c r="B188" s="25" t="s">
        <v>73</v>
      </c>
      <c r="C188" s="25"/>
      <c r="D188" s="25"/>
      <c r="E188" s="25"/>
      <c r="F188" s="25"/>
      <c r="G188" s="25"/>
      <c r="H188" s="25"/>
      <c r="I188" s="25"/>
      <c r="J188" s="25"/>
      <c r="K188" s="25"/>
      <c r="L188" s="25"/>
      <c r="M188" s="25"/>
      <c r="N188" s="25"/>
      <c r="O188" s="25"/>
      <c r="P188" s="25"/>
      <c r="Q188" s="25"/>
      <c r="R188" s="25"/>
      <c r="S188" s="25"/>
      <c r="T188" s="67">
        <v>6.81</v>
      </c>
      <c r="U188" s="25" t="s">
        <v>124</v>
      </c>
      <c r="V188" s="5"/>
    </row>
    <row r="189" spans="1:22" ht="15.6" x14ac:dyDescent="0.3">
      <c r="A189" s="24"/>
      <c r="B189" s="25" t="s">
        <v>243</v>
      </c>
      <c r="C189" s="25"/>
      <c r="D189" s="25"/>
      <c r="E189" s="25"/>
      <c r="F189" s="25"/>
      <c r="G189" s="25"/>
      <c r="H189" s="25"/>
      <c r="I189" s="25"/>
      <c r="J189" s="25"/>
      <c r="K189" s="25"/>
      <c r="L189" s="25"/>
      <c r="M189" s="25"/>
      <c r="N189" s="25"/>
      <c r="O189" s="25"/>
      <c r="P189" s="25"/>
      <c r="Q189" s="25"/>
      <c r="R189" s="25"/>
      <c r="S189" s="25"/>
      <c r="T189" s="59">
        <f>(T98+T100+T101+T102+T103+T104+T105+T106+T107+T108+T109)/-(T110+T111)</f>
        <v>2.3607188703465982</v>
      </c>
      <c r="U189" s="25" t="s">
        <v>124</v>
      </c>
      <c r="V189" s="5"/>
    </row>
    <row r="190" spans="1:22" ht="15.6" x14ac:dyDescent="0.3">
      <c r="A190" s="24"/>
      <c r="B190" s="25" t="s">
        <v>244</v>
      </c>
      <c r="C190" s="25"/>
      <c r="D190" s="25"/>
      <c r="E190" s="25"/>
      <c r="F190" s="25"/>
      <c r="G190" s="25"/>
      <c r="H190" s="25"/>
      <c r="I190" s="25"/>
      <c r="J190" s="25"/>
      <c r="K190" s="25"/>
      <c r="L190" s="25"/>
      <c r="M190" s="25"/>
      <c r="N190" s="25"/>
      <c r="O190" s="25"/>
      <c r="P190" s="25"/>
      <c r="Q190" s="25"/>
      <c r="R190" s="25"/>
      <c r="S190" s="25"/>
      <c r="T190" s="67">
        <v>3.14</v>
      </c>
      <c r="U190" s="25" t="s">
        <v>124</v>
      </c>
      <c r="V190" s="5"/>
    </row>
    <row r="191" spans="1:22"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5"/>
    </row>
    <row r="193" spans="1:22" ht="15.6" x14ac:dyDescent="0.3">
      <c r="A193" s="6"/>
      <c r="B193" s="8"/>
      <c r="C193" s="8"/>
      <c r="D193" s="8"/>
      <c r="E193" s="8"/>
      <c r="F193" s="8"/>
      <c r="G193" s="8"/>
      <c r="H193" s="8"/>
      <c r="I193" s="8"/>
      <c r="J193" s="8"/>
      <c r="K193" s="8"/>
      <c r="L193" s="8"/>
      <c r="M193" s="8"/>
      <c r="N193" s="8"/>
      <c r="O193" s="8"/>
      <c r="P193" s="8"/>
      <c r="Q193" s="8"/>
      <c r="R193" s="8"/>
      <c r="S193" s="8"/>
      <c r="T193" s="8"/>
      <c r="U193" s="8"/>
      <c r="V193" s="5"/>
    </row>
    <row r="194" spans="1:22" ht="18" thickBot="1" x14ac:dyDescent="0.35">
      <c r="A194" s="102"/>
      <c r="B194" s="103" t="str">
        <f>B134</f>
        <v>PM9 INVESTOR REPORT QUARTER ENDING JULY 2008</v>
      </c>
      <c r="C194" s="162"/>
      <c r="D194" s="162"/>
      <c r="E194" s="162"/>
      <c r="F194" s="162"/>
      <c r="G194" s="162"/>
      <c r="H194" s="162"/>
      <c r="I194" s="162"/>
      <c r="J194" s="162"/>
      <c r="K194" s="162"/>
      <c r="L194" s="162"/>
      <c r="M194" s="162"/>
      <c r="N194" s="162"/>
      <c r="O194" s="162"/>
      <c r="P194" s="162"/>
      <c r="Q194" s="162"/>
      <c r="R194" s="162"/>
      <c r="S194" s="162"/>
      <c r="T194" s="162"/>
      <c r="U194" s="163"/>
      <c r="V194" s="5"/>
    </row>
    <row r="195" spans="1:22" ht="15.6" x14ac:dyDescent="0.3">
      <c r="A195" s="68"/>
      <c r="B195" s="60" t="s">
        <v>74</v>
      </c>
      <c r="C195" s="69"/>
      <c r="D195" s="69"/>
      <c r="E195" s="69"/>
      <c r="F195" s="69"/>
      <c r="G195" s="70"/>
      <c r="H195" s="70"/>
      <c r="I195" s="70"/>
      <c r="J195" s="70"/>
      <c r="K195" s="70"/>
      <c r="L195" s="70"/>
      <c r="M195" s="70"/>
      <c r="N195" s="70"/>
      <c r="O195" s="70"/>
      <c r="P195" s="70"/>
      <c r="Q195" s="70"/>
      <c r="R195" s="71">
        <v>39660</v>
      </c>
      <c r="S195" s="4"/>
      <c r="T195" s="4"/>
      <c r="U195" s="4"/>
      <c r="V195" s="5"/>
    </row>
    <row r="196" spans="1:22" ht="15.6" x14ac:dyDescent="0.3">
      <c r="A196" s="72"/>
      <c r="B196" s="73"/>
      <c r="C196" s="74"/>
      <c r="D196" s="74"/>
      <c r="E196" s="74"/>
      <c r="F196" s="74"/>
      <c r="G196" s="75"/>
      <c r="H196" s="75"/>
      <c r="I196" s="75"/>
      <c r="J196" s="75"/>
      <c r="K196" s="75"/>
      <c r="L196" s="75"/>
      <c r="M196" s="75"/>
      <c r="N196" s="75"/>
      <c r="O196" s="75"/>
      <c r="P196" s="75"/>
      <c r="Q196" s="75"/>
      <c r="R196" s="75"/>
      <c r="S196" s="8"/>
      <c r="T196" s="8"/>
      <c r="U196" s="8"/>
      <c r="V196" s="5"/>
    </row>
    <row r="197" spans="1:22" ht="15.6" x14ac:dyDescent="0.3">
      <c r="A197" s="76"/>
      <c r="B197" s="77" t="s">
        <v>75</v>
      </c>
      <c r="C197" s="78"/>
      <c r="D197" s="78"/>
      <c r="E197" s="78"/>
      <c r="F197" s="78"/>
      <c r="G197" s="64"/>
      <c r="H197" s="64"/>
      <c r="I197" s="64"/>
      <c r="J197" s="64"/>
      <c r="K197" s="64"/>
      <c r="L197" s="64"/>
      <c r="M197" s="64"/>
      <c r="N197" s="64"/>
      <c r="O197" s="64"/>
      <c r="P197" s="64"/>
      <c r="Q197" s="64"/>
      <c r="R197" s="79">
        <v>5.8209999999999998E-2</v>
      </c>
      <c r="S197" s="25"/>
      <c r="T197" s="25"/>
      <c r="U197" s="25"/>
      <c r="V197" s="5"/>
    </row>
    <row r="198" spans="1:22" ht="15.6" x14ac:dyDescent="0.3">
      <c r="A198" s="76"/>
      <c r="B198" s="77" t="s">
        <v>164</v>
      </c>
      <c r="C198" s="78"/>
      <c r="D198" s="78"/>
      <c r="E198" s="78"/>
      <c r="F198" s="78"/>
      <c r="G198" s="64"/>
      <c r="H198" s="64"/>
      <c r="I198" s="64"/>
      <c r="J198" s="64"/>
      <c r="K198" s="64"/>
      <c r="L198" s="64"/>
      <c r="M198" s="64"/>
      <c r="N198" s="64"/>
      <c r="O198" s="64"/>
      <c r="P198" s="64"/>
      <c r="Q198" s="64"/>
      <c r="R198" s="39">
        <f>'Oct 05'!R193</f>
        <v>4.8438496428571419E-2</v>
      </c>
      <c r="S198" s="25"/>
      <c r="T198" s="25"/>
      <c r="U198" s="25"/>
      <c r="V198" s="5"/>
    </row>
    <row r="199" spans="1:22" ht="15.6" x14ac:dyDescent="0.3">
      <c r="A199" s="76"/>
      <c r="B199" s="77" t="s">
        <v>76</v>
      </c>
      <c r="C199" s="78"/>
      <c r="D199" s="78"/>
      <c r="E199" s="78"/>
      <c r="F199" s="78"/>
      <c r="G199" s="64"/>
      <c r="H199" s="64"/>
      <c r="I199" s="64"/>
      <c r="J199" s="64"/>
      <c r="K199" s="64"/>
      <c r="L199" s="64"/>
      <c r="M199" s="64"/>
      <c r="N199" s="64"/>
      <c r="O199" s="64"/>
      <c r="P199" s="64"/>
      <c r="Q199" s="64"/>
      <c r="R199" s="79">
        <f>R197-R198</f>
        <v>9.7715035714285789E-3</v>
      </c>
      <c r="S199" s="25"/>
      <c r="T199" s="25"/>
      <c r="U199" s="25"/>
      <c r="V199" s="5"/>
    </row>
    <row r="200" spans="1:22" ht="15.6" x14ac:dyDescent="0.3">
      <c r="A200" s="76"/>
      <c r="B200" s="77" t="s">
        <v>77</v>
      </c>
      <c r="C200" s="78"/>
      <c r="D200" s="78"/>
      <c r="E200" s="78"/>
      <c r="F200" s="78"/>
      <c r="G200" s="64"/>
      <c r="H200" s="64"/>
      <c r="I200" s="64"/>
      <c r="J200" s="64"/>
      <c r="K200" s="64"/>
      <c r="L200" s="64"/>
      <c r="M200" s="64"/>
      <c r="N200" s="64"/>
      <c r="O200" s="64"/>
      <c r="P200" s="64"/>
      <c r="Q200" s="64"/>
      <c r="R200" s="79">
        <v>6.5500000000000003E-2</v>
      </c>
      <c r="S200" s="25"/>
      <c r="T200" s="25"/>
      <c r="U200" s="25"/>
      <c r="V200" s="5"/>
    </row>
    <row r="201" spans="1:22" ht="15.6" x14ac:dyDescent="0.3">
      <c r="A201" s="76"/>
      <c r="B201" s="77" t="s">
        <v>257</v>
      </c>
      <c r="C201" s="78"/>
      <c r="D201" s="78"/>
      <c r="E201" s="78"/>
      <c r="F201" s="78"/>
      <c r="G201" s="64"/>
      <c r="H201" s="64"/>
      <c r="I201" s="64"/>
      <c r="J201" s="64"/>
      <c r="K201" s="64"/>
      <c r="L201" s="64"/>
      <c r="M201" s="64"/>
      <c r="N201" s="64"/>
      <c r="O201" s="64"/>
      <c r="P201" s="64"/>
      <c r="Q201" s="64"/>
      <c r="R201" s="79">
        <f>+T41</f>
        <v>6.0807514012120277E-2</v>
      </c>
      <c r="S201" s="25"/>
      <c r="T201" s="25"/>
      <c r="U201" s="25"/>
      <c r="V201" s="5"/>
    </row>
    <row r="202" spans="1:22" ht="15.6" x14ac:dyDescent="0.3">
      <c r="A202" s="76"/>
      <c r="B202" s="77" t="s">
        <v>78</v>
      </c>
      <c r="C202" s="78"/>
      <c r="D202" s="78"/>
      <c r="E202" s="78"/>
      <c r="F202" s="78"/>
      <c r="G202" s="64"/>
      <c r="H202" s="64"/>
      <c r="I202" s="64"/>
      <c r="J202" s="64"/>
      <c r="K202" s="64"/>
      <c r="L202" s="64"/>
      <c r="M202" s="64"/>
      <c r="N202" s="64"/>
      <c r="O202" s="64"/>
      <c r="P202" s="64"/>
      <c r="Q202" s="64"/>
      <c r="R202" s="79">
        <f>R200-R201</f>
        <v>4.6924859878797257E-3</v>
      </c>
      <c r="S202" s="25"/>
      <c r="T202" s="25"/>
      <c r="U202" s="25"/>
      <c r="V202" s="5"/>
    </row>
    <row r="203" spans="1:22" ht="15.6" x14ac:dyDescent="0.3">
      <c r="A203" s="76"/>
      <c r="B203" s="77" t="s">
        <v>268</v>
      </c>
      <c r="C203" s="78"/>
      <c r="D203" s="78"/>
      <c r="E203" s="78"/>
      <c r="F203" s="78"/>
      <c r="G203" s="64"/>
      <c r="H203" s="64"/>
      <c r="I203" s="64"/>
      <c r="J203" s="64"/>
      <c r="K203" s="64"/>
      <c r="L203" s="64"/>
      <c r="M203" s="64"/>
      <c r="N203" s="64"/>
      <c r="O203" s="64"/>
      <c r="P203" s="64"/>
      <c r="Q203" s="64"/>
      <c r="R203" s="79">
        <f>+T98/L69</f>
        <v>1.8680971266568824E-2</v>
      </c>
      <c r="S203" s="25"/>
      <c r="T203" s="25"/>
      <c r="U203" s="25"/>
      <c r="V203" s="5"/>
    </row>
    <row r="204" spans="1:22" ht="15.6" x14ac:dyDescent="0.3">
      <c r="A204" s="76"/>
      <c r="B204" s="77" t="s">
        <v>249</v>
      </c>
      <c r="C204" s="78"/>
      <c r="D204" s="78"/>
      <c r="E204" s="78"/>
      <c r="F204" s="78"/>
      <c r="G204" s="64"/>
      <c r="H204" s="64"/>
      <c r="I204" s="64"/>
      <c r="J204" s="64"/>
      <c r="K204" s="64"/>
      <c r="L204" s="64"/>
      <c r="M204" s="64"/>
      <c r="N204" s="64"/>
      <c r="O204" s="64"/>
      <c r="P204" s="64"/>
      <c r="Q204" s="64"/>
      <c r="R204" s="132">
        <v>51622</v>
      </c>
      <c r="S204" s="25"/>
      <c r="T204" s="25"/>
      <c r="U204" s="25"/>
      <c r="V204" s="5"/>
    </row>
    <row r="205" spans="1:22" ht="15.6" x14ac:dyDescent="0.3">
      <c r="A205" s="76"/>
      <c r="B205" s="77" t="s">
        <v>250</v>
      </c>
      <c r="C205" s="78"/>
      <c r="D205" s="78"/>
      <c r="E205" s="78"/>
      <c r="F205" s="78"/>
      <c r="G205" s="64"/>
      <c r="H205" s="64"/>
      <c r="I205" s="64"/>
      <c r="J205" s="64"/>
      <c r="K205" s="64"/>
      <c r="L205" s="64"/>
      <c r="M205" s="64"/>
      <c r="N205" s="64"/>
      <c r="O205" s="64"/>
      <c r="P205" s="64"/>
      <c r="Q205" s="64"/>
      <c r="R205" s="132">
        <v>51622</v>
      </c>
      <c r="S205" s="25"/>
      <c r="T205" s="25"/>
      <c r="U205" s="25"/>
      <c r="V205" s="5"/>
    </row>
    <row r="206" spans="1:22" ht="15.6" x14ac:dyDescent="0.3">
      <c r="A206" s="76"/>
      <c r="B206" s="77" t="s">
        <v>251</v>
      </c>
      <c r="C206" s="78"/>
      <c r="D206" s="78"/>
      <c r="E206" s="78"/>
      <c r="F206" s="78"/>
      <c r="G206" s="64"/>
      <c r="H206" s="64"/>
      <c r="I206" s="64"/>
      <c r="J206" s="64"/>
      <c r="K206" s="64"/>
      <c r="L206" s="64"/>
      <c r="M206" s="64"/>
      <c r="N206" s="64"/>
      <c r="O206" s="64"/>
      <c r="P206" s="64"/>
      <c r="Q206" s="64"/>
      <c r="R206" s="132">
        <v>51622</v>
      </c>
      <c r="S206" s="25"/>
      <c r="T206" s="25"/>
      <c r="U206" s="25"/>
      <c r="V206" s="5"/>
    </row>
    <row r="207" spans="1:22" ht="15.6" x14ac:dyDescent="0.3">
      <c r="A207" s="76"/>
      <c r="B207" s="77" t="s">
        <v>79</v>
      </c>
      <c r="C207" s="78"/>
      <c r="D207" s="78"/>
      <c r="E207" s="78"/>
      <c r="F207" s="78"/>
      <c r="G207" s="64"/>
      <c r="H207" s="64"/>
      <c r="I207" s="64"/>
      <c r="J207" s="64"/>
      <c r="K207" s="64"/>
      <c r="L207" s="64"/>
      <c r="M207" s="64"/>
      <c r="N207" s="64"/>
      <c r="O207" s="64"/>
      <c r="P207" s="64"/>
      <c r="Q207" s="64"/>
      <c r="R207" s="136">
        <v>20.95</v>
      </c>
      <c r="S207" s="25" t="s">
        <v>119</v>
      </c>
      <c r="T207" s="25"/>
      <c r="U207" s="25"/>
      <c r="V207" s="5"/>
    </row>
    <row r="208" spans="1:22" ht="15.6" x14ac:dyDescent="0.3">
      <c r="A208" s="76"/>
      <c r="B208" s="77" t="s">
        <v>80</v>
      </c>
      <c r="C208" s="78"/>
      <c r="D208" s="78"/>
      <c r="E208" s="78"/>
      <c r="F208" s="78"/>
      <c r="G208" s="64"/>
      <c r="H208" s="64"/>
      <c r="I208" s="64"/>
      <c r="J208" s="64"/>
      <c r="K208" s="64"/>
      <c r="L208" s="64"/>
      <c r="M208" s="64"/>
      <c r="N208" s="64"/>
      <c r="O208" s="64"/>
      <c r="P208" s="64"/>
      <c r="Q208" s="64"/>
      <c r="R208" s="136">
        <v>17.97</v>
      </c>
      <c r="S208" s="25" t="s">
        <v>119</v>
      </c>
      <c r="T208" s="25"/>
      <c r="U208" s="25"/>
      <c r="V208" s="5"/>
    </row>
    <row r="209" spans="1:22" ht="15.6" x14ac:dyDescent="0.3">
      <c r="A209" s="76"/>
      <c r="B209" s="77" t="s">
        <v>81</v>
      </c>
      <c r="C209" s="78"/>
      <c r="D209" s="78"/>
      <c r="E209" s="78"/>
      <c r="F209" s="78"/>
      <c r="G209" s="64"/>
      <c r="H209" s="64"/>
      <c r="I209" s="64"/>
      <c r="J209" s="64"/>
      <c r="K209" s="64"/>
      <c r="L209" s="64"/>
      <c r="M209" s="64"/>
      <c r="N209" s="64"/>
      <c r="O209" s="64"/>
      <c r="P209" s="64"/>
      <c r="Q209" s="64"/>
      <c r="R209" s="79">
        <f>+N66/L66</f>
        <v>6.6773934030571205E-2</v>
      </c>
      <c r="S209" s="25"/>
      <c r="T209" s="25"/>
      <c r="U209" s="25"/>
      <c r="V209" s="5"/>
    </row>
    <row r="210" spans="1:22" ht="15.6" x14ac:dyDescent="0.3">
      <c r="A210" s="76"/>
      <c r="B210" s="77" t="s">
        <v>82</v>
      </c>
      <c r="C210" s="78"/>
      <c r="D210" s="78"/>
      <c r="E210" s="78"/>
      <c r="F210" s="78"/>
      <c r="G210" s="64"/>
      <c r="H210" s="64"/>
      <c r="I210" s="64"/>
      <c r="J210" s="64"/>
      <c r="K210" s="64"/>
      <c r="L210" s="64"/>
      <c r="M210" s="64"/>
      <c r="N210" s="64"/>
      <c r="O210" s="64"/>
      <c r="P210" s="64"/>
      <c r="Q210" s="64"/>
      <c r="R210" s="79">
        <v>0.21340000000000001</v>
      </c>
      <c r="S210" s="25"/>
      <c r="T210" s="25"/>
      <c r="U210" s="25"/>
      <c r="V210" s="5"/>
    </row>
    <row r="211" spans="1:22" ht="15.6" x14ac:dyDescent="0.3">
      <c r="A211" s="76"/>
      <c r="B211" s="77"/>
      <c r="C211" s="77"/>
      <c r="D211" s="77"/>
      <c r="E211" s="77"/>
      <c r="F211" s="77"/>
      <c r="G211" s="25"/>
      <c r="H211" s="25"/>
      <c r="I211" s="25"/>
      <c r="J211" s="25"/>
      <c r="K211" s="25"/>
      <c r="L211" s="25"/>
      <c r="M211" s="25"/>
      <c r="N211" s="25"/>
      <c r="O211" s="25"/>
      <c r="P211" s="25"/>
      <c r="Q211" s="25"/>
      <c r="R211" s="61"/>
      <c r="S211" s="25"/>
      <c r="T211" s="80"/>
      <c r="U211" s="25"/>
      <c r="V211" s="5"/>
    </row>
    <row r="212" spans="1:22" ht="15.6" x14ac:dyDescent="0.3">
      <c r="A212" s="81"/>
      <c r="B212" s="14" t="s">
        <v>83</v>
      </c>
      <c r="C212" s="82"/>
      <c r="D212" s="82"/>
      <c r="E212" s="82"/>
      <c r="F212" s="83"/>
      <c r="G212" s="82"/>
      <c r="H212" s="17"/>
      <c r="I212" s="17"/>
      <c r="J212" s="17"/>
      <c r="K212" s="17"/>
      <c r="L212" s="17"/>
      <c r="M212" s="17"/>
      <c r="N212" s="17"/>
      <c r="O212" s="17"/>
      <c r="P212" s="17"/>
      <c r="Q212" s="17" t="s">
        <v>108</v>
      </c>
      <c r="R212" s="84" t="s">
        <v>115</v>
      </c>
      <c r="S212" s="8"/>
      <c r="T212" s="8"/>
      <c r="U212" s="8"/>
      <c r="V212" s="5"/>
    </row>
    <row r="213" spans="1:22" ht="15.6" x14ac:dyDescent="0.3">
      <c r="A213" s="85"/>
      <c r="B213" s="77" t="s">
        <v>84</v>
      </c>
      <c r="C213" s="54"/>
      <c r="D213" s="54"/>
      <c r="E213" s="54"/>
      <c r="F213" s="25"/>
      <c r="G213" s="25"/>
      <c r="H213" s="30"/>
      <c r="I213" s="30"/>
      <c r="J213" s="30"/>
      <c r="K213" s="30"/>
      <c r="L213" s="30"/>
      <c r="M213" s="30"/>
      <c r="N213" s="30"/>
      <c r="O213" s="30"/>
      <c r="P213" s="30"/>
      <c r="Q213" s="30">
        <v>0</v>
      </c>
      <c r="R213" s="86">
        <v>0</v>
      </c>
      <c r="S213" s="25"/>
      <c r="T213" s="80"/>
      <c r="U213" s="87"/>
      <c r="V213" s="5"/>
    </row>
    <row r="214" spans="1:22" ht="15.6" x14ac:dyDescent="0.3">
      <c r="A214" s="85"/>
      <c r="B214" s="77" t="s">
        <v>156</v>
      </c>
      <c r="C214" s="54"/>
      <c r="D214" s="54"/>
      <c r="E214" s="54"/>
      <c r="F214" s="25"/>
      <c r="G214" s="25"/>
      <c r="H214" s="30"/>
      <c r="I214" s="30"/>
      <c r="J214" s="30"/>
      <c r="K214" s="30"/>
      <c r="L214" s="30"/>
      <c r="M214" s="30"/>
      <c r="N214" s="30"/>
      <c r="O214" s="30"/>
      <c r="P214" s="30"/>
      <c r="Q214" s="156">
        <f>+P253</f>
        <v>62</v>
      </c>
      <c r="R214" s="86">
        <f>+R253</f>
        <v>8033</v>
      </c>
      <c r="S214" s="25"/>
      <c r="T214" s="80"/>
      <c r="U214" s="87"/>
      <c r="V214" s="5"/>
    </row>
    <row r="215" spans="1:22" ht="15.6" x14ac:dyDescent="0.3">
      <c r="A215" s="85"/>
      <c r="B215" s="77" t="s">
        <v>85</v>
      </c>
      <c r="C215" s="54"/>
      <c r="D215" s="54"/>
      <c r="E215" s="54"/>
      <c r="F215" s="25"/>
      <c r="G215" s="25"/>
      <c r="H215" s="30"/>
      <c r="I215" s="30"/>
      <c r="J215" s="30"/>
      <c r="K215" s="30"/>
      <c r="L215" s="30"/>
      <c r="M215" s="30"/>
      <c r="N215" s="30"/>
      <c r="O215" s="30"/>
      <c r="P215" s="30"/>
      <c r="Q215" s="30">
        <v>0</v>
      </c>
      <c r="R215" s="86">
        <v>0</v>
      </c>
      <c r="S215" s="25"/>
      <c r="T215" s="80"/>
      <c r="U215" s="87"/>
      <c r="V215" s="5"/>
    </row>
    <row r="216" spans="1:22" ht="15.6" x14ac:dyDescent="0.3">
      <c r="A216" s="85"/>
      <c r="B216" s="123" t="s">
        <v>86</v>
      </c>
      <c r="C216" s="54"/>
      <c r="D216" s="54"/>
      <c r="E216" s="54"/>
      <c r="F216" s="25"/>
      <c r="G216" s="25"/>
      <c r="H216" s="25"/>
      <c r="I216" s="25"/>
      <c r="J216" s="25"/>
      <c r="K216" s="25"/>
      <c r="L216" s="25"/>
      <c r="M216" s="25"/>
      <c r="N216" s="25"/>
      <c r="O216" s="25"/>
      <c r="P216" s="25"/>
      <c r="Q216" s="25"/>
      <c r="R216" s="86">
        <v>0</v>
      </c>
      <c r="S216" s="25"/>
      <c r="T216" s="80"/>
      <c r="U216" s="87"/>
      <c r="V216" s="5"/>
    </row>
    <row r="217" spans="1:22" ht="15.6" x14ac:dyDescent="0.3">
      <c r="A217" s="85"/>
      <c r="B217" s="123" t="s">
        <v>87</v>
      </c>
      <c r="C217" s="54"/>
      <c r="D217" s="54"/>
      <c r="E217" s="54"/>
      <c r="F217" s="25"/>
      <c r="G217" s="25"/>
      <c r="H217" s="25"/>
      <c r="I217" s="25"/>
      <c r="J217" s="25"/>
      <c r="K217" s="25"/>
      <c r="L217" s="25"/>
      <c r="M217" s="25"/>
      <c r="N217" s="25"/>
      <c r="O217" s="25"/>
      <c r="P217" s="25"/>
      <c r="Q217" s="25"/>
      <c r="R217" s="62" t="s">
        <v>116</v>
      </c>
      <c r="S217" s="25"/>
      <c r="T217" s="80"/>
      <c r="U217" s="87"/>
      <c r="V217" s="5"/>
    </row>
    <row r="218" spans="1:22" ht="15.6" x14ac:dyDescent="0.3">
      <c r="A218" s="88"/>
      <c r="B218" s="123" t="s">
        <v>88</v>
      </c>
      <c r="C218" s="77"/>
      <c r="D218" s="77"/>
      <c r="E218" s="77"/>
      <c r="F218" s="77"/>
      <c r="G218" s="25"/>
      <c r="H218" s="25"/>
      <c r="I218" s="25"/>
      <c r="J218" s="25"/>
      <c r="K218" s="25"/>
      <c r="L218" s="25"/>
      <c r="M218" s="25"/>
      <c r="N218" s="25"/>
      <c r="O218" s="25"/>
      <c r="P218" s="25"/>
      <c r="Q218" s="25"/>
      <c r="R218" s="86"/>
      <c r="S218" s="25"/>
      <c r="T218" s="80"/>
      <c r="U218" s="89"/>
      <c r="V218" s="5"/>
    </row>
    <row r="219" spans="1:22" ht="15.6" x14ac:dyDescent="0.3">
      <c r="A219" s="88"/>
      <c r="B219" s="134" t="s">
        <v>89</v>
      </c>
      <c r="C219" s="77"/>
      <c r="D219" s="77"/>
      <c r="E219" s="77"/>
      <c r="F219" s="77"/>
      <c r="G219" s="25"/>
      <c r="H219" s="25"/>
      <c r="I219" s="25"/>
      <c r="J219" s="25"/>
      <c r="K219" s="25"/>
      <c r="L219" s="25"/>
      <c r="M219" s="25"/>
      <c r="N219" s="25"/>
      <c r="O219" s="25"/>
      <c r="P219" s="25"/>
      <c r="Q219" s="30"/>
      <c r="R219" s="86">
        <f>T164</f>
        <v>38</v>
      </c>
      <c r="S219" s="25"/>
      <c r="T219" s="80"/>
      <c r="U219" s="89"/>
      <c r="V219" s="5"/>
    </row>
    <row r="220" spans="1:22" ht="15.6" x14ac:dyDescent="0.3">
      <c r="A220" s="85"/>
      <c r="B220" s="77" t="s">
        <v>90</v>
      </c>
      <c r="C220" s="54"/>
      <c r="D220" s="54"/>
      <c r="E220" s="54"/>
      <c r="F220" s="54"/>
      <c r="G220" s="25"/>
      <c r="H220" s="25"/>
      <c r="I220" s="25"/>
      <c r="J220" s="25"/>
      <c r="K220" s="25"/>
      <c r="L220" s="25"/>
      <c r="M220" s="25"/>
      <c r="N220" s="25"/>
      <c r="O220" s="25"/>
      <c r="P220" s="25"/>
      <c r="Q220" s="30"/>
      <c r="R220" s="86">
        <f>'April 08'!R220+'July 08'!R219</f>
        <v>372</v>
      </c>
      <c r="S220" s="25"/>
      <c r="T220" s="80"/>
      <c r="U220" s="89"/>
      <c r="V220" s="5"/>
    </row>
    <row r="221" spans="1:22" ht="15.6" x14ac:dyDescent="0.3">
      <c r="A221" s="88"/>
      <c r="B221" s="123" t="s">
        <v>288</v>
      </c>
      <c r="C221" s="77"/>
      <c r="D221" s="77"/>
      <c r="E221" s="77"/>
      <c r="F221" s="77"/>
      <c r="G221" s="25"/>
      <c r="H221" s="25"/>
      <c r="I221" s="25"/>
      <c r="J221" s="25"/>
      <c r="K221" s="25"/>
      <c r="L221" s="25"/>
      <c r="M221" s="25"/>
      <c r="N221" s="25"/>
      <c r="O221" s="25"/>
      <c r="P221" s="25"/>
      <c r="Q221" s="30"/>
      <c r="R221" s="86"/>
      <c r="S221" s="25"/>
      <c r="T221" s="80"/>
      <c r="U221" s="89"/>
      <c r="V221" s="5"/>
    </row>
    <row r="222" spans="1:22" ht="15.6" x14ac:dyDescent="0.3">
      <c r="A222" s="88"/>
      <c r="B222" s="77" t="s">
        <v>286</v>
      </c>
      <c r="C222" s="77"/>
      <c r="D222" s="77"/>
      <c r="E222" s="77"/>
      <c r="F222" s="77"/>
      <c r="G222" s="25"/>
      <c r="H222" s="25"/>
      <c r="I222" s="25"/>
      <c r="J222" s="25"/>
      <c r="K222" s="25"/>
      <c r="L222" s="25"/>
      <c r="M222" s="25"/>
      <c r="N222" s="25"/>
      <c r="O222" s="25"/>
      <c r="P222" s="25"/>
      <c r="Q222" s="30">
        <v>0</v>
      </c>
      <c r="R222" s="86">
        <v>0</v>
      </c>
      <c r="S222" s="25"/>
      <c r="T222" s="80"/>
      <c r="U222" s="89"/>
      <c r="V222" s="5"/>
    </row>
    <row r="223" spans="1:22" ht="15.6" x14ac:dyDescent="0.3">
      <c r="A223" s="85"/>
      <c r="B223" s="77" t="s">
        <v>92</v>
      </c>
      <c r="C223" s="90"/>
      <c r="D223" s="90"/>
      <c r="E223" s="90"/>
      <c r="F223" s="91"/>
      <c r="G223" s="25"/>
      <c r="H223" s="25"/>
      <c r="I223" s="25"/>
      <c r="J223" s="25"/>
      <c r="K223" s="25"/>
      <c r="L223" s="25"/>
      <c r="M223" s="25"/>
      <c r="N223" s="25"/>
      <c r="O223" s="25"/>
      <c r="P223" s="25"/>
      <c r="Q223" s="30"/>
      <c r="R223" s="62">
        <v>0</v>
      </c>
      <c r="S223" s="25"/>
      <c r="T223" s="80"/>
      <c r="U223" s="89"/>
      <c r="V223" s="5"/>
    </row>
    <row r="224" spans="1:22" ht="15.6" x14ac:dyDescent="0.3">
      <c r="A224" s="85"/>
      <c r="B224" s="77" t="s">
        <v>93</v>
      </c>
      <c r="C224" s="90"/>
      <c r="D224" s="90"/>
      <c r="E224" s="90"/>
      <c r="F224" s="91"/>
      <c r="G224" s="25"/>
      <c r="H224" s="25"/>
      <c r="I224" s="25"/>
      <c r="J224" s="25"/>
      <c r="K224" s="25"/>
      <c r="L224" s="25"/>
      <c r="M224" s="25"/>
      <c r="N224" s="25"/>
      <c r="O224" s="25"/>
      <c r="P224" s="25"/>
      <c r="Q224" s="30"/>
      <c r="R224" s="62">
        <v>0</v>
      </c>
      <c r="S224" s="25"/>
      <c r="T224" s="80"/>
      <c r="U224" s="89"/>
      <c r="V224" s="5"/>
    </row>
    <row r="225" spans="1:23" ht="15.6" x14ac:dyDescent="0.3">
      <c r="A225" s="85"/>
      <c r="B225" s="123" t="s">
        <v>258</v>
      </c>
      <c r="C225" s="90"/>
      <c r="D225" s="90"/>
      <c r="E225" s="90"/>
      <c r="F225" s="91"/>
      <c r="G225" s="25"/>
      <c r="H225" s="25"/>
      <c r="I225" s="25"/>
      <c r="J225" s="25"/>
      <c r="K225" s="25"/>
      <c r="L225" s="25"/>
      <c r="M225" s="25"/>
      <c r="N225" s="25"/>
      <c r="O225" s="25"/>
      <c r="P225" s="25"/>
      <c r="Q225" s="30"/>
      <c r="R225" s="92"/>
      <c r="S225" s="25"/>
      <c r="T225" s="80"/>
      <c r="U225" s="89"/>
      <c r="V225" s="5"/>
    </row>
    <row r="226" spans="1:23" ht="15.6" x14ac:dyDescent="0.3">
      <c r="A226" s="85"/>
      <c r="B226" s="77" t="s">
        <v>286</v>
      </c>
      <c r="C226" s="90"/>
      <c r="D226" s="90"/>
      <c r="E226" s="90"/>
      <c r="F226" s="91"/>
      <c r="G226" s="25"/>
      <c r="H226" s="25"/>
      <c r="I226" s="25"/>
      <c r="J226" s="25"/>
      <c r="K226" s="25"/>
      <c r="L226" s="25"/>
      <c r="M226" s="25"/>
      <c r="N226" s="25"/>
      <c r="O226" s="25"/>
      <c r="P226" s="25"/>
      <c r="Q226" s="30">
        <v>6</v>
      </c>
      <c r="R226" s="86">
        <v>876</v>
      </c>
      <c r="S226" s="25"/>
      <c r="T226" s="80"/>
      <c r="U226" s="89"/>
      <c r="V226" s="5"/>
    </row>
    <row r="227" spans="1:23" ht="15.6" x14ac:dyDescent="0.3">
      <c r="A227" s="85"/>
      <c r="B227" s="77" t="s">
        <v>259</v>
      </c>
      <c r="C227" s="90"/>
      <c r="D227" s="90"/>
      <c r="E227" s="90"/>
      <c r="F227" s="91"/>
      <c r="G227" s="25"/>
      <c r="H227" s="25"/>
      <c r="I227" s="25"/>
      <c r="J227" s="25"/>
      <c r="K227" s="25"/>
      <c r="L227" s="25"/>
      <c r="M227" s="25"/>
      <c r="N227" s="25"/>
      <c r="O227" s="25"/>
      <c r="P227" s="25"/>
      <c r="Q227" s="25"/>
      <c r="R227" s="62">
        <v>5.38</v>
      </c>
      <c r="S227" s="25"/>
      <c r="T227" s="80"/>
      <c r="U227" s="89"/>
      <c r="V227" s="5"/>
    </row>
    <row r="228" spans="1:23" ht="15.6" x14ac:dyDescent="0.3">
      <c r="A228" s="85"/>
      <c r="B228" s="77"/>
      <c r="C228" s="90"/>
      <c r="D228" s="90"/>
      <c r="E228" s="90"/>
      <c r="F228" s="91"/>
      <c r="G228" s="25"/>
      <c r="H228" s="25"/>
      <c r="I228" s="25"/>
      <c r="J228" s="25"/>
      <c r="K228" s="25"/>
      <c r="L228" s="25"/>
      <c r="M228" s="25"/>
      <c r="N228" s="25"/>
      <c r="O228" s="25"/>
      <c r="P228" s="25"/>
      <c r="Q228" s="25"/>
      <c r="R228" s="92"/>
      <c r="S228" s="25"/>
      <c r="T228" s="80"/>
      <c r="U228" s="89"/>
      <c r="V228" s="5"/>
    </row>
    <row r="229" spans="1:23" ht="17.399999999999999" x14ac:dyDescent="0.3">
      <c r="A229" s="85"/>
      <c r="B229" s="153" t="s">
        <v>208</v>
      </c>
      <c r="C229" s="90"/>
      <c r="D229" s="90"/>
      <c r="E229" s="90"/>
      <c r="F229" s="91"/>
      <c r="G229" s="25"/>
      <c r="H229" s="25"/>
      <c r="I229" s="25"/>
      <c r="J229" s="25"/>
      <c r="K229" s="25"/>
      <c r="L229" s="25"/>
      <c r="M229" s="25"/>
      <c r="N229" s="154" t="s">
        <v>207</v>
      </c>
      <c r="O229" s="25"/>
      <c r="P229" s="25"/>
      <c r="Q229" s="25"/>
      <c r="R229" s="92"/>
      <c r="S229" s="25"/>
      <c r="T229" s="80"/>
      <c r="U229" s="89"/>
      <c r="V229" s="5"/>
    </row>
    <row r="230" spans="1:23" ht="15.6" x14ac:dyDescent="0.3">
      <c r="A230" s="85"/>
      <c r="B230" s="77"/>
      <c r="C230" s="90"/>
      <c r="D230" s="90"/>
      <c r="E230" s="90"/>
      <c r="F230" s="91"/>
      <c r="G230" s="25"/>
      <c r="H230" s="25"/>
      <c r="I230" s="25"/>
      <c r="J230" s="25"/>
      <c r="K230" s="25"/>
      <c r="L230" s="25"/>
      <c r="M230" s="25"/>
      <c r="N230" s="25"/>
      <c r="O230" s="25"/>
      <c r="P230" s="25"/>
      <c r="Q230" s="25"/>
      <c r="R230" s="92"/>
      <c r="S230" s="25"/>
      <c r="T230" s="80"/>
      <c r="U230" s="89"/>
      <c r="V230" s="5"/>
    </row>
    <row r="231" spans="1:23" ht="15.6" x14ac:dyDescent="0.3">
      <c r="A231" s="6"/>
      <c r="B231" s="14" t="s">
        <v>177</v>
      </c>
      <c r="C231" s="82"/>
      <c r="D231" s="82"/>
      <c r="E231" s="82"/>
      <c r="F231" s="83"/>
      <c r="G231" s="82"/>
      <c r="H231" s="17"/>
      <c r="I231" s="17"/>
      <c r="J231" s="17"/>
      <c r="K231" s="17"/>
      <c r="L231" s="17"/>
      <c r="M231" s="17"/>
      <c r="N231" s="17"/>
      <c r="O231" s="17"/>
      <c r="P231" s="84" t="s">
        <v>108</v>
      </c>
      <c r="Q231" s="17" t="s">
        <v>109</v>
      </c>
      <c r="R231" s="84" t="s">
        <v>117</v>
      </c>
      <c r="S231" s="17" t="s">
        <v>109</v>
      </c>
      <c r="T231" s="8"/>
      <c r="U231" s="93"/>
      <c r="V231" s="5"/>
    </row>
    <row r="232" spans="1:23" ht="15.6" x14ac:dyDescent="0.3">
      <c r="A232" s="24"/>
      <c r="B232" s="54" t="s">
        <v>94</v>
      </c>
      <c r="C232" s="94"/>
      <c r="D232" s="94"/>
      <c r="E232" s="94"/>
      <c r="F232" s="25"/>
      <c r="G232" s="94"/>
      <c r="H232" s="94"/>
      <c r="I232" s="94"/>
      <c r="J232" s="94"/>
      <c r="K232" s="94"/>
      <c r="L232" s="94"/>
      <c r="M232" s="94"/>
      <c r="N232" s="94"/>
      <c r="O232" s="94"/>
      <c r="P232" s="54">
        <v>3002</v>
      </c>
      <c r="Q232" s="95">
        <f t="shared" ref="Q232:Q239" si="1">P232/$P$241</f>
        <v>0.99010554089709768</v>
      </c>
      <c r="R232" s="53">
        <v>353682</v>
      </c>
      <c r="S232" s="135">
        <f t="shared" ref="S232:S239" si="2">R232/$R$241</f>
        <v>0.98930644326652772</v>
      </c>
      <c r="T232" s="80"/>
      <c r="U232" s="89"/>
      <c r="V232" s="5"/>
    </row>
    <row r="233" spans="1:23" ht="15.6" x14ac:dyDescent="0.3">
      <c r="A233" s="24"/>
      <c r="B233" s="54" t="s">
        <v>95</v>
      </c>
      <c r="C233" s="94"/>
      <c r="D233" s="94"/>
      <c r="E233" s="94"/>
      <c r="F233" s="25"/>
      <c r="G233" s="95"/>
      <c r="H233" s="94"/>
      <c r="I233" s="94"/>
      <c r="J233" s="94"/>
      <c r="K233" s="94"/>
      <c r="L233" s="94"/>
      <c r="M233" s="94"/>
      <c r="N233" s="94"/>
      <c r="O233" s="94"/>
      <c r="P233" s="54">
        <v>19</v>
      </c>
      <c r="Q233" s="95">
        <f t="shared" si="1"/>
        <v>6.2664907651715038E-3</v>
      </c>
      <c r="R233" s="53">
        <v>2434</v>
      </c>
      <c r="S233" s="135">
        <f t="shared" si="2"/>
        <v>6.8082963874631121E-3</v>
      </c>
      <c r="T233" s="80"/>
      <c r="U233" s="89"/>
      <c r="V233" s="5"/>
      <c r="W233" s="110"/>
    </row>
    <row r="234" spans="1:23" ht="15.6" x14ac:dyDescent="0.3">
      <c r="A234" s="24"/>
      <c r="B234" s="54" t="s">
        <v>96</v>
      </c>
      <c r="C234" s="94"/>
      <c r="D234" s="94"/>
      <c r="E234" s="94"/>
      <c r="F234" s="25"/>
      <c r="G234" s="95"/>
      <c r="H234" s="94"/>
      <c r="I234" s="94"/>
      <c r="J234" s="94"/>
      <c r="K234" s="94"/>
      <c r="L234" s="94"/>
      <c r="M234" s="94"/>
      <c r="N234" s="94"/>
      <c r="O234" s="94"/>
      <c r="P234" s="54">
        <v>9</v>
      </c>
      <c r="Q234" s="95">
        <f t="shared" si="1"/>
        <v>2.9683377308707122E-3</v>
      </c>
      <c r="R234" s="53">
        <v>1154</v>
      </c>
      <c r="S234" s="135">
        <f t="shared" si="2"/>
        <v>3.2279268821415086E-3</v>
      </c>
      <c r="T234" s="80"/>
      <c r="U234" s="89"/>
      <c r="V234" s="5"/>
    </row>
    <row r="235" spans="1:23" ht="15.6" x14ac:dyDescent="0.3">
      <c r="A235" s="24"/>
      <c r="B235" s="54" t="s">
        <v>171</v>
      </c>
      <c r="C235" s="94"/>
      <c r="D235" s="94"/>
      <c r="E235" s="94"/>
      <c r="F235" s="25"/>
      <c r="G235" s="95"/>
      <c r="H235" s="94"/>
      <c r="I235" s="94"/>
      <c r="J235" s="94"/>
      <c r="K235" s="94"/>
      <c r="L235" s="94"/>
      <c r="M235" s="94"/>
      <c r="N235" s="94"/>
      <c r="O235" s="94"/>
      <c r="P235" s="54">
        <v>0</v>
      </c>
      <c r="Q235" s="95">
        <f t="shared" si="1"/>
        <v>0</v>
      </c>
      <c r="R235" s="53">
        <v>0</v>
      </c>
      <c r="S235" s="135">
        <f t="shared" si="2"/>
        <v>0</v>
      </c>
      <c r="T235" s="80"/>
      <c r="U235" s="89"/>
      <c r="V235" s="5"/>
      <c r="W235" s="110"/>
    </row>
    <row r="236" spans="1:23" ht="15.6" x14ac:dyDescent="0.3">
      <c r="A236" s="24"/>
      <c r="B236" s="54" t="s">
        <v>172</v>
      </c>
      <c r="C236" s="94"/>
      <c r="D236" s="94"/>
      <c r="E236" s="94"/>
      <c r="F236" s="25"/>
      <c r="G236" s="95"/>
      <c r="H236" s="94"/>
      <c r="I236" s="94"/>
      <c r="J236" s="94"/>
      <c r="K236" s="94"/>
      <c r="L236" s="94"/>
      <c r="M236" s="94"/>
      <c r="N236" s="94"/>
      <c r="O236" s="94"/>
      <c r="P236" s="54">
        <v>2</v>
      </c>
      <c r="Q236" s="95">
        <f t="shared" si="1"/>
        <v>6.5963060686015829E-4</v>
      </c>
      <c r="R236" s="53">
        <v>235</v>
      </c>
      <c r="S236" s="135">
        <f t="shared" si="2"/>
        <v>6.5733346386763817E-4</v>
      </c>
      <c r="T236" s="80"/>
      <c r="U236" s="89"/>
      <c r="V236" s="5"/>
    </row>
    <row r="237" spans="1:23" ht="15.6" x14ac:dyDescent="0.3">
      <c r="A237" s="24"/>
      <c r="B237" s="54" t="s">
        <v>173</v>
      </c>
      <c r="C237" s="94"/>
      <c r="D237" s="94"/>
      <c r="E237" s="94"/>
      <c r="F237" s="25"/>
      <c r="G237" s="95"/>
      <c r="H237" s="94"/>
      <c r="I237" s="94"/>
      <c r="J237" s="94"/>
      <c r="K237" s="94"/>
      <c r="L237" s="94"/>
      <c r="M237" s="94"/>
      <c r="N237" s="94"/>
      <c r="O237" s="94"/>
      <c r="P237" s="54">
        <v>0</v>
      </c>
      <c r="Q237" s="95">
        <f t="shared" si="1"/>
        <v>0</v>
      </c>
      <c r="R237" s="53">
        <v>0</v>
      </c>
      <c r="S237" s="135">
        <f t="shared" si="2"/>
        <v>0</v>
      </c>
      <c r="T237" s="80"/>
      <c r="U237" s="89"/>
      <c r="V237" s="5"/>
      <c r="W237" s="110"/>
    </row>
    <row r="238" spans="1:23" ht="15.6" x14ac:dyDescent="0.3">
      <c r="A238" s="24"/>
      <c r="B238" s="54" t="s">
        <v>174</v>
      </c>
      <c r="C238" s="94"/>
      <c r="D238" s="94"/>
      <c r="E238" s="94"/>
      <c r="F238" s="25"/>
      <c r="G238" s="95"/>
      <c r="H238" s="94"/>
      <c r="I238" s="94"/>
      <c r="J238" s="94"/>
      <c r="K238" s="94"/>
      <c r="L238" s="94"/>
      <c r="M238" s="94"/>
      <c r="N238" s="94"/>
      <c r="O238" s="94"/>
      <c r="P238" s="54">
        <v>0</v>
      </c>
      <c r="Q238" s="95">
        <f t="shared" si="1"/>
        <v>0</v>
      </c>
      <c r="R238" s="53">
        <v>0</v>
      </c>
      <c r="S238" s="135">
        <f t="shared" si="2"/>
        <v>0</v>
      </c>
      <c r="T238" s="80"/>
      <c r="U238" s="89"/>
      <c r="V238" s="5"/>
    </row>
    <row r="239" spans="1:23" ht="15.6" x14ac:dyDescent="0.3">
      <c r="A239" s="24"/>
      <c r="B239" s="54" t="s">
        <v>175</v>
      </c>
      <c r="C239" s="94"/>
      <c r="D239" s="94"/>
      <c r="E239" s="94"/>
      <c r="F239" s="25"/>
      <c r="G239" s="95"/>
      <c r="H239" s="94"/>
      <c r="I239" s="94"/>
      <c r="J239" s="94"/>
      <c r="K239" s="94"/>
      <c r="L239" s="94"/>
      <c r="M239" s="94"/>
      <c r="N239" s="94"/>
      <c r="O239" s="94"/>
      <c r="P239" s="54">
        <v>0</v>
      </c>
      <c r="Q239" s="95">
        <f t="shared" si="1"/>
        <v>0</v>
      </c>
      <c r="R239" s="53">
        <v>0</v>
      </c>
      <c r="S239" s="135">
        <f t="shared" si="2"/>
        <v>0</v>
      </c>
      <c r="T239" s="80"/>
      <c r="U239" s="89"/>
      <c r="V239" s="5"/>
      <c r="W239" s="110"/>
    </row>
    <row r="240" spans="1:23" ht="15.6" x14ac:dyDescent="0.3">
      <c r="A240" s="24"/>
      <c r="B240" s="54"/>
      <c r="C240" s="94"/>
      <c r="D240" s="94"/>
      <c r="E240" s="94"/>
      <c r="F240" s="25"/>
      <c r="G240" s="95"/>
      <c r="H240" s="94"/>
      <c r="I240" s="94"/>
      <c r="J240" s="94"/>
      <c r="K240" s="94"/>
      <c r="L240" s="94"/>
      <c r="M240" s="94"/>
      <c r="N240" s="94"/>
      <c r="O240" s="94"/>
      <c r="P240" s="54"/>
      <c r="Q240" s="95"/>
      <c r="R240" s="53"/>
      <c r="S240" s="135"/>
      <c r="T240" s="80"/>
      <c r="U240" s="89"/>
      <c r="V240" s="5"/>
    </row>
    <row r="241" spans="1:22" ht="15.6" x14ac:dyDescent="0.3">
      <c r="A241" s="24"/>
      <c r="B241" s="25"/>
      <c r="C241" s="25"/>
      <c r="D241" s="25"/>
      <c r="E241" s="25"/>
      <c r="F241" s="25"/>
      <c r="G241" s="25"/>
      <c r="H241" s="96"/>
      <c r="I241" s="96"/>
      <c r="J241" s="96"/>
      <c r="K241" s="96"/>
      <c r="L241" s="96"/>
      <c r="M241" s="96"/>
      <c r="N241" s="96"/>
      <c r="O241" s="96"/>
      <c r="P241" s="34">
        <f>SUM(P232:P240)</f>
        <v>3032</v>
      </c>
      <c r="Q241" s="135">
        <f>SUM(Q232:Q240)</f>
        <v>1</v>
      </c>
      <c r="R241" s="53">
        <f>SUM(R232:R240)</f>
        <v>357505</v>
      </c>
      <c r="S241" s="135">
        <f>SUM(S232:S240)</f>
        <v>1</v>
      </c>
      <c r="T241" s="25"/>
      <c r="U241" s="25"/>
      <c r="V241" s="5"/>
    </row>
    <row r="242" spans="1:22" ht="15.6" x14ac:dyDescent="0.3">
      <c r="A242" s="24"/>
      <c r="B242" s="25"/>
      <c r="C242" s="25"/>
      <c r="D242" s="25"/>
      <c r="E242" s="25"/>
      <c r="F242" s="25"/>
      <c r="G242" s="25"/>
      <c r="H242" s="96"/>
      <c r="I242" s="96"/>
      <c r="J242" s="96"/>
      <c r="K242" s="96"/>
      <c r="L242" s="96"/>
      <c r="M242" s="96"/>
      <c r="N242" s="96"/>
      <c r="O242" s="96"/>
      <c r="P242" s="34"/>
      <c r="Q242" s="135"/>
      <c r="R242" s="53"/>
      <c r="S242" s="135"/>
      <c r="T242" s="25"/>
      <c r="U242" s="25"/>
      <c r="V242" s="5"/>
    </row>
    <row r="243" spans="1:22" ht="15.6" x14ac:dyDescent="0.3">
      <c r="A243" s="144"/>
      <c r="B243" s="14" t="s">
        <v>279</v>
      </c>
      <c r="C243" s="82"/>
      <c r="D243" s="82"/>
      <c r="E243" s="82"/>
      <c r="F243" s="83"/>
      <c r="G243" s="82"/>
      <c r="H243" s="17"/>
      <c r="I243" s="17"/>
      <c r="J243" s="17"/>
      <c r="K243" s="17"/>
      <c r="L243" s="17"/>
      <c r="M243" s="17"/>
      <c r="N243" s="17"/>
      <c r="O243" s="17"/>
      <c r="P243" s="84" t="s">
        <v>108</v>
      </c>
      <c r="Q243" s="17" t="s">
        <v>109</v>
      </c>
      <c r="R243" s="84" t="s">
        <v>117</v>
      </c>
      <c r="S243" s="17" t="s">
        <v>109</v>
      </c>
      <c r="T243" s="142"/>
      <c r="U243" s="143"/>
      <c r="V243" s="5"/>
    </row>
    <row r="244" spans="1:22" ht="15.6" x14ac:dyDescent="0.3">
      <c r="A244" s="24"/>
      <c r="B244" s="54" t="s">
        <v>94</v>
      </c>
      <c r="C244" s="94"/>
      <c r="D244" s="94"/>
      <c r="E244" s="94"/>
      <c r="F244" s="25"/>
      <c r="G244" s="94"/>
      <c r="H244" s="94"/>
      <c r="I244" s="94"/>
      <c r="J244" s="94"/>
      <c r="K244" s="94"/>
      <c r="L244" s="94"/>
      <c r="M244" s="94"/>
      <c r="N244" s="94"/>
      <c r="O244" s="94"/>
      <c r="P244" s="54">
        <v>2</v>
      </c>
      <c r="Q244" s="95">
        <f t="shared" ref="Q244:Q251" si="3">P244/$P$253</f>
        <v>3.2258064516129031E-2</v>
      </c>
      <c r="R244" s="53">
        <v>246</v>
      </c>
      <c r="S244" s="135">
        <f t="shared" ref="S244:S251" si="4">R244/$R$253</f>
        <v>3.0623677331009586E-2</v>
      </c>
      <c r="T244" s="25"/>
      <c r="U244" s="25"/>
      <c r="V244" s="5"/>
    </row>
    <row r="245" spans="1:22" ht="15.6" x14ac:dyDescent="0.3">
      <c r="A245" s="24"/>
      <c r="B245" s="54" t="s">
        <v>95</v>
      </c>
      <c r="C245" s="94"/>
      <c r="D245" s="94"/>
      <c r="E245" s="94"/>
      <c r="F245" s="25"/>
      <c r="G245" s="95"/>
      <c r="H245" s="94"/>
      <c r="I245" s="94"/>
      <c r="J245" s="94"/>
      <c r="K245" s="94"/>
      <c r="L245" s="94"/>
      <c r="M245" s="94"/>
      <c r="N245" s="94"/>
      <c r="O245" s="94"/>
      <c r="P245" s="54">
        <v>16</v>
      </c>
      <c r="Q245" s="95">
        <f t="shared" si="3"/>
        <v>0.25806451612903225</v>
      </c>
      <c r="R245" s="53">
        <v>2438</v>
      </c>
      <c r="S245" s="135">
        <f t="shared" si="4"/>
        <v>0.30349807045935517</v>
      </c>
      <c r="T245" s="25"/>
      <c r="U245" s="25"/>
      <c r="V245" s="5"/>
    </row>
    <row r="246" spans="1:22" ht="15.6" x14ac:dyDescent="0.3">
      <c r="A246" s="24"/>
      <c r="B246" s="54" t="s">
        <v>96</v>
      </c>
      <c r="C246" s="94"/>
      <c r="D246" s="94"/>
      <c r="E246" s="94"/>
      <c r="F246" s="25"/>
      <c r="G246" s="95"/>
      <c r="H246" s="94"/>
      <c r="I246" s="94"/>
      <c r="J246" s="94"/>
      <c r="K246" s="94"/>
      <c r="L246" s="94"/>
      <c r="M246" s="94"/>
      <c r="N246" s="94"/>
      <c r="O246" s="94"/>
      <c r="P246" s="54">
        <v>16</v>
      </c>
      <c r="Q246" s="95">
        <f t="shared" si="3"/>
        <v>0.25806451612903225</v>
      </c>
      <c r="R246" s="53">
        <v>1895</v>
      </c>
      <c r="S246" s="135">
        <f t="shared" si="4"/>
        <v>0.23590190464334621</v>
      </c>
      <c r="T246" s="25"/>
      <c r="U246" s="25"/>
      <c r="V246" s="5"/>
    </row>
    <row r="247" spans="1:22" ht="15.6" x14ac:dyDescent="0.3">
      <c r="A247" s="24"/>
      <c r="B247" s="54" t="s">
        <v>171</v>
      </c>
      <c r="C247" s="94"/>
      <c r="D247" s="94"/>
      <c r="E247" s="94"/>
      <c r="F247" s="25"/>
      <c r="G247" s="95"/>
      <c r="H247" s="94"/>
      <c r="I247" s="94"/>
      <c r="J247" s="94"/>
      <c r="K247" s="94"/>
      <c r="L247" s="94"/>
      <c r="M247" s="94"/>
      <c r="N247" s="94"/>
      <c r="O247" s="94"/>
      <c r="P247" s="54">
        <v>3</v>
      </c>
      <c r="Q247" s="95">
        <f t="shared" si="3"/>
        <v>4.8387096774193547E-2</v>
      </c>
      <c r="R247" s="53">
        <v>386</v>
      </c>
      <c r="S247" s="135">
        <f t="shared" si="4"/>
        <v>4.8051786381177644E-2</v>
      </c>
      <c r="T247" s="25"/>
      <c r="U247" s="25"/>
      <c r="V247" s="5"/>
    </row>
    <row r="248" spans="1:22" ht="15.6" x14ac:dyDescent="0.3">
      <c r="A248" s="24"/>
      <c r="B248" s="54" t="s">
        <v>172</v>
      </c>
      <c r="C248" s="94"/>
      <c r="D248" s="94"/>
      <c r="E248" s="94"/>
      <c r="F248" s="25"/>
      <c r="G248" s="95"/>
      <c r="H248" s="94"/>
      <c r="I248" s="94"/>
      <c r="J248" s="94"/>
      <c r="K248" s="94"/>
      <c r="L248" s="94"/>
      <c r="M248" s="94"/>
      <c r="N248" s="94"/>
      <c r="O248" s="94"/>
      <c r="P248" s="54">
        <v>4</v>
      </c>
      <c r="Q248" s="95">
        <f t="shared" si="3"/>
        <v>6.4516129032258063E-2</v>
      </c>
      <c r="R248" s="53">
        <v>344</v>
      </c>
      <c r="S248" s="135">
        <f t="shared" si="4"/>
        <v>4.2823353666127224E-2</v>
      </c>
      <c r="T248" s="25"/>
      <c r="U248" s="25"/>
      <c r="V248" s="5"/>
    </row>
    <row r="249" spans="1:22" ht="15.6" x14ac:dyDescent="0.3">
      <c r="A249" s="24"/>
      <c r="B249" s="54" t="s">
        <v>173</v>
      </c>
      <c r="C249" s="94"/>
      <c r="D249" s="94"/>
      <c r="E249" s="94"/>
      <c r="F249" s="25"/>
      <c r="G249" s="95"/>
      <c r="H249" s="94"/>
      <c r="I249" s="94"/>
      <c r="J249" s="94"/>
      <c r="K249" s="94"/>
      <c r="L249" s="94"/>
      <c r="M249" s="94"/>
      <c r="N249" s="94"/>
      <c r="O249" s="94"/>
      <c r="P249" s="54">
        <v>1</v>
      </c>
      <c r="Q249" s="95">
        <f t="shared" si="3"/>
        <v>1.6129032258064516E-2</v>
      </c>
      <c r="R249" s="53">
        <v>73</v>
      </c>
      <c r="S249" s="135">
        <f t="shared" si="4"/>
        <v>9.0875140047304865E-3</v>
      </c>
      <c r="T249" s="25"/>
      <c r="U249" s="25"/>
      <c r="V249" s="5"/>
    </row>
    <row r="250" spans="1:22" ht="15.6" x14ac:dyDescent="0.3">
      <c r="A250" s="24"/>
      <c r="B250" s="54" t="s">
        <v>174</v>
      </c>
      <c r="C250" s="94"/>
      <c r="D250" s="94"/>
      <c r="E250" s="94"/>
      <c r="F250" s="25"/>
      <c r="G250" s="95"/>
      <c r="H250" s="94"/>
      <c r="I250" s="94"/>
      <c r="J250" s="94"/>
      <c r="K250" s="94"/>
      <c r="L250" s="94"/>
      <c r="M250" s="94"/>
      <c r="N250" s="94"/>
      <c r="O250" s="94"/>
      <c r="P250" s="54">
        <v>9</v>
      </c>
      <c r="Q250" s="95">
        <f t="shared" si="3"/>
        <v>0.14516129032258066</v>
      </c>
      <c r="R250" s="53">
        <v>1176</v>
      </c>
      <c r="S250" s="135">
        <f t="shared" si="4"/>
        <v>0.14639611602141167</v>
      </c>
      <c r="T250" s="25"/>
      <c r="U250" s="25"/>
      <c r="V250" s="5"/>
    </row>
    <row r="251" spans="1:22" ht="15.6" x14ac:dyDescent="0.3">
      <c r="A251" s="24"/>
      <c r="B251" s="54" t="s">
        <v>175</v>
      </c>
      <c r="C251" s="94"/>
      <c r="D251" s="94"/>
      <c r="E251" s="94"/>
      <c r="F251" s="25"/>
      <c r="G251" s="95"/>
      <c r="H251" s="94"/>
      <c r="I251" s="94"/>
      <c r="J251" s="94"/>
      <c r="K251" s="94"/>
      <c r="L251" s="94"/>
      <c r="M251" s="94"/>
      <c r="N251" s="94"/>
      <c r="O251" s="94"/>
      <c r="P251" s="54">
        <v>11</v>
      </c>
      <c r="Q251" s="95">
        <f t="shared" si="3"/>
        <v>0.17741935483870969</v>
      </c>
      <c r="R251" s="53">
        <v>1475</v>
      </c>
      <c r="S251" s="135">
        <f t="shared" si="4"/>
        <v>0.18361757749284202</v>
      </c>
      <c r="T251" s="25"/>
      <c r="U251" s="25"/>
      <c r="V251" s="5"/>
    </row>
    <row r="252" spans="1:22" ht="15.6" x14ac:dyDescent="0.3">
      <c r="A252" s="24"/>
      <c r="B252" s="54"/>
      <c r="C252" s="94"/>
      <c r="D252" s="94"/>
      <c r="E252" s="94"/>
      <c r="F252" s="25"/>
      <c r="G252" s="95"/>
      <c r="H252" s="94"/>
      <c r="I252" s="94"/>
      <c r="J252" s="94"/>
      <c r="K252" s="94"/>
      <c r="L252" s="94"/>
      <c r="M252" s="94"/>
      <c r="N252" s="94"/>
      <c r="O252" s="94"/>
      <c r="P252" s="54"/>
      <c r="Q252" s="95"/>
      <c r="R252" s="53"/>
      <c r="S252" s="135"/>
      <c r="T252" s="25"/>
      <c r="U252" s="25"/>
      <c r="V252" s="5"/>
    </row>
    <row r="253" spans="1:22" ht="15.6" x14ac:dyDescent="0.3">
      <c r="A253" s="24"/>
      <c r="B253" s="25"/>
      <c r="C253" s="25"/>
      <c r="D253" s="25"/>
      <c r="E253" s="25"/>
      <c r="F253" s="25"/>
      <c r="G253" s="25"/>
      <c r="H253" s="96"/>
      <c r="I253" s="96"/>
      <c r="J253" s="96"/>
      <c r="K253" s="96"/>
      <c r="L253" s="96"/>
      <c r="M253" s="96"/>
      <c r="N253" s="96"/>
      <c r="O253" s="96"/>
      <c r="P253" s="34">
        <f>SUM(P244:P252)</f>
        <v>62</v>
      </c>
      <c r="Q253" s="135">
        <f>SUM(Q244:Q252)</f>
        <v>0.99999999999999978</v>
      </c>
      <c r="R253" s="53">
        <f>SUM(R244:R252)</f>
        <v>8033</v>
      </c>
      <c r="S253" s="135">
        <f>SUM(S244:S252)</f>
        <v>1</v>
      </c>
      <c r="T253" s="25"/>
      <c r="U253" s="25"/>
      <c r="V253" s="5"/>
    </row>
    <row r="254" spans="1:22" ht="15.6" x14ac:dyDescent="0.3">
      <c r="A254" s="24"/>
      <c r="B254" s="25"/>
      <c r="C254" s="25"/>
      <c r="D254" s="25"/>
      <c r="E254" s="25"/>
      <c r="F254" s="25"/>
      <c r="G254" s="25"/>
      <c r="H254" s="96"/>
      <c r="I254" s="96"/>
      <c r="J254" s="96"/>
      <c r="K254" s="96"/>
      <c r="L254" s="96"/>
      <c r="M254" s="96"/>
      <c r="N254" s="96"/>
      <c r="O254" s="96"/>
      <c r="P254" s="34"/>
      <c r="Q254" s="135"/>
      <c r="R254" s="53"/>
      <c r="S254" s="135"/>
      <c r="T254" s="25"/>
      <c r="U254" s="25"/>
      <c r="V254" s="5"/>
    </row>
    <row r="255" spans="1:22" ht="15.6" x14ac:dyDescent="0.3">
      <c r="A255" s="144"/>
      <c r="B255" s="14" t="s">
        <v>179</v>
      </c>
      <c r="C255" s="142"/>
      <c r="D255" s="142"/>
      <c r="E255" s="142"/>
      <c r="F255" s="142"/>
      <c r="G255" s="142"/>
      <c r="H255" s="149"/>
      <c r="I255" s="149"/>
      <c r="J255" s="149"/>
      <c r="K255" s="149"/>
      <c r="L255" s="149"/>
      <c r="M255" s="149"/>
      <c r="N255" s="149"/>
      <c r="O255" s="149"/>
      <c r="P255" s="84" t="s">
        <v>108</v>
      </c>
      <c r="Q255" s="17" t="s">
        <v>109</v>
      </c>
      <c r="R255" s="84" t="s">
        <v>117</v>
      </c>
      <c r="S255" s="17" t="s">
        <v>109</v>
      </c>
      <c r="T255" s="142"/>
      <c r="U255" s="143"/>
      <c r="V255" s="5"/>
    </row>
    <row r="256" spans="1:22" ht="15.6" x14ac:dyDescent="0.3">
      <c r="A256" s="24"/>
      <c r="B256" s="54" t="s">
        <v>94</v>
      </c>
      <c r="C256" s="25"/>
      <c r="D256" s="25"/>
      <c r="E256" s="25"/>
      <c r="F256" s="25"/>
      <c r="G256" s="25"/>
      <c r="H256" s="96"/>
      <c r="I256" s="96"/>
      <c r="J256" s="96"/>
      <c r="K256" s="96"/>
      <c r="L256" s="96"/>
      <c r="M256" s="96"/>
      <c r="N256" s="96"/>
      <c r="O256" s="96"/>
      <c r="P256" s="54">
        <v>0</v>
      </c>
      <c r="Q256" s="95">
        <v>0</v>
      </c>
      <c r="R256" s="53">
        <v>0</v>
      </c>
      <c r="S256" s="135">
        <v>0</v>
      </c>
      <c r="T256" s="25"/>
      <c r="U256" s="25"/>
      <c r="V256" s="5"/>
    </row>
    <row r="257" spans="1:22" ht="15.6" x14ac:dyDescent="0.3">
      <c r="A257" s="24"/>
      <c r="B257" s="54" t="s">
        <v>95</v>
      </c>
      <c r="C257" s="25"/>
      <c r="D257" s="25"/>
      <c r="E257" s="25"/>
      <c r="F257" s="25"/>
      <c r="G257" s="25"/>
      <c r="H257" s="96"/>
      <c r="I257" s="96"/>
      <c r="J257" s="96"/>
      <c r="K257" s="96"/>
      <c r="L257" s="96"/>
      <c r="M257" s="96"/>
      <c r="N257" s="96"/>
      <c r="O257" s="96"/>
      <c r="P257" s="54">
        <v>0</v>
      </c>
      <c r="Q257" s="95">
        <v>0</v>
      </c>
      <c r="R257" s="53">
        <v>0</v>
      </c>
      <c r="S257" s="135">
        <v>0</v>
      </c>
      <c r="T257" s="25"/>
      <c r="U257" s="25"/>
      <c r="V257" s="5"/>
    </row>
    <row r="258" spans="1:22" ht="15.6" x14ac:dyDescent="0.3">
      <c r="A258" s="24"/>
      <c r="B258" s="54" t="s">
        <v>96</v>
      </c>
      <c r="C258" s="25"/>
      <c r="D258" s="25"/>
      <c r="E258" s="25"/>
      <c r="F258" s="25"/>
      <c r="G258" s="25"/>
      <c r="H258" s="96"/>
      <c r="I258" s="96"/>
      <c r="J258" s="96"/>
      <c r="K258" s="96"/>
      <c r="L258" s="96"/>
      <c r="M258" s="96"/>
      <c r="N258" s="96"/>
      <c r="O258" s="96"/>
      <c r="P258" s="54">
        <v>0</v>
      </c>
      <c r="Q258" s="95">
        <v>0</v>
      </c>
      <c r="R258" s="53">
        <v>0</v>
      </c>
      <c r="S258" s="135">
        <v>0</v>
      </c>
      <c r="T258" s="25"/>
      <c r="U258" s="25"/>
      <c r="V258" s="5"/>
    </row>
    <row r="259" spans="1:22" ht="15.6" x14ac:dyDescent="0.3">
      <c r="A259" s="24"/>
      <c r="B259" s="54" t="s">
        <v>171</v>
      </c>
      <c r="C259" s="25"/>
      <c r="D259" s="25"/>
      <c r="E259" s="25"/>
      <c r="F259" s="25"/>
      <c r="G259" s="25"/>
      <c r="H259" s="96"/>
      <c r="I259" s="96"/>
      <c r="J259" s="96"/>
      <c r="K259" s="96"/>
      <c r="L259" s="96"/>
      <c r="M259" s="96"/>
      <c r="N259" s="96"/>
      <c r="O259" s="96"/>
      <c r="P259" s="54">
        <v>0</v>
      </c>
      <c r="Q259" s="95">
        <v>0</v>
      </c>
      <c r="R259" s="53">
        <v>0</v>
      </c>
      <c r="S259" s="135">
        <v>0</v>
      </c>
      <c r="T259" s="25"/>
      <c r="U259" s="25"/>
      <c r="V259" s="5"/>
    </row>
    <row r="260" spans="1:22" ht="15.6" x14ac:dyDescent="0.3">
      <c r="A260" s="24"/>
      <c r="B260" s="54" t="s">
        <v>172</v>
      </c>
      <c r="C260" s="25"/>
      <c r="D260" s="25"/>
      <c r="E260" s="25"/>
      <c r="F260" s="25"/>
      <c r="G260" s="25"/>
      <c r="H260" s="96"/>
      <c r="I260" s="96"/>
      <c r="J260" s="96"/>
      <c r="K260" s="96"/>
      <c r="L260" s="96"/>
      <c r="M260" s="96"/>
      <c r="N260" s="96"/>
      <c r="O260" s="96"/>
      <c r="P260" s="54">
        <v>0</v>
      </c>
      <c r="Q260" s="95">
        <v>0</v>
      </c>
      <c r="R260" s="53">
        <v>0</v>
      </c>
      <c r="S260" s="135">
        <v>0</v>
      </c>
      <c r="T260" s="25"/>
      <c r="U260" s="25"/>
      <c r="V260" s="5"/>
    </row>
    <row r="261" spans="1:22" ht="15.6" x14ac:dyDescent="0.3">
      <c r="A261" s="24"/>
      <c r="B261" s="54" t="s">
        <v>173</v>
      </c>
      <c r="C261" s="25"/>
      <c r="D261" s="25"/>
      <c r="E261" s="25"/>
      <c r="F261" s="25"/>
      <c r="G261" s="25"/>
      <c r="H261" s="96"/>
      <c r="I261" s="96"/>
      <c r="J261" s="96"/>
      <c r="K261" s="96"/>
      <c r="L261" s="96"/>
      <c r="M261" s="96"/>
      <c r="N261" s="96"/>
      <c r="O261" s="96"/>
      <c r="P261" s="54">
        <v>0</v>
      </c>
      <c r="Q261" s="95">
        <v>0</v>
      </c>
      <c r="R261" s="53">
        <v>0</v>
      </c>
      <c r="S261" s="135">
        <v>0</v>
      </c>
      <c r="T261" s="25"/>
      <c r="U261" s="25"/>
      <c r="V261" s="5"/>
    </row>
    <row r="262" spans="1:22" ht="15.6" x14ac:dyDescent="0.3">
      <c r="A262" s="24"/>
      <c r="B262" s="54" t="s">
        <v>174</v>
      </c>
      <c r="C262" s="25"/>
      <c r="D262" s="25"/>
      <c r="E262" s="25"/>
      <c r="F262" s="25"/>
      <c r="G262" s="25"/>
      <c r="H262" s="96"/>
      <c r="I262" s="96"/>
      <c r="J262" s="96"/>
      <c r="K262" s="96"/>
      <c r="L262" s="96"/>
      <c r="M262" s="96"/>
      <c r="N262" s="96"/>
      <c r="O262" s="96"/>
      <c r="P262" s="54">
        <v>0</v>
      </c>
      <c r="Q262" s="95">
        <v>0</v>
      </c>
      <c r="R262" s="53">
        <v>0</v>
      </c>
      <c r="S262" s="135">
        <v>0</v>
      </c>
      <c r="T262" s="25"/>
      <c r="U262" s="25"/>
      <c r="V262" s="5"/>
    </row>
    <row r="263" spans="1:22" ht="15.6" x14ac:dyDescent="0.3">
      <c r="A263" s="24"/>
      <c r="B263" s="54" t="s">
        <v>175</v>
      </c>
      <c r="C263" s="25"/>
      <c r="D263" s="25"/>
      <c r="E263" s="25"/>
      <c r="F263" s="25"/>
      <c r="G263" s="25"/>
      <c r="H263" s="96"/>
      <c r="I263" s="96"/>
      <c r="J263" s="96"/>
      <c r="K263" s="96"/>
      <c r="L263" s="96"/>
      <c r="M263" s="96"/>
      <c r="N263" s="96"/>
      <c r="O263" s="96"/>
      <c r="P263" s="54">
        <v>0</v>
      </c>
      <c r="Q263" s="95">
        <v>0</v>
      </c>
      <c r="R263" s="53">
        <v>0</v>
      </c>
      <c r="S263" s="135">
        <v>0</v>
      </c>
      <c r="T263" s="25"/>
      <c r="U263" s="25"/>
      <c r="V263" s="5"/>
    </row>
    <row r="264" spans="1:22" ht="15.6" x14ac:dyDescent="0.3">
      <c r="A264" s="24"/>
      <c r="B264" s="54"/>
      <c r="C264" s="25"/>
      <c r="D264" s="25"/>
      <c r="E264" s="25"/>
      <c r="F264" s="25"/>
      <c r="G264" s="25"/>
      <c r="H264" s="96"/>
      <c r="I264" s="96"/>
      <c r="J264" s="96"/>
      <c r="K264" s="96"/>
      <c r="L264" s="96"/>
      <c r="M264" s="96"/>
      <c r="N264" s="96"/>
      <c r="O264" s="96"/>
      <c r="P264" s="54"/>
      <c r="Q264" s="95"/>
      <c r="R264" s="53"/>
      <c r="S264" s="135"/>
      <c r="T264" s="25"/>
      <c r="U264" s="25"/>
      <c r="V264" s="5"/>
    </row>
    <row r="265" spans="1:22" ht="15.6" x14ac:dyDescent="0.3">
      <c r="A265" s="24"/>
      <c r="B265" s="25" t="s">
        <v>123</v>
      </c>
      <c r="C265" s="25"/>
      <c r="D265" s="25"/>
      <c r="E265" s="25"/>
      <c r="F265" s="25"/>
      <c r="G265" s="25"/>
      <c r="H265" s="96"/>
      <c r="I265" s="96"/>
      <c r="J265" s="96"/>
      <c r="K265" s="96"/>
      <c r="L265" s="96"/>
      <c r="M265" s="96"/>
      <c r="N265" s="96"/>
      <c r="O265" s="96"/>
      <c r="P265" s="34">
        <f>SUM(P256:P263)</f>
        <v>0</v>
      </c>
      <c r="Q265" s="95">
        <f>SUM(Q256:Q263)</f>
        <v>0</v>
      </c>
      <c r="R265" s="53">
        <f>SUM(R256:R263)</f>
        <v>0</v>
      </c>
      <c r="S265" s="135">
        <f>SUM(S256:S263)</f>
        <v>0</v>
      </c>
      <c r="T265" s="25"/>
      <c r="U265" s="25"/>
      <c r="V265" s="5"/>
    </row>
    <row r="266" spans="1:22" ht="15.6" x14ac:dyDescent="0.3">
      <c r="A266" s="24"/>
      <c r="B266" s="25"/>
      <c r="C266" s="25"/>
      <c r="D266" s="25"/>
      <c r="E266" s="25"/>
      <c r="F266" s="25"/>
      <c r="G266" s="25"/>
      <c r="H266" s="96"/>
      <c r="I266" s="96"/>
      <c r="J266" s="96"/>
      <c r="K266" s="96"/>
      <c r="L266" s="96"/>
      <c r="M266" s="96"/>
      <c r="N266" s="96"/>
      <c r="O266" s="96"/>
      <c r="P266" s="34"/>
      <c r="Q266" s="135"/>
      <c r="R266" s="53"/>
      <c r="S266" s="135"/>
      <c r="T266" s="25"/>
      <c r="U266" s="25"/>
      <c r="V266" s="5"/>
    </row>
    <row r="267" spans="1:22" ht="15.6" x14ac:dyDescent="0.3">
      <c r="A267" s="24"/>
      <c r="B267" s="145" t="s">
        <v>180</v>
      </c>
      <c r="C267" s="25"/>
      <c r="D267" s="25"/>
      <c r="E267" s="25"/>
      <c r="F267" s="25"/>
      <c r="G267" s="25"/>
      <c r="H267" s="96"/>
      <c r="I267" s="96"/>
      <c r="J267" s="96"/>
      <c r="K267" s="96"/>
      <c r="L267" s="96"/>
      <c r="M267" s="96"/>
      <c r="N267" s="96"/>
      <c r="O267" s="96"/>
      <c r="P267" s="165">
        <f>+P241+P253+P265</f>
        <v>3094</v>
      </c>
      <c r="Q267" s="147"/>
      <c r="R267" s="148">
        <f>+R265+R253+R241</f>
        <v>365538</v>
      </c>
      <c r="S267" s="147"/>
      <c r="T267" s="25"/>
      <c r="U267" s="25"/>
      <c r="V267" s="5"/>
    </row>
    <row r="268" spans="1:22" ht="15.6" x14ac:dyDescent="0.3">
      <c r="A268" s="24"/>
      <c r="B268" s="25"/>
      <c r="C268" s="25"/>
      <c r="D268" s="25"/>
      <c r="E268" s="25"/>
      <c r="F268" s="25"/>
      <c r="G268" s="25"/>
      <c r="H268" s="96"/>
      <c r="I268" s="96"/>
      <c r="J268" s="96"/>
      <c r="K268" s="96"/>
      <c r="L268" s="96"/>
      <c r="M268" s="96"/>
      <c r="N268" s="96"/>
      <c r="O268" s="96"/>
      <c r="P268" s="96"/>
      <c r="Q268" s="96"/>
      <c r="R268" s="53"/>
      <c r="S268" s="96"/>
      <c r="T268" s="25"/>
      <c r="U268" s="25"/>
      <c r="V268" s="5"/>
    </row>
    <row r="269" spans="1:22" ht="15.6" x14ac:dyDescent="0.3">
      <c r="A269" s="6"/>
      <c r="B269" s="8"/>
      <c r="C269" s="8"/>
      <c r="D269" s="8"/>
      <c r="E269" s="8"/>
      <c r="F269" s="8"/>
      <c r="G269" s="8"/>
      <c r="H269" s="97"/>
      <c r="I269" s="97"/>
      <c r="J269" s="97"/>
      <c r="K269" s="97"/>
      <c r="L269" s="97"/>
      <c r="M269" s="97"/>
      <c r="N269" s="97"/>
      <c r="O269" s="97"/>
      <c r="P269" s="97"/>
      <c r="Q269" s="97"/>
      <c r="R269" s="98"/>
      <c r="S269" s="97"/>
      <c r="T269" s="8"/>
      <c r="U269" s="8"/>
      <c r="V269" s="5"/>
    </row>
    <row r="270" spans="1:22" ht="15.6" x14ac:dyDescent="0.3">
      <c r="A270" s="164"/>
      <c r="B270" s="14" t="s">
        <v>97</v>
      </c>
      <c r="C270" s="15"/>
      <c r="D270" s="15"/>
      <c r="E270" s="15"/>
      <c r="F270" s="17" t="s">
        <v>103</v>
      </c>
      <c r="G270" s="15"/>
      <c r="H270" s="14" t="s">
        <v>105</v>
      </c>
      <c r="I270" s="159"/>
      <c r="J270" s="159"/>
      <c r="K270" s="159"/>
      <c r="L270" s="159"/>
      <c r="M270" s="159"/>
      <c r="N270" s="159"/>
      <c r="O270" s="159"/>
      <c r="P270" s="159"/>
      <c r="Q270" s="159"/>
      <c r="R270" s="159"/>
      <c r="S270" s="159"/>
      <c r="T270" s="159"/>
      <c r="U270" s="159"/>
      <c r="V270" s="5"/>
    </row>
    <row r="271" spans="1:22" ht="15.6" x14ac:dyDescent="0.3">
      <c r="A271" s="164"/>
      <c r="B271" s="159"/>
      <c r="C271" s="8"/>
      <c r="D271" s="8"/>
      <c r="E271" s="8"/>
      <c r="F271" s="8"/>
      <c r="G271" s="8"/>
      <c r="H271" s="8"/>
      <c r="I271" s="159"/>
      <c r="J271" s="159"/>
      <c r="K271" s="159"/>
      <c r="L271" s="159"/>
      <c r="M271" s="159"/>
      <c r="N271" s="159"/>
      <c r="O271" s="159"/>
      <c r="P271" s="159"/>
      <c r="Q271" s="159"/>
      <c r="R271" s="159"/>
      <c r="S271" s="159"/>
      <c r="T271" s="159"/>
      <c r="U271" s="159"/>
      <c r="V271" s="5"/>
    </row>
    <row r="272" spans="1:22" ht="15.6" x14ac:dyDescent="0.3">
      <c r="A272" s="164"/>
      <c r="B272" s="13" t="s">
        <v>98</v>
      </c>
      <c r="C272" s="13"/>
      <c r="D272" s="13"/>
      <c r="E272" s="13"/>
      <c r="F272" s="133" t="s">
        <v>159</v>
      </c>
      <c r="G272" s="13"/>
      <c r="H272" s="13" t="s">
        <v>167</v>
      </c>
      <c r="I272" s="159"/>
      <c r="J272" s="159"/>
      <c r="K272" s="159"/>
      <c r="L272" s="159"/>
      <c r="M272" s="159"/>
      <c r="N272" s="159"/>
      <c r="O272" s="159"/>
      <c r="P272" s="159"/>
      <c r="Q272" s="159"/>
      <c r="R272" s="159"/>
      <c r="S272" s="159"/>
      <c r="T272" s="159"/>
      <c r="U272" s="159"/>
      <c r="V272" s="5"/>
    </row>
    <row r="273" spans="1:22" ht="15.6" x14ac:dyDescent="0.3">
      <c r="A273" s="164"/>
      <c r="B273" s="13" t="s">
        <v>273</v>
      </c>
      <c r="C273" s="13"/>
      <c r="D273" s="13"/>
      <c r="E273" s="13"/>
      <c r="F273" s="133" t="s">
        <v>274</v>
      </c>
      <c r="G273" s="13"/>
      <c r="H273" s="13" t="s">
        <v>275</v>
      </c>
      <c r="I273" s="159"/>
      <c r="J273" s="159"/>
      <c r="K273" s="159"/>
      <c r="L273" s="159"/>
      <c r="M273" s="159"/>
      <c r="N273" s="159"/>
      <c r="O273" s="159"/>
      <c r="P273" s="159"/>
      <c r="Q273" s="159"/>
      <c r="R273" s="159"/>
      <c r="S273" s="159"/>
      <c r="T273" s="159"/>
      <c r="U273" s="159"/>
      <c r="V273" s="5"/>
    </row>
    <row r="274" spans="1:22" ht="15.6" x14ac:dyDescent="0.3">
      <c r="A274" s="164"/>
      <c r="B274" s="13" t="s">
        <v>99</v>
      </c>
      <c r="C274" s="13"/>
      <c r="D274" s="13"/>
      <c r="E274" s="13"/>
      <c r="F274" s="133" t="s">
        <v>158</v>
      </c>
      <c r="G274" s="13"/>
      <c r="H274" s="13" t="s">
        <v>168</v>
      </c>
      <c r="I274" s="159"/>
      <c r="J274" s="159"/>
      <c r="K274" s="159"/>
      <c r="L274" s="159"/>
      <c r="M274" s="159"/>
      <c r="N274" s="159"/>
      <c r="O274" s="159"/>
      <c r="P274" s="159"/>
      <c r="Q274" s="159"/>
      <c r="R274" s="159"/>
      <c r="S274" s="159"/>
      <c r="T274" s="159"/>
      <c r="U274" s="159"/>
      <c r="V274" s="5"/>
    </row>
    <row r="275" spans="1:22" ht="15.6" x14ac:dyDescent="0.3">
      <c r="A275" s="164"/>
      <c r="B275" s="13"/>
      <c r="C275" s="13"/>
      <c r="D275" s="13"/>
      <c r="E275" s="13"/>
      <c r="F275" s="13"/>
      <c r="G275" s="100"/>
      <c r="H275" s="159"/>
      <c r="I275" s="159"/>
      <c r="J275" s="159"/>
      <c r="K275" s="159"/>
      <c r="L275" s="159"/>
      <c r="M275" s="159"/>
      <c r="N275" s="159"/>
      <c r="O275" s="159"/>
      <c r="P275" s="159"/>
      <c r="Q275" s="159"/>
      <c r="R275" s="159"/>
      <c r="S275" s="159"/>
      <c r="T275" s="159"/>
      <c r="U275" s="159"/>
      <c r="V275" s="5"/>
    </row>
    <row r="276" spans="1:22" ht="15.6" x14ac:dyDescent="0.3">
      <c r="A276" s="164"/>
      <c r="B276" s="13"/>
      <c r="C276" s="13"/>
      <c r="D276" s="13"/>
      <c r="E276" s="13"/>
      <c r="F276" s="13"/>
      <c r="G276" s="100"/>
      <c r="H276" s="159"/>
      <c r="I276" s="159"/>
      <c r="J276" s="159"/>
      <c r="K276" s="159"/>
      <c r="L276" s="159"/>
      <c r="M276" s="159"/>
      <c r="N276" s="159"/>
      <c r="O276" s="159"/>
      <c r="P276" s="159"/>
      <c r="Q276" s="159"/>
      <c r="R276" s="159"/>
      <c r="S276" s="159"/>
      <c r="T276" s="159"/>
      <c r="U276" s="159"/>
      <c r="V276" s="5"/>
    </row>
    <row r="277" spans="1:22" ht="18" thickBot="1" x14ac:dyDescent="0.35">
      <c r="A277" s="164"/>
      <c r="B277" s="49" t="str">
        <f>B194</f>
        <v>PM9 INVESTOR REPORT QUARTER ENDING JULY 2008</v>
      </c>
      <c r="C277" s="13"/>
      <c r="D277" s="13"/>
      <c r="E277" s="13"/>
      <c r="F277" s="13"/>
      <c r="G277" s="100"/>
      <c r="H277" s="159"/>
      <c r="I277" s="159"/>
      <c r="J277" s="159"/>
      <c r="K277" s="159"/>
      <c r="L277" s="159"/>
      <c r="M277" s="159"/>
      <c r="N277" s="159"/>
      <c r="O277" s="159"/>
      <c r="P277" s="159"/>
      <c r="Q277" s="159"/>
      <c r="R277" s="159"/>
      <c r="S277" s="159"/>
      <c r="T277" s="159"/>
      <c r="U277" s="159"/>
      <c r="V277" s="5"/>
    </row>
    <row r="278" spans="1:22" x14ac:dyDescent="0.25">
      <c r="A278" s="101"/>
      <c r="B278" s="101"/>
      <c r="C278" s="101"/>
      <c r="D278" s="101"/>
      <c r="E278" s="101"/>
      <c r="F278" s="101"/>
      <c r="G278" s="101"/>
      <c r="H278" s="101"/>
      <c r="I278" s="101"/>
      <c r="J278" s="101"/>
      <c r="K278" s="101"/>
      <c r="L278" s="101"/>
      <c r="M278" s="101"/>
      <c r="N278" s="101"/>
      <c r="O278" s="101"/>
      <c r="P278" s="101"/>
      <c r="Q278" s="101"/>
      <c r="R278" s="101"/>
      <c r="S278" s="101"/>
      <c r="T278" s="101"/>
      <c r="U278" s="101"/>
    </row>
  </sheetData>
  <phoneticPr fontId="0" type="noConversion"/>
  <hyperlinks>
    <hyperlink ref="J9" r:id="rId1" xr:uid="{00000000-0004-0000-0B00-000000000000}"/>
    <hyperlink ref="N229" r:id="rId2" xr:uid="{00000000-0004-0000-0B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4" max="14" man="1"/>
    <brk id="194" max="14"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9CB31"/>
  </sheetPr>
  <dimension ref="A1:W278"/>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t="s">
        <v>263</v>
      </c>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0.70109999999999995</v>
      </c>
      <c r="R16" s="17" t="s">
        <v>149</v>
      </c>
      <c r="S16" s="140">
        <v>0.2989</v>
      </c>
      <c r="T16" s="16"/>
      <c r="U16" s="15"/>
      <c r="V16" s="5"/>
    </row>
    <row r="17" spans="1:22" ht="15.6" x14ac:dyDescent="0.3">
      <c r="A17" s="6"/>
      <c r="B17" s="14" t="s">
        <v>4</v>
      </c>
      <c r="C17" s="15"/>
      <c r="D17" s="15"/>
      <c r="E17" s="15"/>
      <c r="F17" s="15"/>
      <c r="G17" s="15"/>
      <c r="H17" s="15"/>
      <c r="I17" s="15"/>
      <c r="J17" s="15"/>
      <c r="K17" s="15"/>
      <c r="L17" s="15"/>
      <c r="M17" s="15"/>
      <c r="N17" s="15"/>
      <c r="O17" s="15"/>
      <c r="P17" s="15"/>
      <c r="Q17" s="169"/>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39776</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160663.85440000001</v>
      </c>
      <c r="E30" s="32"/>
      <c r="F30" s="125">
        <f>F29*F36</f>
        <v>164842.97200000001</v>
      </c>
      <c r="G30" s="31"/>
      <c r="H30" s="150">
        <f>H29*H36</f>
        <v>27860.766</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152964.5932</v>
      </c>
      <c r="E31" s="36"/>
      <c r="F31" s="126">
        <f>F35*F29</f>
        <v>156943.44099999999</v>
      </c>
      <c r="G31" s="35"/>
      <c r="H31" s="155">
        <f>H35*H29</f>
        <v>26525.628000000001</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160663.85440000001</v>
      </c>
      <c r="E33" s="32"/>
      <c r="F33" s="31">
        <f>F32*F36</f>
        <v>113532.6948</v>
      </c>
      <c r="G33" s="31"/>
      <c r="H33" s="31">
        <f>H32*H36</f>
        <v>15741.332789999999</v>
      </c>
      <c r="I33" s="31"/>
      <c r="J33" s="31">
        <f>J32*J36</f>
        <v>7000</v>
      </c>
      <c r="K33" s="31"/>
      <c r="L33" s="31">
        <f>L32*L36</f>
        <v>20300</v>
      </c>
      <c r="M33" s="31"/>
      <c r="N33" s="31">
        <f>N32*N36</f>
        <v>3000</v>
      </c>
      <c r="O33" s="31"/>
      <c r="P33" s="31">
        <f>P32*P36</f>
        <v>45300</v>
      </c>
      <c r="Q33" s="31"/>
      <c r="R33" s="31"/>
      <c r="S33" s="161"/>
      <c r="T33" s="31">
        <f>SUM(C33:P33)</f>
        <v>365537.88199000002</v>
      </c>
      <c r="U33" s="34"/>
      <c r="V33" s="5"/>
    </row>
    <row r="34" spans="1:22" ht="15.6" x14ac:dyDescent="0.3">
      <c r="A34" s="28"/>
      <c r="B34" s="29" t="s">
        <v>291</v>
      </c>
      <c r="C34" s="36"/>
      <c r="D34" s="35">
        <f>D35*D32</f>
        <v>152964.5932</v>
      </c>
      <c r="E34" s="36"/>
      <c r="F34" s="35">
        <f>F35*F32</f>
        <v>108092.0319</v>
      </c>
      <c r="G34" s="35"/>
      <c r="H34" s="35">
        <f>H35*H32</f>
        <v>14986.979819999999</v>
      </c>
      <c r="I34" s="35"/>
      <c r="J34" s="35">
        <f>J35*J32</f>
        <v>7000</v>
      </c>
      <c r="K34" s="35"/>
      <c r="L34" s="35">
        <f>L35*L32</f>
        <v>20300</v>
      </c>
      <c r="M34" s="35"/>
      <c r="N34" s="35">
        <f>N35*N32</f>
        <v>3000</v>
      </c>
      <c r="O34" s="35"/>
      <c r="P34" s="35">
        <f>P35*P32</f>
        <v>45300</v>
      </c>
      <c r="Q34" s="35"/>
      <c r="R34" s="35"/>
      <c r="S34" s="37"/>
      <c r="T34" s="35">
        <f>SUM(C34:P34)</f>
        <v>351643.60492000001</v>
      </c>
      <c r="U34" s="34"/>
      <c r="V34" s="5"/>
    </row>
    <row r="35" spans="1:22" ht="15.6" x14ac:dyDescent="0.3">
      <c r="A35" s="28"/>
      <c r="B35" s="123" t="s">
        <v>139</v>
      </c>
      <c r="C35" s="127"/>
      <c r="D35" s="167">
        <v>0.44209419999999999</v>
      </c>
      <c r="E35" s="168"/>
      <c r="F35" s="167">
        <v>0.44209419999999999</v>
      </c>
      <c r="G35" s="167"/>
      <c r="H35" s="167">
        <v>0.44209379999999998</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67">
        <v>0.46434639999999999</v>
      </c>
      <c r="E36" s="168"/>
      <c r="F36" s="167">
        <v>0.46434639999999999</v>
      </c>
      <c r="G36" s="167"/>
      <c r="H36" s="167">
        <v>0.46434609999999998</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5.9418800000000001E-2</v>
      </c>
      <c r="E38" s="25"/>
      <c r="F38" s="38">
        <v>5.1450000000000003E-2</v>
      </c>
      <c r="G38" s="39"/>
      <c r="H38" s="38">
        <v>2.98438E-2</v>
      </c>
      <c r="I38" s="39"/>
      <c r="J38" s="38">
        <v>6.0518799999999998E-2</v>
      </c>
      <c r="K38" s="39"/>
      <c r="L38" s="38">
        <v>5.2549999999999999E-2</v>
      </c>
      <c r="M38" s="39"/>
      <c r="N38" s="38">
        <v>6.2818799999999994E-2</v>
      </c>
      <c r="O38" s="39"/>
      <c r="P38" s="38">
        <v>5.4850000000000003E-2</v>
      </c>
      <c r="Q38" s="39"/>
      <c r="R38" s="38"/>
      <c r="S38" s="160"/>
      <c r="T38" s="39"/>
      <c r="U38" s="25"/>
      <c r="V38" s="5"/>
    </row>
    <row r="39" spans="1:22" ht="15.6" x14ac:dyDescent="0.3">
      <c r="A39" s="24"/>
      <c r="B39" s="25" t="s">
        <v>14</v>
      </c>
      <c r="C39" s="25"/>
      <c r="D39" s="38">
        <v>6.0199999999999997E-2</v>
      </c>
      <c r="E39" s="25"/>
      <c r="F39" s="38">
        <v>5.0360000000000002E-2</v>
      </c>
      <c r="G39" s="39"/>
      <c r="H39" s="38">
        <v>2.85563E-2</v>
      </c>
      <c r="I39" s="39"/>
      <c r="J39" s="38">
        <v>6.13E-2</v>
      </c>
      <c r="K39" s="39"/>
      <c r="L39" s="38">
        <v>5.1459999999999999E-2</v>
      </c>
      <c r="M39" s="39"/>
      <c r="N39" s="38">
        <v>6.3600000000000004E-2</v>
      </c>
      <c r="O39" s="39"/>
      <c r="P39" s="38">
        <v>5.3760000000000002E-2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5.9418800000000001E-2</v>
      </c>
      <c r="E41" s="25"/>
      <c r="F41" s="38">
        <v>5.9518799999999997E-2</v>
      </c>
      <c r="G41" s="39"/>
      <c r="H41" s="38">
        <v>5.9648800000000002E-2</v>
      </c>
      <c r="I41" s="39"/>
      <c r="J41" s="38">
        <f>+J38</f>
        <v>6.0518799999999998E-2</v>
      </c>
      <c r="K41" s="39"/>
      <c r="L41" s="38">
        <v>6.0813800000000001E-2</v>
      </c>
      <c r="M41" s="39"/>
      <c r="N41" s="38">
        <f>+N38</f>
        <v>6.2818799999999994E-2</v>
      </c>
      <c r="O41" s="39"/>
      <c r="P41" s="38">
        <v>6.3258800000000004E-2</v>
      </c>
      <c r="Q41" s="39"/>
      <c r="R41" s="38"/>
      <c r="S41" s="160"/>
      <c r="T41" s="39">
        <f>SUMPRODUCT(D41:P41,D33:P33)/T33</f>
        <v>6.0062082919793619E-2</v>
      </c>
      <c r="U41" s="25"/>
      <c r="V41" s="5"/>
    </row>
    <row r="42" spans="1:22" ht="15.6" x14ac:dyDescent="0.3">
      <c r="A42" s="24"/>
      <c r="B42" s="25" t="s">
        <v>294</v>
      </c>
      <c r="C42" s="25"/>
      <c r="D42" s="38">
        <f>+D39</f>
        <v>6.0199999999999997E-2</v>
      </c>
      <c r="E42" s="25"/>
      <c r="F42" s="38">
        <v>6.0299999999999999E-2</v>
      </c>
      <c r="G42" s="39"/>
      <c r="H42" s="38">
        <v>6.0429999999999998E-2</v>
      </c>
      <c r="I42" s="39"/>
      <c r="J42" s="38">
        <f>+J39</f>
        <v>6.13E-2</v>
      </c>
      <c r="K42" s="39"/>
      <c r="L42" s="38">
        <v>6.1594999999999997E-2</v>
      </c>
      <c r="M42" s="39"/>
      <c r="N42" s="38">
        <f>+N39</f>
        <v>6.3600000000000004E-2</v>
      </c>
      <c r="O42" s="39"/>
      <c r="P42" s="38">
        <v>6.404E-2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0.27386977511002142</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39769</v>
      </c>
      <c r="U53" s="25"/>
      <c r="V53" s="5"/>
    </row>
    <row r="54" spans="1:23" ht="15.6" x14ac:dyDescent="0.3">
      <c r="A54" s="24"/>
      <c r="B54" s="25" t="s">
        <v>130</v>
      </c>
      <c r="C54" s="25"/>
      <c r="D54" s="25"/>
      <c r="E54" s="25"/>
      <c r="F54" s="25"/>
      <c r="G54" s="25"/>
      <c r="H54" s="58"/>
      <c r="I54" s="58"/>
      <c r="J54" s="58"/>
      <c r="K54" s="58"/>
      <c r="L54" s="58"/>
      <c r="M54" s="58"/>
      <c r="N54" s="58"/>
      <c r="O54" s="58"/>
      <c r="P54" s="25">
        <f>+T54-R54+1</f>
        <v>92</v>
      </c>
      <c r="Q54" s="25"/>
      <c r="R54" s="45">
        <v>39583</v>
      </c>
      <c r="S54" s="46"/>
      <c r="T54" s="45">
        <v>39674</v>
      </c>
      <c r="U54" s="25"/>
      <c r="V54" s="5"/>
    </row>
    <row r="55" spans="1:23" ht="15.6" x14ac:dyDescent="0.3">
      <c r="A55" s="24"/>
      <c r="B55" s="25" t="s">
        <v>131</v>
      </c>
      <c r="C55" s="25"/>
      <c r="D55" s="25"/>
      <c r="E55" s="25"/>
      <c r="F55" s="25"/>
      <c r="G55" s="25"/>
      <c r="H55" s="25"/>
      <c r="I55" s="25"/>
      <c r="J55" s="25"/>
      <c r="K55" s="25"/>
      <c r="L55" s="25"/>
      <c r="M55" s="25"/>
      <c r="N55" s="25"/>
      <c r="O55" s="25"/>
      <c r="P55" s="25">
        <f>+T55-R55+1</f>
        <v>94</v>
      </c>
      <c r="Q55" s="25"/>
      <c r="R55" s="45">
        <v>39675</v>
      </c>
      <c r="S55" s="46"/>
      <c r="T55" s="45">
        <v>39768</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39755</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282</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365538</v>
      </c>
      <c r="M66" s="34"/>
      <c r="N66" s="34">
        <f>13894+476+93</f>
        <v>14463</v>
      </c>
      <c r="O66" s="34"/>
      <c r="P66" s="34">
        <f>476+93</f>
        <v>569</v>
      </c>
      <c r="Q66" s="34"/>
      <c r="R66" s="34">
        <v>0</v>
      </c>
      <c r="S66" s="34"/>
      <c r="T66" s="53">
        <f>+L66-N66+P66-R66</f>
        <v>351644</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365538</v>
      </c>
      <c r="M69" s="34"/>
      <c r="N69" s="34">
        <f>SUM(N66:N68)</f>
        <v>14463</v>
      </c>
      <c r="O69" s="34"/>
      <c r="P69" s="34">
        <f>SUM(P66:P68)</f>
        <v>569</v>
      </c>
      <c r="Q69" s="34"/>
      <c r="R69" s="34">
        <f>SUM(R66:R68)</f>
        <v>0</v>
      </c>
      <c r="S69" s="34"/>
      <c r="T69" s="54">
        <f>SUM(T66:T68)</f>
        <v>351644</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2"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2" ht="15.6" x14ac:dyDescent="0.3">
      <c r="A82" s="24"/>
      <c r="B82" s="25" t="s">
        <v>27</v>
      </c>
      <c r="C82" s="34"/>
      <c r="D82" s="34"/>
      <c r="E82" s="34"/>
      <c r="F82" s="54"/>
      <c r="G82" s="34"/>
      <c r="H82" s="54"/>
      <c r="I82" s="54"/>
      <c r="J82" s="54">
        <f>SUM(J69:J81)</f>
        <v>700000</v>
      </c>
      <c r="K82" s="34"/>
      <c r="L82" s="54">
        <f>SUM(L69:L81)</f>
        <v>365538</v>
      </c>
      <c r="M82" s="34"/>
      <c r="N82" s="34"/>
      <c r="O82" s="34"/>
      <c r="P82" s="34"/>
      <c r="Q82" s="34"/>
      <c r="R82" s="54"/>
      <c r="S82" s="34"/>
      <c r="T82" s="54">
        <f>SUM(T69:T81)</f>
        <v>351644</v>
      </c>
      <c r="U82" s="25"/>
      <c r="V82" s="5"/>
    </row>
    <row r="83" spans="1:22"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2" ht="15.6" x14ac:dyDescent="0.3">
      <c r="A84" s="6"/>
      <c r="B84" s="8"/>
      <c r="C84" s="8"/>
      <c r="D84" s="8"/>
      <c r="E84" s="8"/>
      <c r="F84" s="8"/>
      <c r="G84" s="8"/>
      <c r="H84" s="8"/>
      <c r="I84" s="8"/>
      <c r="J84" s="8"/>
      <c r="K84" s="8"/>
      <c r="L84" s="8"/>
      <c r="M84" s="8"/>
      <c r="N84" s="8"/>
      <c r="O84" s="8"/>
      <c r="P84" s="8"/>
      <c r="Q84" s="8"/>
      <c r="R84" s="8"/>
      <c r="S84" s="8"/>
      <c r="T84" s="8"/>
      <c r="U84" s="8"/>
      <c r="V84" s="5"/>
    </row>
    <row r="85" spans="1:22" ht="15.6" x14ac:dyDescent="0.3">
      <c r="A85" s="6"/>
      <c r="B85" s="51" t="s">
        <v>28</v>
      </c>
      <c r="C85" s="14"/>
      <c r="D85" s="14"/>
      <c r="E85" s="14"/>
      <c r="F85" s="14"/>
      <c r="G85" s="14"/>
      <c r="H85" s="17"/>
      <c r="I85" s="17"/>
      <c r="J85" s="158" t="s">
        <v>101</v>
      </c>
      <c r="K85" s="17"/>
      <c r="L85" s="157">
        <f>+R195</f>
        <v>39752</v>
      </c>
      <c r="M85" s="17"/>
      <c r="N85" s="17"/>
      <c r="O85" s="17"/>
      <c r="P85" s="17"/>
      <c r="Q85" s="17"/>
      <c r="R85" s="17" t="s">
        <v>114</v>
      </c>
      <c r="S85" s="17"/>
      <c r="T85" s="17" t="s">
        <v>122</v>
      </c>
      <c r="U85" s="8"/>
      <c r="V85" s="5"/>
    </row>
    <row r="86" spans="1:22"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2" ht="15.6" x14ac:dyDescent="0.3">
      <c r="A87" s="24"/>
      <c r="B87" s="25" t="s">
        <v>30</v>
      </c>
      <c r="C87" s="25"/>
      <c r="D87" s="25"/>
      <c r="E87" s="25"/>
      <c r="F87" s="25"/>
      <c r="G87" s="25"/>
      <c r="H87" s="40"/>
      <c r="I87" s="57"/>
      <c r="J87" s="40"/>
      <c r="K87" s="25"/>
      <c r="L87" s="128"/>
      <c r="M87" s="25"/>
      <c r="N87" s="25"/>
      <c r="O87" s="25"/>
      <c r="P87" s="25"/>
      <c r="Q87" s="25"/>
      <c r="R87" s="34">
        <f>14463-133</f>
        <v>14330</v>
      </c>
      <c r="S87" s="25"/>
      <c r="T87" s="53"/>
      <c r="U87" s="25"/>
      <c r="V87" s="5"/>
    </row>
    <row r="88" spans="1:22" ht="15.6" x14ac:dyDescent="0.3">
      <c r="A88" s="24"/>
      <c r="B88" s="25" t="s">
        <v>254</v>
      </c>
      <c r="C88" s="25"/>
      <c r="D88" s="25"/>
      <c r="E88" s="25"/>
      <c r="F88" s="25"/>
      <c r="G88" s="25"/>
      <c r="H88" s="40"/>
      <c r="I88" s="57"/>
      <c r="J88" s="40"/>
      <c r="K88" s="25"/>
      <c r="L88" s="128"/>
      <c r="M88" s="25"/>
      <c r="N88" s="25"/>
      <c r="O88" s="25"/>
      <c r="P88" s="25"/>
      <c r="Q88" s="25"/>
      <c r="R88" s="34"/>
      <c r="S88" s="25"/>
      <c r="T88" s="53">
        <f>4813+2097-653-518+25+33</f>
        <v>5797</v>
      </c>
      <c r="U88" s="25"/>
      <c r="V88" s="5"/>
    </row>
    <row r="89" spans="1:22" ht="15.6" x14ac:dyDescent="0.3">
      <c r="A89" s="24"/>
      <c r="B89" s="25" t="s">
        <v>255</v>
      </c>
      <c r="C89" s="25"/>
      <c r="D89" s="25"/>
      <c r="E89" s="25"/>
      <c r="F89" s="25"/>
      <c r="G89" s="25"/>
      <c r="H89" s="40"/>
      <c r="I89" s="57"/>
      <c r="J89" s="40"/>
      <c r="K89" s="25"/>
      <c r="L89" s="128"/>
      <c r="M89" s="25"/>
      <c r="N89" s="25"/>
      <c r="O89" s="25"/>
      <c r="P89" s="25"/>
      <c r="Q89" s="25"/>
      <c r="R89" s="34"/>
      <c r="S89" s="25"/>
      <c r="T89" s="53">
        <f>84+84</f>
        <v>168</v>
      </c>
      <c r="U89" s="25"/>
      <c r="V89" s="5"/>
    </row>
    <row r="90" spans="1:22" ht="15.6" x14ac:dyDescent="0.3">
      <c r="A90" s="24"/>
      <c r="B90" s="25" t="s">
        <v>256</v>
      </c>
      <c r="C90" s="25"/>
      <c r="D90" s="25"/>
      <c r="E90" s="25"/>
      <c r="F90" s="25"/>
      <c r="G90" s="25"/>
      <c r="H90" s="40"/>
      <c r="I90" s="57"/>
      <c r="J90" s="40"/>
      <c r="K90" s="25"/>
      <c r="L90" s="128"/>
      <c r="M90" s="25"/>
      <c r="N90" s="25"/>
      <c r="O90" s="25"/>
      <c r="P90" s="25"/>
      <c r="Q90" s="25"/>
      <c r="R90" s="34"/>
      <c r="S90" s="25"/>
      <c r="T90" s="53">
        <v>378</v>
      </c>
      <c r="U90" s="25"/>
      <c r="V90" s="5"/>
    </row>
    <row r="91" spans="1:22" ht="15.6" x14ac:dyDescent="0.3">
      <c r="A91" s="24"/>
      <c r="B91" s="25" t="s">
        <v>270</v>
      </c>
      <c r="C91" s="25"/>
      <c r="D91" s="25"/>
      <c r="E91" s="25"/>
      <c r="F91" s="25"/>
      <c r="G91" s="25"/>
      <c r="H91" s="40"/>
      <c r="I91" s="57"/>
      <c r="J91" s="40"/>
      <c r="K91" s="25"/>
      <c r="L91" s="128"/>
      <c r="M91" s="25"/>
      <c r="N91" s="25"/>
      <c r="O91" s="25"/>
      <c r="P91" s="25"/>
      <c r="Q91" s="25"/>
      <c r="R91" s="34"/>
      <c r="S91" s="25"/>
      <c r="T91" s="53">
        <f>3+106</f>
        <v>109</v>
      </c>
      <c r="U91" s="25"/>
      <c r="V91" s="5"/>
    </row>
    <row r="92" spans="1:22" ht="15.6" x14ac:dyDescent="0.3">
      <c r="A92" s="24"/>
      <c r="B92" s="25" t="s">
        <v>144</v>
      </c>
      <c r="C92" s="25"/>
      <c r="D92" s="25"/>
      <c r="E92" s="25"/>
      <c r="F92" s="25"/>
      <c r="G92" s="25"/>
      <c r="H92" s="25"/>
      <c r="I92" s="25"/>
      <c r="J92" s="25"/>
      <c r="K92" s="25"/>
      <c r="L92" s="25"/>
      <c r="M92" s="25"/>
      <c r="N92" s="25"/>
      <c r="O92" s="25"/>
      <c r="P92" s="25"/>
      <c r="Q92" s="25"/>
      <c r="R92" s="34"/>
      <c r="S92" s="25"/>
      <c r="T92" s="53">
        <v>0</v>
      </c>
      <c r="U92" s="25"/>
      <c r="V92" s="5"/>
    </row>
    <row r="93" spans="1:22" ht="15.6" x14ac:dyDescent="0.3">
      <c r="A93" s="24"/>
      <c r="B93" s="25" t="s">
        <v>233</v>
      </c>
      <c r="C93" s="25"/>
      <c r="D93" s="25"/>
      <c r="E93" s="25"/>
      <c r="F93" s="25"/>
      <c r="G93" s="25"/>
      <c r="H93" s="25"/>
      <c r="I93" s="25"/>
      <c r="J93" s="25"/>
      <c r="K93" s="25"/>
      <c r="L93" s="25"/>
      <c r="M93" s="25"/>
      <c r="N93" s="25"/>
      <c r="O93" s="25"/>
      <c r="P93" s="25"/>
      <c r="Q93" s="25"/>
      <c r="R93" s="34"/>
      <c r="S93" s="25"/>
      <c r="T93" s="53">
        <v>112</v>
      </c>
      <c r="U93" s="25"/>
      <c r="V93" s="5"/>
    </row>
    <row r="94" spans="1:22" ht="15.6" x14ac:dyDescent="0.3">
      <c r="A94" s="24"/>
      <c r="B94" s="25" t="s">
        <v>32</v>
      </c>
      <c r="C94" s="25"/>
      <c r="D94" s="25"/>
      <c r="E94" s="25"/>
      <c r="F94" s="25"/>
      <c r="G94" s="25"/>
      <c r="H94" s="25"/>
      <c r="I94" s="25"/>
      <c r="J94" s="25"/>
      <c r="K94" s="25"/>
      <c r="L94" s="25"/>
      <c r="M94" s="25"/>
      <c r="N94" s="25"/>
      <c r="O94" s="25"/>
      <c r="P94" s="25"/>
      <c r="Q94" s="25"/>
      <c r="R94" s="34">
        <f>SUM(R86:R93)</f>
        <v>14330</v>
      </c>
      <c r="S94" s="25"/>
      <c r="T94" s="54">
        <f>SUM(T86:T93)</f>
        <v>6564</v>
      </c>
      <c r="U94" s="25"/>
      <c r="V94" s="5"/>
    </row>
    <row r="95" spans="1:22" ht="15.6" x14ac:dyDescent="0.3">
      <c r="A95" s="24"/>
      <c r="B95" s="25" t="s">
        <v>176</v>
      </c>
      <c r="C95" s="25"/>
      <c r="D95" s="25"/>
      <c r="E95" s="25"/>
      <c r="F95" s="25"/>
      <c r="G95" s="25"/>
      <c r="H95" s="25"/>
      <c r="I95" s="25"/>
      <c r="J95" s="25"/>
      <c r="K95" s="25"/>
      <c r="L95" s="25"/>
      <c r="M95" s="25"/>
      <c r="N95" s="25"/>
      <c r="O95" s="25"/>
      <c r="P95" s="25"/>
      <c r="Q95" s="25"/>
      <c r="R95" s="34">
        <v>-28</v>
      </c>
      <c r="S95" s="25"/>
      <c r="T95" s="54">
        <f>-R95</f>
        <v>28</v>
      </c>
      <c r="U95" s="25"/>
      <c r="V95" s="5"/>
    </row>
    <row r="96" spans="1:22" ht="15.6" x14ac:dyDescent="0.3">
      <c r="A96" s="24"/>
      <c r="B96" s="25" t="s">
        <v>33</v>
      </c>
      <c r="C96" s="25"/>
      <c r="D96" s="25"/>
      <c r="E96" s="25"/>
      <c r="F96" s="25"/>
      <c r="G96" s="25"/>
      <c r="H96" s="25"/>
      <c r="I96" s="25"/>
      <c r="J96" s="25"/>
      <c r="K96" s="25"/>
      <c r="L96" s="25"/>
      <c r="M96" s="25"/>
      <c r="N96" s="25"/>
      <c r="O96" s="25"/>
      <c r="P96" s="25"/>
      <c r="Q96" s="25"/>
      <c r="R96" s="34">
        <f>-T96</f>
        <v>0</v>
      </c>
      <c r="S96" s="25"/>
      <c r="T96" s="53">
        <v>0</v>
      </c>
      <c r="U96" s="25"/>
      <c r="V96" s="5"/>
    </row>
    <row r="97" spans="1:23" ht="15.6" x14ac:dyDescent="0.3">
      <c r="A97" s="24"/>
      <c r="B97" s="25" t="s">
        <v>278</v>
      </c>
      <c r="C97" s="25"/>
      <c r="D97" s="25"/>
      <c r="E97" s="25"/>
      <c r="F97" s="25"/>
      <c r="G97" s="25"/>
      <c r="H97" s="25"/>
      <c r="I97" s="25"/>
      <c r="J97" s="25"/>
      <c r="K97" s="25"/>
      <c r="L97" s="25"/>
      <c r="M97" s="25"/>
      <c r="N97" s="25"/>
      <c r="O97" s="25"/>
      <c r="P97" s="25"/>
      <c r="Q97" s="25"/>
      <c r="R97" s="34"/>
      <c r="S97" s="25"/>
      <c r="T97" s="53">
        <v>-22</v>
      </c>
      <c r="U97" s="25"/>
      <c r="V97" s="5"/>
    </row>
    <row r="98" spans="1:23" ht="15.6" x14ac:dyDescent="0.3">
      <c r="A98" s="24"/>
      <c r="B98" s="25" t="s">
        <v>34</v>
      </c>
      <c r="C98" s="25"/>
      <c r="D98" s="25"/>
      <c r="E98" s="25"/>
      <c r="F98" s="25"/>
      <c r="G98" s="25"/>
      <c r="H98" s="25"/>
      <c r="I98" s="25"/>
      <c r="J98" s="25"/>
      <c r="K98" s="25"/>
      <c r="L98" s="25"/>
      <c r="M98" s="25"/>
      <c r="N98" s="25"/>
      <c r="O98" s="25"/>
      <c r="P98" s="25"/>
      <c r="Q98" s="25"/>
      <c r="R98" s="34">
        <f>R94+R96+R95</f>
        <v>14302</v>
      </c>
      <c r="S98" s="25"/>
      <c r="T98" s="54">
        <f>T94+T96+T95+T97</f>
        <v>6570</v>
      </c>
      <c r="U98" s="25"/>
      <c r="V98" s="5"/>
      <c r="W98" s="166"/>
    </row>
    <row r="99" spans="1:23" ht="15.6" x14ac:dyDescent="0.3">
      <c r="A99" s="24"/>
      <c r="B99" s="119" t="s">
        <v>35</v>
      </c>
      <c r="C99" s="25"/>
      <c r="D99" s="25"/>
      <c r="E99" s="25"/>
      <c r="F99" s="25"/>
      <c r="G99" s="25"/>
      <c r="H99" s="25"/>
      <c r="I99" s="25"/>
      <c r="J99" s="25"/>
      <c r="K99" s="25"/>
      <c r="L99" s="25"/>
      <c r="M99" s="25"/>
      <c r="N99" s="25"/>
      <c r="O99" s="25"/>
      <c r="P99" s="25"/>
      <c r="Q99" s="25"/>
      <c r="R99" s="34"/>
      <c r="S99" s="25"/>
      <c r="T99" s="53"/>
      <c r="U99" s="25"/>
      <c r="V99" s="5"/>
    </row>
    <row r="100" spans="1:23" ht="15.6" x14ac:dyDescent="0.3">
      <c r="A100" s="24">
        <v>1</v>
      </c>
      <c r="B100" s="25" t="s">
        <v>36</v>
      </c>
      <c r="C100" s="25"/>
      <c r="D100" s="25"/>
      <c r="E100" s="25"/>
      <c r="F100" s="25"/>
      <c r="G100" s="25"/>
      <c r="H100" s="25"/>
      <c r="I100" s="25"/>
      <c r="J100" s="25"/>
      <c r="K100" s="25"/>
      <c r="L100" s="25"/>
      <c r="M100" s="25"/>
      <c r="N100" s="25"/>
      <c r="O100" s="25"/>
      <c r="P100" s="25"/>
      <c r="Q100" s="25"/>
      <c r="R100" s="25"/>
      <c r="S100" s="25"/>
      <c r="T100" s="53">
        <v>0</v>
      </c>
      <c r="U100" s="25"/>
      <c r="V100" s="5"/>
    </row>
    <row r="101" spans="1:23" ht="15.6" x14ac:dyDescent="0.3">
      <c r="A101" s="24">
        <f>+A100+1</f>
        <v>2</v>
      </c>
      <c r="B101" s="25" t="s">
        <v>37</v>
      </c>
      <c r="C101" s="25"/>
      <c r="D101" s="25"/>
      <c r="E101" s="25"/>
      <c r="F101" s="25"/>
      <c r="G101" s="25"/>
      <c r="H101" s="25"/>
      <c r="I101" s="25"/>
      <c r="J101" s="25"/>
      <c r="K101" s="25"/>
      <c r="L101" s="25"/>
      <c r="M101" s="25"/>
      <c r="N101" s="25"/>
      <c r="O101" s="25"/>
      <c r="P101" s="25"/>
      <c r="Q101" s="25"/>
      <c r="R101" s="25"/>
      <c r="S101" s="25"/>
      <c r="T101" s="53">
        <v>-2</v>
      </c>
      <c r="U101" s="25"/>
      <c r="V101" s="5"/>
    </row>
    <row r="102" spans="1:23" ht="15.6" x14ac:dyDescent="0.3">
      <c r="A102" s="24">
        <f>+A101+1</f>
        <v>3</v>
      </c>
      <c r="B102" s="25" t="s">
        <v>160</v>
      </c>
      <c r="C102" s="25"/>
      <c r="D102" s="25"/>
      <c r="E102" s="25"/>
      <c r="F102" s="25"/>
      <c r="G102" s="25"/>
      <c r="H102" s="25"/>
      <c r="I102" s="25"/>
      <c r="J102" s="25"/>
      <c r="K102" s="25"/>
      <c r="L102" s="25"/>
      <c r="M102" s="25"/>
      <c r="N102" s="25"/>
      <c r="O102" s="25"/>
      <c r="P102" s="25"/>
      <c r="Q102" s="25"/>
      <c r="R102" s="25"/>
      <c r="S102" s="25"/>
      <c r="T102" s="53">
        <f>-139-67-4</f>
        <v>-210</v>
      </c>
      <c r="U102" s="25"/>
      <c r="V102" s="5"/>
    </row>
    <row r="103" spans="1:23" ht="15.6" x14ac:dyDescent="0.3">
      <c r="A103" s="24" t="s">
        <v>136</v>
      </c>
      <c r="B103" s="25" t="s">
        <v>125</v>
      </c>
      <c r="C103" s="25"/>
      <c r="D103" s="25"/>
      <c r="E103" s="25"/>
      <c r="F103" s="25"/>
      <c r="G103" s="25"/>
      <c r="H103" s="25"/>
      <c r="I103" s="25"/>
      <c r="J103" s="25"/>
      <c r="K103" s="25"/>
      <c r="L103" s="25"/>
      <c r="M103" s="25"/>
      <c r="N103" s="25"/>
      <c r="O103" s="25"/>
      <c r="P103" s="25"/>
      <c r="Q103" s="25"/>
      <c r="R103" s="25"/>
      <c r="S103" s="25"/>
      <c r="T103" s="53">
        <v>0</v>
      </c>
      <c r="U103" s="25"/>
      <c r="V103" s="5"/>
    </row>
    <row r="104" spans="1:23" ht="15.6" x14ac:dyDescent="0.3">
      <c r="A104" s="24" t="s">
        <v>137</v>
      </c>
      <c r="B104" s="25" t="s">
        <v>267</v>
      </c>
      <c r="C104" s="25"/>
      <c r="D104" s="25"/>
      <c r="E104" s="25"/>
      <c r="F104" s="25"/>
      <c r="G104" s="25"/>
      <c r="H104" s="25"/>
      <c r="I104" s="25"/>
      <c r="J104" s="25"/>
      <c r="K104" s="25"/>
      <c r="L104" s="25"/>
      <c r="M104" s="25"/>
      <c r="N104" s="25"/>
      <c r="O104" s="25"/>
      <c r="P104" s="25"/>
      <c r="Q104" s="25"/>
      <c r="R104" s="25"/>
      <c r="S104" s="25"/>
      <c r="T104" s="53">
        <v>-2</v>
      </c>
      <c r="U104" s="25"/>
      <c r="V104" s="5"/>
    </row>
    <row r="105" spans="1:23" ht="15.6" x14ac:dyDescent="0.3">
      <c r="A105" s="24" t="s">
        <v>162</v>
      </c>
      <c r="B105" s="25" t="s">
        <v>218</v>
      </c>
      <c r="C105" s="25"/>
      <c r="D105" s="25"/>
      <c r="E105" s="25"/>
      <c r="F105" s="25"/>
      <c r="G105" s="25"/>
      <c r="H105" s="25"/>
      <c r="I105" s="25"/>
      <c r="J105" s="25"/>
      <c r="K105" s="25"/>
      <c r="L105" s="25"/>
      <c r="M105" s="25"/>
      <c r="N105" s="25"/>
      <c r="O105" s="25"/>
      <c r="P105" s="25"/>
      <c r="Q105" s="25"/>
      <c r="R105" s="25"/>
      <c r="S105" s="25"/>
      <c r="T105" s="53">
        <v>-2458</v>
      </c>
      <c r="U105" s="25"/>
      <c r="V105" s="5"/>
      <c r="W105" s="110"/>
    </row>
    <row r="106" spans="1:23" ht="15.6" x14ac:dyDescent="0.3">
      <c r="A106" s="24" t="s">
        <v>163</v>
      </c>
      <c r="B106" s="25" t="s">
        <v>219</v>
      </c>
      <c r="C106" s="25"/>
      <c r="D106" s="25"/>
      <c r="E106" s="25"/>
      <c r="F106" s="25"/>
      <c r="G106" s="25"/>
      <c r="H106" s="25"/>
      <c r="I106" s="25"/>
      <c r="J106" s="25"/>
      <c r="K106" s="25"/>
      <c r="L106" s="25"/>
      <c r="M106" s="25"/>
      <c r="N106" s="25"/>
      <c r="O106" s="25"/>
      <c r="P106" s="25"/>
      <c r="Q106" s="25"/>
      <c r="R106" s="25"/>
      <c r="S106" s="25"/>
      <c r="T106" s="53">
        <v>-1740</v>
      </c>
      <c r="U106" s="25"/>
      <c r="V106" s="5"/>
      <c r="W106" s="110"/>
    </row>
    <row r="107" spans="1:23" ht="15.6" x14ac:dyDescent="0.3">
      <c r="A107" s="24" t="s">
        <v>252</v>
      </c>
      <c r="B107" s="25" t="s">
        <v>242</v>
      </c>
      <c r="C107" s="25"/>
      <c r="D107" s="25"/>
      <c r="E107" s="25"/>
      <c r="F107" s="25"/>
      <c r="G107" s="25"/>
      <c r="H107" s="25"/>
      <c r="I107" s="25"/>
      <c r="J107" s="25"/>
      <c r="K107" s="25"/>
      <c r="L107" s="25"/>
      <c r="M107" s="25"/>
      <c r="N107" s="25"/>
      <c r="O107" s="25"/>
      <c r="P107" s="25"/>
      <c r="Q107" s="25"/>
      <c r="R107" s="25"/>
      <c r="S107" s="25"/>
      <c r="T107" s="53">
        <v>-242</v>
      </c>
      <c r="U107" s="25"/>
      <c r="V107" s="170"/>
      <c r="W107" s="110"/>
    </row>
    <row r="108" spans="1:23" ht="15.6" x14ac:dyDescent="0.3">
      <c r="A108" s="24" t="s">
        <v>245</v>
      </c>
      <c r="B108" s="25" t="s">
        <v>220</v>
      </c>
      <c r="C108" s="25"/>
      <c r="D108" s="25"/>
      <c r="E108" s="25"/>
      <c r="F108" s="25"/>
      <c r="G108" s="25"/>
      <c r="H108" s="25"/>
      <c r="I108" s="25"/>
      <c r="J108" s="25"/>
      <c r="K108" s="25"/>
      <c r="L108" s="25"/>
      <c r="M108" s="25"/>
      <c r="N108" s="25"/>
      <c r="O108" s="25"/>
      <c r="P108" s="25"/>
      <c r="Q108" s="25"/>
      <c r="R108" s="25"/>
      <c r="S108" s="25"/>
      <c r="T108" s="53">
        <v>-109</v>
      </c>
      <c r="U108" s="25"/>
      <c r="V108" s="5"/>
      <c r="W108" s="110"/>
    </row>
    <row r="109" spans="1:23" ht="15.6" x14ac:dyDescent="0.3">
      <c r="A109" s="24" t="s">
        <v>246</v>
      </c>
      <c r="B109" s="25" t="s">
        <v>221</v>
      </c>
      <c r="C109" s="25"/>
      <c r="D109" s="25"/>
      <c r="E109" s="25"/>
      <c r="F109" s="25"/>
      <c r="G109" s="25"/>
      <c r="H109" s="25"/>
      <c r="I109" s="25"/>
      <c r="J109" s="25"/>
      <c r="K109" s="25"/>
      <c r="L109" s="25"/>
      <c r="M109" s="25"/>
      <c r="N109" s="25"/>
      <c r="O109" s="25"/>
      <c r="P109" s="25"/>
      <c r="Q109" s="25"/>
      <c r="R109" s="25"/>
      <c r="S109" s="25"/>
      <c r="T109" s="53">
        <v>-318</v>
      </c>
      <c r="U109" s="25"/>
      <c r="V109" s="5"/>
      <c r="W109" s="110"/>
    </row>
    <row r="110" spans="1:23" ht="15.6" x14ac:dyDescent="0.3">
      <c r="A110" s="24" t="s">
        <v>247</v>
      </c>
      <c r="B110" s="25" t="s">
        <v>222</v>
      </c>
      <c r="C110" s="25"/>
      <c r="D110" s="25"/>
      <c r="E110" s="25"/>
      <c r="F110" s="25"/>
      <c r="G110" s="25"/>
      <c r="H110" s="25"/>
      <c r="I110" s="25"/>
      <c r="J110" s="25"/>
      <c r="K110" s="25"/>
      <c r="L110" s="25"/>
      <c r="M110" s="25"/>
      <c r="N110" s="25"/>
      <c r="O110" s="25"/>
      <c r="P110" s="25"/>
      <c r="Q110" s="25"/>
      <c r="R110" s="25"/>
      <c r="S110" s="25"/>
      <c r="T110" s="53">
        <v>-49</v>
      </c>
      <c r="U110" s="25"/>
      <c r="V110" s="5"/>
      <c r="W110" s="110"/>
    </row>
    <row r="111" spans="1:23" ht="15.6" x14ac:dyDescent="0.3">
      <c r="A111" s="24" t="s">
        <v>248</v>
      </c>
      <c r="B111" s="25" t="s">
        <v>223</v>
      </c>
      <c r="C111" s="25"/>
      <c r="D111" s="25"/>
      <c r="E111" s="25"/>
      <c r="F111" s="25"/>
      <c r="G111" s="25"/>
      <c r="H111" s="25"/>
      <c r="I111" s="25"/>
      <c r="J111" s="25"/>
      <c r="K111" s="25"/>
      <c r="L111" s="25"/>
      <c r="M111" s="25"/>
      <c r="N111" s="25"/>
      <c r="O111" s="25"/>
      <c r="P111" s="25"/>
      <c r="Q111" s="25"/>
      <c r="R111" s="25"/>
      <c r="S111" s="25"/>
      <c r="T111" s="53">
        <v>-738</v>
      </c>
      <c r="U111" s="25"/>
      <c r="V111" s="5"/>
      <c r="W111" s="110"/>
    </row>
    <row r="112" spans="1:23" ht="15.6" x14ac:dyDescent="0.3">
      <c r="A112" s="24">
        <v>7</v>
      </c>
      <c r="B112" s="25" t="s">
        <v>38</v>
      </c>
      <c r="C112" s="25"/>
      <c r="D112" s="25"/>
      <c r="E112" s="25"/>
      <c r="F112" s="25"/>
      <c r="G112" s="25"/>
      <c r="H112" s="25"/>
      <c r="I112" s="25"/>
      <c r="J112" s="25"/>
      <c r="K112" s="25"/>
      <c r="L112" s="25"/>
      <c r="M112" s="25"/>
      <c r="N112" s="25"/>
      <c r="O112" s="25"/>
      <c r="P112" s="25"/>
      <c r="Q112" s="25"/>
      <c r="R112" s="25"/>
      <c r="S112" s="25"/>
      <c r="T112" s="53">
        <v>-8</v>
      </c>
      <c r="U112" s="25"/>
      <c r="V112" s="5"/>
    </row>
    <row r="113" spans="1:22" ht="15.6" x14ac:dyDescent="0.3">
      <c r="A113" s="24">
        <f t="shared" ref="A113:A118" si="0">+A112+1</f>
        <v>8</v>
      </c>
      <c r="B113" s="25" t="s">
        <v>49</v>
      </c>
      <c r="C113" s="25"/>
      <c r="D113" s="25"/>
      <c r="E113" s="25"/>
      <c r="F113" s="25"/>
      <c r="G113" s="25"/>
      <c r="H113" s="25"/>
      <c r="I113" s="25"/>
      <c r="J113" s="25"/>
      <c r="K113" s="25"/>
      <c r="L113" s="25"/>
      <c r="M113" s="25"/>
      <c r="N113" s="25"/>
      <c r="O113" s="25"/>
      <c r="P113" s="25"/>
      <c r="Q113" s="25"/>
      <c r="R113" s="34">
        <f>-T113</f>
        <v>133</v>
      </c>
      <c r="S113" s="25"/>
      <c r="T113" s="53">
        <v>-133</v>
      </c>
      <c r="U113" s="25"/>
      <c r="V113" s="5"/>
    </row>
    <row r="114" spans="1:22" ht="15.6" x14ac:dyDescent="0.3">
      <c r="A114" s="24">
        <f t="shared" si="0"/>
        <v>9</v>
      </c>
      <c r="B114" s="25" t="s">
        <v>134</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39</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40</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161</v>
      </c>
      <c r="C117" s="25"/>
      <c r="D117" s="25"/>
      <c r="E117" s="25"/>
      <c r="F117" s="25"/>
      <c r="G117" s="25"/>
      <c r="H117" s="25"/>
      <c r="I117" s="25"/>
      <c r="J117" s="25"/>
      <c r="K117" s="25"/>
      <c r="L117" s="25"/>
      <c r="M117" s="25"/>
      <c r="N117" s="25"/>
      <c r="O117" s="25"/>
      <c r="P117" s="25"/>
      <c r="Q117" s="25"/>
      <c r="R117" s="25"/>
      <c r="S117" s="25"/>
      <c r="T117" s="53">
        <v>-138</v>
      </c>
      <c r="U117" s="25"/>
      <c r="V117" s="5"/>
    </row>
    <row r="118" spans="1:22" ht="15.6" x14ac:dyDescent="0.3">
      <c r="A118" s="24">
        <f t="shared" si="0"/>
        <v>13</v>
      </c>
      <c r="B118" s="25" t="s">
        <v>135</v>
      </c>
      <c r="C118" s="25"/>
      <c r="D118" s="25"/>
      <c r="E118" s="25"/>
      <c r="F118" s="25"/>
      <c r="G118" s="25"/>
      <c r="H118" s="25"/>
      <c r="I118" s="25"/>
      <c r="J118" s="25"/>
      <c r="K118" s="25"/>
      <c r="L118" s="25"/>
      <c r="M118" s="25"/>
      <c r="N118" s="25"/>
      <c r="O118" s="25"/>
      <c r="P118" s="25"/>
      <c r="Q118" s="25"/>
      <c r="R118" s="25"/>
      <c r="S118" s="25"/>
      <c r="T118" s="53">
        <f>-T98-SUM(T100:T117)</f>
        <v>-423</v>
      </c>
      <c r="U118" s="25"/>
      <c r="V118" s="5"/>
    </row>
    <row r="119" spans="1:22" ht="15.6" x14ac:dyDescent="0.3">
      <c r="A119" s="24"/>
      <c r="B119" s="119" t="s">
        <v>41</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229</v>
      </c>
      <c r="C120" s="25"/>
      <c r="D120" s="25"/>
      <c r="E120" s="25"/>
      <c r="F120" s="25"/>
      <c r="G120" s="25"/>
      <c r="H120" s="25"/>
      <c r="I120" s="25"/>
      <c r="J120" s="25"/>
      <c r="K120" s="25"/>
      <c r="L120" s="25"/>
      <c r="M120" s="25"/>
      <c r="N120" s="25"/>
      <c r="O120" s="25"/>
      <c r="P120" s="25"/>
      <c r="Q120" s="25"/>
      <c r="R120" s="34">
        <f>-R179</f>
        <v>-5</v>
      </c>
      <c r="S120" s="34"/>
      <c r="T120" s="53"/>
      <c r="U120" s="25"/>
      <c r="V120" s="5"/>
    </row>
    <row r="121" spans="1:22" ht="15.6" x14ac:dyDescent="0.3">
      <c r="A121" s="24"/>
      <c r="B121" s="25" t="s">
        <v>230</v>
      </c>
      <c r="C121" s="25"/>
      <c r="D121" s="25"/>
      <c r="E121" s="25"/>
      <c r="F121" s="25"/>
      <c r="G121" s="25"/>
      <c r="H121" s="25"/>
      <c r="I121" s="25"/>
      <c r="J121" s="25"/>
      <c r="K121" s="25"/>
      <c r="L121" s="25"/>
      <c r="M121" s="25"/>
      <c r="N121" s="25"/>
      <c r="O121" s="25"/>
      <c r="P121" s="25"/>
      <c r="Q121" s="25"/>
      <c r="R121" s="34">
        <v>-24</v>
      </c>
      <c r="S121" s="34"/>
      <c r="T121" s="53"/>
      <c r="U121" s="25"/>
      <c r="V121" s="5"/>
    </row>
    <row r="122" spans="1:22" ht="15.6" x14ac:dyDescent="0.3">
      <c r="A122" s="24"/>
      <c r="B122" s="25" t="s">
        <v>42</v>
      </c>
      <c r="C122" s="25"/>
      <c r="D122" s="25"/>
      <c r="E122" s="25"/>
      <c r="F122" s="25"/>
      <c r="G122" s="25"/>
      <c r="H122" s="25"/>
      <c r="I122" s="25"/>
      <c r="J122" s="25"/>
      <c r="K122" s="25"/>
      <c r="L122" s="25"/>
      <c r="M122" s="25"/>
      <c r="N122" s="25"/>
      <c r="O122" s="25"/>
      <c r="P122" s="25"/>
      <c r="Q122" s="25"/>
      <c r="R122" s="34">
        <f>-Q179</f>
        <v>-512</v>
      </c>
      <c r="S122" s="34"/>
      <c r="T122" s="53"/>
      <c r="U122" s="25"/>
      <c r="V122" s="5"/>
    </row>
    <row r="123" spans="1:22" ht="15.6" x14ac:dyDescent="0.3">
      <c r="A123" s="24"/>
      <c r="B123" s="25" t="s">
        <v>235</v>
      </c>
      <c r="C123" s="25"/>
      <c r="D123" s="25"/>
      <c r="E123" s="25"/>
      <c r="F123" s="25"/>
      <c r="G123" s="25"/>
      <c r="H123" s="25"/>
      <c r="I123" s="25"/>
      <c r="J123" s="25"/>
      <c r="K123" s="25"/>
      <c r="L123" s="25"/>
      <c r="M123" s="25"/>
      <c r="N123" s="25"/>
      <c r="O123" s="25"/>
      <c r="P123" s="25"/>
      <c r="Q123" s="25"/>
      <c r="R123" s="34">
        <v>-7699</v>
      </c>
      <c r="S123" s="34"/>
      <c r="T123" s="53"/>
      <c r="U123" s="25"/>
      <c r="V123" s="5"/>
    </row>
    <row r="124" spans="1:22" ht="15.6" x14ac:dyDescent="0.3">
      <c r="A124" s="24"/>
      <c r="B124" s="25" t="s">
        <v>236</v>
      </c>
      <c r="C124" s="25"/>
      <c r="D124" s="25"/>
      <c r="E124" s="25"/>
      <c r="F124" s="25"/>
      <c r="G124" s="25"/>
      <c r="H124" s="25"/>
      <c r="I124" s="25"/>
      <c r="J124" s="25"/>
      <c r="K124" s="25"/>
      <c r="L124" s="25"/>
      <c r="M124" s="25"/>
      <c r="N124" s="25"/>
      <c r="O124" s="25"/>
      <c r="P124" s="25"/>
      <c r="Q124" s="25"/>
      <c r="R124" s="34">
        <v>-5441</v>
      </c>
      <c r="S124" s="34"/>
      <c r="T124" s="53"/>
      <c r="U124" s="25"/>
      <c r="V124" s="5"/>
    </row>
    <row r="125" spans="1:22" ht="15.6" x14ac:dyDescent="0.3">
      <c r="A125" s="24"/>
      <c r="B125" s="25" t="s">
        <v>241</v>
      </c>
      <c r="C125" s="25"/>
      <c r="D125" s="25"/>
      <c r="E125" s="25"/>
      <c r="F125" s="25"/>
      <c r="G125" s="25"/>
      <c r="H125" s="25"/>
      <c r="I125" s="25"/>
      <c r="J125" s="25"/>
      <c r="K125" s="25"/>
      <c r="L125" s="25"/>
      <c r="M125" s="25"/>
      <c r="N125" s="25"/>
      <c r="O125" s="25"/>
      <c r="P125" s="25"/>
      <c r="Q125" s="25"/>
      <c r="R125" s="34">
        <v>-754</v>
      </c>
      <c r="S125" s="34"/>
      <c r="T125" s="53"/>
      <c r="U125" s="25"/>
      <c r="V125" s="5"/>
    </row>
    <row r="126" spans="1:22" ht="15.6" x14ac:dyDescent="0.3">
      <c r="A126" s="24"/>
      <c r="B126" s="25" t="s">
        <v>237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238</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239</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240</v>
      </c>
      <c r="C129" s="25"/>
      <c r="D129" s="25"/>
      <c r="E129" s="25"/>
      <c r="F129" s="25"/>
      <c r="G129" s="25"/>
      <c r="H129" s="25"/>
      <c r="I129" s="25"/>
      <c r="J129" s="25"/>
      <c r="K129" s="25"/>
      <c r="L129" s="25"/>
      <c r="M129" s="25"/>
      <c r="N129" s="25"/>
      <c r="O129" s="25"/>
      <c r="P129" s="25"/>
      <c r="Q129" s="25"/>
      <c r="R129" s="34">
        <v>0</v>
      </c>
      <c r="S129" s="34"/>
      <c r="T129" s="53"/>
      <c r="U129" s="25"/>
      <c r="V129" s="5"/>
    </row>
    <row r="130" spans="1:22" ht="15.6" x14ac:dyDescent="0.3">
      <c r="A130" s="24"/>
      <c r="B130" s="25" t="s">
        <v>43</v>
      </c>
      <c r="C130" s="25"/>
      <c r="D130" s="25"/>
      <c r="E130" s="25"/>
      <c r="F130" s="25"/>
      <c r="G130" s="25"/>
      <c r="H130" s="25"/>
      <c r="I130" s="25"/>
      <c r="J130" s="25"/>
      <c r="K130" s="25"/>
      <c r="L130" s="25"/>
      <c r="M130" s="25"/>
      <c r="N130" s="25"/>
      <c r="O130" s="25"/>
      <c r="P130" s="25"/>
      <c r="Q130" s="25"/>
      <c r="R130" s="34">
        <f>SUM(R120:R129)</f>
        <v>-14435</v>
      </c>
      <c r="S130" s="34"/>
      <c r="T130" s="34">
        <f>SUM(T99:T128)</f>
        <v>-6570</v>
      </c>
      <c r="U130" s="25"/>
      <c r="V130" s="5"/>
    </row>
    <row r="131" spans="1:22" ht="15.6" x14ac:dyDescent="0.3">
      <c r="A131" s="24"/>
      <c r="B131" s="25" t="s">
        <v>44</v>
      </c>
      <c r="C131" s="25"/>
      <c r="D131" s="25"/>
      <c r="E131" s="25"/>
      <c r="F131" s="25"/>
      <c r="G131" s="25"/>
      <c r="H131" s="25"/>
      <c r="I131" s="25"/>
      <c r="J131" s="25"/>
      <c r="K131" s="25"/>
      <c r="L131" s="25"/>
      <c r="M131" s="25"/>
      <c r="N131" s="25"/>
      <c r="O131" s="25"/>
      <c r="P131" s="25"/>
      <c r="Q131" s="25"/>
      <c r="R131" s="34">
        <f>R98+R130+R113</f>
        <v>0</v>
      </c>
      <c r="S131" s="34"/>
      <c r="T131" s="34">
        <f>T98+T130</f>
        <v>0</v>
      </c>
      <c r="U131" s="25"/>
      <c r="V131" s="5"/>
    </row>
    <row r="132" spans="1:22" ht="15.6" x14ac:dyDescent="0.3">
      <c r="A132" s="24"/>
      <c r="B132" s="25"/>
      <c r="C132" s="25"/>
      <c r="D132" s="25"/>
      <c r="E132" s="25"/>
      <c r="F132" s="25"/>
      <c r="G132" s="25"/>
      <c r="H132" s="25"/>
      <c r="I132" s="25"/>
      <c r="J132" s="25"/>
      <c r="K132" s="25"/>
      <c r="L132" s="25"/>
      <c r="M132" s="25"/>
      <c r="N132" s="25"/>
      <c r="O132" s="25"/>
      <c r="P132" s="25"/>
      <c r="Q132" s="25"/>
      <c r="R132" s="34"/>
      <c r="S132" s="34"/>
      <c r="T132" s="34"/>
      <c r="U132" s="25"/>
      <c r="V132" s="5"/>
    </row>
    <row r="133" spans="1:22" ht="15.6" x14ac:dyDescent="0.3">
      <c r="A133" s="6"/>
      <c r="B133" s="8"/>
      <c r="C133" s="8"/>
      <c r="D133" s="8"/>
      <c r="E133" s="8"/>
      <c r="F133" s="8"/>
      <c r="G133" s="8"/>
      <c r="H133" s="8"/>
      <c r="I133" s="8"/>
      <c r="J133" s="8"/>
      <c r="K133" s="8"/>
      <c r="L133" s="8"/>
      <c r="M133" s="8"/>
      <c r="N133" s="8"/>
      <c r="O133" s="8"/>
      <c r="P133" s="8"/>
      <c r="Q133" s="8"/>
      <c r="R133" s="8"/>
      <c r="S133" s="8"/>
      <c r="T133" s="52"/>
      <c r="U133" s="8"/>
      <c r="V133" s="5"/>
    </row>
    <row r="134" spans="1:22" ht="18" thickBot="1" x14ac:dyDescent="0.35">
      <c r="A134" s="102"/>
      <c r="B134" s="103" t="str">
        <f>B61</f>
        <v>PM9 INVESTOR REPORT QUARTER ENDING OCTOBER 2008</v>
      </c>
      <c r="C134" s="104"/>
      <c r="D134" s="104"/>
      <c r="E134" s="104"/>
      <c r="F134" s="104"/>
      <c r="G134" s="104"/>
      <c r="H134" s="104"/>
      <c r="I134" s="104"/>
      <c r="J134" s="104"/>
      <c r="K134" s="104"/>
      <c r="L134" s="104"/>
      <c r="M134" s="104"/>
      <c r="N134" s="104"/>
      <c r="O134" s="104"/>
      <c r="P134" s="104"/>
      <c r="Q134" s="104"/>
      <c r="R134" s="104"/>
      <c r="S134" s="104"/>
      <c r="T134" s="107"/>
      <c r="U134" s="106"/>
      <c r="V134" s="5"/>
    </row>
    <row r="135" spans="1:22" ht="15.6" x14ac:dyDescent="0.3">
      <c r="A135" s="2"/>
      <c r="B135" s="60" t="s">
        <v>45</v>
      </c>
      <c r="C135" s="4"/>
      <c r="D135" s="4"/>
      <c r="E135" s="4"/>
      <c r="F135" s="4"/>
      <c r="G135" s="4"/>
      <c r="H135" s="4"/>
      <c r="I135" s="4"/>
      <c r="J135" s="4"/>
      <c r="K135" s="4"/>
      <c r="L135" s="4"/>
      <c r="M135" s="4"/>
      <c r="N135" s="4"/>
      <c r="O135" s="4"/>
      <c r="P135" s="4"/>
      <c r="Q135" s="4"/>
      <c r="R135" s="4"/>
      <c r="S135" s="4"/>
      <c r="T135" s="50"/>
      <c r="U135" s="4"/>
      <c r="V135" s="5"/>
    </row>
    <row r="136" spans="1:22" ht="15.6" x14ac:dyDescent="0.3">
      <c r="A136" s="6"/>
      <c r="B136" s="21"/>
      <c r="C136" s="8"/>
      <c r="D136" s="8"/>
      <c r="E136" s="8"/>
      <c r="F136" s="8"/>
      <c r="G136" s="8"/>
      <c r="H136" s="8"/>
      <c r="I136" s="8"/>
      <c r="J136" s="8"/>
      <c r="K136" s="8"/>
      <c r="L136" s="8"/>
      <c r="M136" s="8"/>
      <c r="N136" s="8"/>
      <c r="O136" s="8"/>
      <c r="P136" s="8"/>
      <c r="Q136" s="8"/>
      <c r="R136" s="8"/>
      <c r="S136" s="8"/>
      <c r="T136" s="52"/>
      <c r="U136" s="8"/>
      <c r="V136" s="5"/>
    </row>
    <row r="137" spans="1:22" ht="15.6" x14ac:dyDescent="0.3">
      <c r="A137" s="6"/>
      <c r="B137" s="120" t="s">
        <v>46</v>
      </c>
      <c r="C137" s="8"/>
      <c r="D137" s="8"/>
      <c r="E137" s="8"/>
      <c r="F137" s="8"/>
      <c r="G137" s="8"/>
      <c r="H137" s="8"/>
      <c r="I137" s="8"/>
      <c r="J137" s="8"/>
      <c r="K137" s="8"/>
      <c r="L137" s="8"/>
      <c r="M137" s="8"/>
      <c r="N137" s="8"/>
      <c r="O137" s="8"/>
      <c r="P137" s="8"/>
      <c r="Q137" s="8"/>
      <c r="R137" s="8"/>
      <c r="S137" s="8"/>
      <c r="T137" s="52"/>
      <c r="U137" s="8"/>
      <c r="V137" s="5"/>
    </row>
    <row r="138" spans="1:22" ht="15.6" x14ac:dyDescent="0.3">
      <c r="A138" s="24"/>
      <c r="B138" s="25" t="s">
        <v>47</v>
      </c>
      <c r="C138" s="25"/>
      <c r="D138" s="25"/>
      <c r="E138" s="25"/>
      <c r="F138" s="25"/>
      <c r="G138" s="25"/>
      <c r="H138" s="25"/>
      <c r="I138" s="25"/>
      <c r="J138" s="25"/>
      <c r="K138" s="25"/>
      <c r="L138" s="25"/>
      <c r="M138" s="25"/>
      <c r="N138" s="25"/>
      <c r="O138" s="25"/>
      <c r="P138" s="25"/>
      <c r="Q138" s="25"/>
      <c r="R138" s="25"/>
      <c r="S138" s="25"/>
      <c r="T138" s="53">
        <f>+T32*0.0176</f>
        <v>12320</v>
      </c>
      <c r="U138" s="25"/>
      <c r="V138" s="5"/>
    </row>
    <row r="139" spans="1:22" ht="15.6" x14ac:dyDescent="0.3">
      <c r="A139" s="24"/>
      <c r="B139" s="25" t="s">
        <v>48</v>
      </c>
      <c r="C139" s="25"/>
      <c r="D139" s="25"/>
      <c r="E139" s="25"/>
      <c r="F139" s="25"/>
      <c r="G139" s="25"/>
      <c r="H139" s="25"/>
      <c r="I139" s="25"/>
      <c r="J139" s="25"/>
      <c r="K139" s="25"/>
      <c r="L139" s="25"/>
      <c r="M139" s="25"/>
      <c r="N139" s="25"/>
      <c r="O139" s="25"/>
      <c r="P139" s="25"/>
      <c r="Q139" s="25"/>
      <c r="R139" s="25"/>
      <c r="S139" s="25"/>
      <c r="T139" s="53">
        <v>12320</v>
      </c>
      <c r="U139" s="25"/>
      <c r="V139" s="5"/>
    </row>
    <row r="140" spans="1:22" ht="15.6" x14ac:dyDescent="0.3">
      <c r="A140" s="24"/>
      <c r="B140" s="25" t="s">
        <v>145</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132</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133</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232</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49</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138</v>
      </c>
      <c r="C145" s="25"/>
      <c r="D145" s="25"/>
      <c r="E145" s="25"/>
      <c r="F145" s="25"/>
      <c r="G145" s="25"/>
      <c r="H145" s="25"/>
      <c r="I145" s="25"/>
      <c r="J145" s="25"/>
      <c r="K145" s="25"/>
      <c r="L145" s="25"/>
      <c r="M145" s="25"/>
      <c r="N145" s="25"/>
      <c r="O145" s="25"/>
      <c r="P145" s="25"/>
      <c r="Q145" s="25"/>
      <c r="R145" s="25"/>
      <c r="S145" s="25"/>
      <c r="T145" s="53">
        <v>0</v>
      </c>
      <c r="U145" s="25"/>
      <c r="V145" s="5"/>
    </row>
    <row r="146" spans="1:23" ht="15.6" x14ac:dyDescent="0.3">
      <c r="A146" s="24"/>
      <c r="B146" s="25" t="s">
        <v>231</v>
      </c>
      <c r="C146" s="25"/>
      <c r="D146" s="25"/>
      <c r="E146" s="25"/>
      <c r="F146" s="25"/>
      <c r="G146" s="25"/>
      <c r="H146" s="25"/>
      <c r="I146" s="25"/>
      <c r="J146" s="25"/>
      <c r="K146" s="25"/>
      <c r="L146" s="25"/>
      <c r="M146" s="25"/>
      <c r="N146" s="25"/>
      <c r="O146" s="25"/>
      <c r="P146" s="25"/>
      <c r="Q146" s="25"/>
      <c r="R146" s="25"/>
      <c r="S146" s="25"/>
      <c r="T146" s="53">
        <v>0</v>
      </c>
      <c r="U146" s="25"/>
      <c r="V146" s="5"/>
      <c r="W146" s="110"/>
    </row>
    <row r="147" spans="1:23" ht="15.6" x14ac:dyDescent="0.3">
      <c r="A147" s="24"/>
      <c r="B147" s="25" t="s">
        <v>50</v>
      </c>
      <c r="C147" s="25"/>
      <c r="D147" s="25"/>
      <c r="E147" s="25"/>
      <c r="F147" s="25"/>
      <c r="G147" s="25"/>
      <c r="H147" s="25"/>
      <c r="I147" s="25"/>
      <c r="J147" s="25"/>
      <c r="K147" s="25"/>
      <c r="L147" s="25"/>
      <c r="M147" s="25"/>
      <c r="N147" s="25"/>
      <c r="O147" s="25"/>
      <c r="P147" s="25"/>
      <c r="Q147" s="25"/>
      <c r="R147" s="25"/>
      <c r="S147" s="25"/>
      <c r="T147" s="53">
        <f>SUM(T139:T146)</f>
        <v>12320</v>
      </c>
      <c r="U147" s="25"/>
      <c r="V147" s="5"/>
    </row>
    <row r="148" spans="1:23" ht="15.6" x14ac:dyDescent="0.3">
      <c r="A148" s="24"/>
      <c r="B148" s="25"/>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141" t="s">
        <v>264</v>
      </c>
      <c r="C149" s="25"/>
      <c r="D149" s="25"/>
      <c r="E149" s="25"/>
      <c r="F149" s="25"/>
      <c r="G149" s="25"/>
      <c r="H149" s="25"/>
      <c r="I149" s="25"/>
      <c r="J149" s="25"/>
      <c r="K149" s="25"/>
      <c r="L149" s="25"/>
      <c r="M149" s="25"/>
      <c r="N149" s="25"/>
      <c r="O149" s="25"/>
      <c r="P149" s="25"/>
      <c r="Q149" s="25"/>
      <c r="R149" s="25"/>
      <c r="S149" s="25"/>
      <c r="T149" s="53"/>
      <c r="U149" s="25"/>
      <c r="V149" s="5"/>
    </row>
    <row r="150" spans="1:23" ht="15.6" x14ac:dyDescent="0.3">
      <c r="A150" s="24"/>
      <c r="B150" s="25" t="s">
        <v>170</v>
      </c>
      <c r="C150" s="25"/>
      <c r="D150" s="25"/>
      <c r="E150" s="25"/>
      <c r="F150" s="25"/>
      <c r="G150" s="25"/>
      <c r="H150" s="25"/>
      <c r="I150" s="25"/>
      <c r="J150" s="25"/>
      <c r="K150" s="25"/>
      <c r="L150" s="25"/>
      <c r="M150" s="25"/>
      <c r="N150" s="25"/>
      <c r="O150" s="25"/>
      <c r="P150" s="25"/>
      <c r="Q150" s="25"/>
      <c r="R150" s="25"/>
      <c r="S150" s="25"/>
      <c r="T150" s="53">
        <v>10000</v>
      </c>
      <c r="U150" s="25"/>
      <c r="V150" s="5"/>
    </row>
    <row r="151" spans="1:23" ht="15.6" x14ac:dyDescent="0.3">
      <c r="A151" s="24"/>
      <c r="B151" s="25" t="s">
        <v>260</v>
      </c>
      <c r="C151" s="25"/>
      <c r="D151" s="25"/>
      <c r="E151" s="25"/>
      <c r="F151" s="25"/>
      <c r="G151" s="25"/>
      <c r="H151" s="25"/>
      <c r="I151" s="25"/>
      <c r="J151" s="25"/>
      <c r="K151" s="25"/>
      <c r="L151" s="25"/>
      <c r="M151" s="25"/>
      <c r="N151" s="25"/>
      <c r="O151" s="25"/>
      <c r="P151" s="25"/>
      <c r="Q151" s="25"/>
      <c r="R151" s="25"/>
      <c r="S151" s="25"/>
      <c r="T151" s="53">
        <v>6000</v>
      </c>
      <c r="U151" s="25"/>
      <c r="V151" s="5"/>
    </row>
    <row r="152" spans="1:23" ht="15.6" x14ac:dyDescent="0.3">
      <c r="A152" s="24"/>
      <c r="B152" s="25" t="s">
        <v>228</v>
      </c>
      <c r="C152" s="25"/>
      <c r="D152" s="25"/>
      <c r="E152" s="25"/>
      <c r="F152" s="25"/>
      <c r="G152" s="25"/>
      <c r="H152" s="25"/>
      <c r="I152" s="25"/>
      <c r="J152" s="25"/>
      <c r="K152" s="25"/>
      <c r="L152" s="25"/>
      <c r="M152" s="25"/>
      <c r="N152" s="25"/>
      <c r="O152" s="25"/>
      <c r="P152" s="25"/>
      <c r="Q152" s="25"/>
      <c r="R152" s="25"/>
      <c r="S152" s="25"/>
      <c r="T152" s="53">
        <v>0</v>
      </c>
      <c r="U152" s="25"/>
      <c r="V152" s="5"/>
    </row>
    <row r="153" spans="1:23" ht="15.6" x14ac:dyDescent="0.3">
      <c r="A153" s="24"/>
      <c r="B153" s="25" t="s">
        <v>266</v>
      </c>
      <c r="C153" s="25"/>
      <c r="D153" s="25"/>
      <c r="E153" s="25"/>
      <c r="F153" s="25"/>
      <c r="G153" s="25"/>
      <c r="H153" s="25"/>
      <c r="I153" s="25"/>
      <c r="J153" s="25"/>
      <c r="K153" s="25"/>
      <c r="L153" s="25"/>
      <c r="M153" s="25"/>
      <c r="N153" s="25"/>
      <c r="O153" s="25"/>
      <c r="P153" s="25"/>
      <c r="Q153" s="25"/>
      <c r="R153" s="25"/>
      <c r="S153" s="25"/>
      <c r="T153" s="53">
        <v>6000</v>
      </c>
      <c r="U153" s="25"/>
      <c r="V153" s="5"/>
    </row>
    <row r="154" spans="1:23" ht="15.6" x14ac:dyDescent="0.3">
      <c r="A154" s="24"/>
      <c r="B154" s="25"/>
      <c r="C154" s="25"/>
      <c r="D154" s="25"/>
      <c r="E154" s="25"/>
      <c r="F154" s="25"/>
      <c r="G154" s="25"/>
      <c r="H154" s="25"/>
      <c r="I154" s="25"/>
      <c r="J154" s="25"/>
      <c r="K154" s="25"/>
      <c r="L154" s="25"/>
      <c r="M154" s="25"/>
      <c r="N154" s="25"/>
      <c r="O154" s="25"/>
      <c r="P154" s="25"/>
      <c r="Q154" s="25"/>
      <c r="R154" s="25"/>
      <c r="S154" s="25"/>
      <c r="T154" s="53"/>
      <c r="U154" s="25"/>
      <c r="V154" s="5"/>
    </row>
    <row r="155" spans="1:23" ht="15.6" x14ac:dyDescent="0.3">
      <c r="A155" s="24"/>
      <c r="B155" s="25"/>
      <c r="C155" s="25"/>
      <c r="D155" s="25"/>
      <c r="E155" s="25"/>
      <c r="F155" s="25"/>
      <c r="G155" s="25"/>
      <c r="H155" s="25"/>
      <c r="I155" s="25"/>
      <c r="J155" s="25"/>
      <c r="K155" s="25"/>
      <c r="L155" s="25"/>
      <c r="M155" s="25"/>
      <c r="N155" s="25"/>
      <c r="O155" s="25"/>
      <c r="P155" s="25"/>
      <c r="Q155" s="25"/>
      <c r="R155" s="25"/>
      <c r="S155" s="25"/>
      <c r="T155" s="61"/>
      <c r="U155" s="25"/>
      <c r="V155" s="5"/>
    </row>
    <row r="156" spans="1:23" ht="15.6" x14ac:dyDescent="0.3">
      <c r="A156" s="6"/>
      <c r="B156" s="120" t="s">
        <v>25</v>
      </c>
      <c r="C156" s="8"/>
      <c r="D156" s="8"/>
      <c r="E156" s="8"/>
      <c r="F156" s="8"/>
      <c r="G156" s="8"/>
      <c r="H156" s="8"/>
      <c r="I156" s="8"/>
      <c r="J156" s="8"/>
      <c r="K156" s="8"/>
      <c r="L156" s="8"/>
      <c r="M156" s="8"/>
      <c r="N156" s="8"/>
      <c r="O156" s="8"/>
      <c r="P156" s="8"/>
      <c r="Q156" s="8"/>
      <c r="R156" s="8"/>
      <c r="S156" s="8"/>
      <c r="T156" s="52"/>
      <c r="U156" s="8"/>
      <c r="V156" s="5"/>
    </row>
    <row r="157" spans="1:23" ht="15.6" x14ac:dyDescent="0.3">
      <c r="A157" s="24"/>
      <c r="B157" s="25" t="s">
        <v>51</v>
      </c>
      <c r="C157" s="25"/>
      <c r="D157" s="25"/>
      <c r="E157" s="25"/>
      <c r="F157" s="25"/>
      <c r="G157" s="25"/>
      <c r="H157" s="25"/>
      <c r="I157" s="25"/>
      <c r="J157" s="25"/>
      <c r="K157" s="25"/>
      <c r="L157" s="25"/>
      <c r="M157" s="25"/>
      <c r="N157" s="25"/>
      <c r="O157" s="25"/>
      <c r="P157" s="25"/>
      <c r="Q157" s="25"/>
      <c r="R157" s="25"/>
      <c r="S157" s="25"/>
      <c r="T157" s="59" t="s">
        <v>127</v>
      </c>
      <c r="U157" s="25"/>
      <c r="V157" s="5"/>
    </row>
    <row r="158" spans="1:23" ht="15.6" x14ac:dyDescent="0.3">
      <c r="A158" s="24"/>
      <c r="B158" s="25" t="s">
        <v>52</v>
      </c>
      <c r="C158" s="160"/>
      <c r="D158" s="160"/>
      <c r="E158" s="160"/>
      <c r="F158" s="160"/>
      <c r="G158" s="160"/>
      <c r="H158" s="160"/>
      <c r="I158" s="160"/>
      <c r="J158" s="160"/>
      <c r="K158" s="160"/>
      <c r="L158" s="160"/>
      <c r="M158" s="160"/>
      <c r="N158" s="160"/>
      <c r="O158" s="160"/>
      <c r="P158" s="160"/>
      <c r="Q158" s="160"/>
      <c r="R158" s="160"/>
      <c r="S158" s="160"/>
      <c r="T158" s="59" t="s">
        <v>127</v>
      </c>
      <c r="U158" s="25"/>
      <c r="V158" s="5"/>
    </row>
    <row r="159" spans="1:23" ht="15.6" x14ac:dyDescent="0.3">
      <c r="A159" s="24"/>
      <c r="B159" s="25" t="s">
        <v>53</v>
      </c>
      <c r="C159" s="25"/>
      <c r="D159" s="25"/>
      <c r="E159" s="25"/>
      <c r="F159" s="25"/>
      <c r="G159" s="25"/>
      <c r="H159" s="25"/>
      <c r="I159" s="25"/>
      <c r="J159" s="25"/>
      <c r="K159" s="25"/>
      <c r="L159" s="25"/>
      <c r="M159" s="25"/>
      <c r="N159" s="25"/>
      <c r="O159" s="25"/>
      <c r="P159" s="25"/>
      <c r="Q159" s="25"/>
      <c r="R159" s="25"/>
      <c r="S159" s="25"/>
      <c r="T159" s="59" t="s">
        <v>127</v>
      </c>
      <c r="U159" s="25"/>
      <c r="V159" s="5"/>
    </row>
    <row r="160" spans="1:23" ht="15.6" x14ac:dyDescent="0.3">
      <c r="A160" s="24"/>
      <c r="B160" s="25" t="s">
        <v>54</v>
      </c>
      <c r="C160" s="25"/>
      <c r="D160" s="25"/>
      <c r="E160" s="25"/>
      <c r="F160" s="25"/>
      <c r="G160" s="25"/>
      <c r="H160" s="25"/>
      <c r="I160" s="25"/>
      <c r="J160" s="25"/>
      <c r="K160" s="25"/>
      <c r="L160" s="25"/>
      <c r="M160" s="25"/>
      <c r="N160" s="25"/>
      <c r="O160" s="25"/>
      <c r="P160" s="25"/>
      <c r="Q160" s="25"/>
      <c r="R160" s="25"/>
      <c r="S160" s="25"/>
      <c r="T160" s="59" t="s">
        <v>127</v>
      </c>
      <c r="U160" s="25"/>
      <c r="V160" s="5"/>
    </row>
    <row r="161" spans="1:22" ht="15.6" x14ac:dyDescent="0.3">
      <c r="A161" s="24"/>
      <c r="B161" s="25"/>
      <c r="C161" s="25"/>
      <c r="D161" s="25"/>
      <c r="E161" s="25"/>
      <c r="F161" s="25"/>
      <c r="G161" s="25"/>
      <c r="H161" s="25"/>
      <c r="I161" s="25"/>
      <c r="J161" s="25"/>
      <c r="K161" s="25"/>
      <c r="L161" s="25"/>
      <c r="M161" s="25"/>
      <c r="N161" s="25"/>
      <c r="O161" s="25"/>
      <c r="P161" s="25"/>
      <c r="Q161" s="25"/>
      <c r="R161" s="25"/>
      <c r="S161" s="25"/>
      <c r="T161" s="61"/>
      <c r="U161" s="25"/>
      <c r="V161" s="5"/>
    </row>
    <row r="162" spans="1:22" ht="15.6" x14ac:dyDescent="0.3">
      <c r="A162" s="6"/>
      <c r="B162" s="120" t="s">
        <v>55</v>
      </c>
      <c r="C162" s="8"/>
      <c r="D162" s="8"/>
      <c r="E162" s="8"/>
      <c r="F162" s="8"/>
      <c r="G162" s="8"/>
      <c r="H162" s="8"/>
      <c r="I162" s="8"/>
      <c r="J162" s="8"/>
      <c r="K162" s="8"/>
      <c r="L162" s="8"/>
      <c r="M162" s="8"/>
      <c r="N162" s="8"/>
      <c r="O162" s="8"/>
      <c r="P162" s="8"/>
      <c r="Q162" s="8"/>
      <c r="R162" s="8"/>
      <c r="S162" s="8"/>
      <c r="T162" s="63"/>
      <c r="U162" s="8"/>
      <c r="V162" s="5"/>
    </row>
    <row r="163" spans="1:22" ht="15.6" x14ac:dyDescent="0.3">
      <c r="A163" s="24"/>
      <c r="B163" s="25" t="s">
        <v>56</v>
      </c>
      <c r="C163" s="25"/>
      <c r="D163" s="25"/>
      <c r="E163" s="25"/>
      <c r="F163" s="25"/>
      <c r="G163" s="25"/>
      <c r="H163" s="25"/>
      <c r="I163" s="25"/>
      <c r="J163" s="25"/>
      <c r="K163" s="25"/>
      <c r="L163" s="25"/>
      <c r="M163" s="25"/>
      <c r="N163" s="25"/>
      <c r="O163" s="25"/>
      <c r="P163" s="25"/>
      <c r="Q163" s="25"/>
      <c r="R163" s="25"/>
      <c r="S163" s="25"/>
      <c r="T163" s="53">
        <v>0</v>
      </c>
      <c r="U163" s="25"/>
      <c r="V163" s="5"/>
    </row>
    <row r="164" spans="1:22" ht="15.6" x14ac:dyDescent="0.3">
      <c r="A164" s="24"/>
      <c r="B164" s="25" t="s">
        <v>57</v>
      </c>
      <c r="C164" s="25"/>
      <c r="D164" s="25"/>
      <c r="E164" s="25"/>
      <c r="F164" s="25"/>
      <c r="G164" s="25"/>
      <c r="H164" s="25"/>
      <c r="I164" s="25"/>
      <c r="J164" s="25"/>
      <c r="K164" s="25"/>
      <c r="L164" s="25"/>
      <c r="M164" s="25"/>
      <c r="N164" s="25"/>
      <c r="O164" s="25"/>
      <c r="P164" s="25"/>
      <c r="Q164" s="25"/>
      <c r="R164" s="25"/>
      <c r="S164" s="25"/>
      <c r="T164" s="53">
        <f>-T113</f>
        <v>133</v>
      </c>
      <c r="U164" s="25"/>
      <c r="V164" s="5"/>
    </row>
    <row r="165" spans="1:22" ht="15.6" x14ac:dyDescent="0.3">
      <c r="A165" s="24"/>
      <c r="B165" s="25" t="s">
        <v>58</v>
      </c>
      <c r="C165" s="25"/>
      <c r="D165" s="25"/>
      <c r="E165" s="25"/>
      <c r="F165" s="25"/>
      <c r="G165" s="25"/>
      <c r="H165" s="25"/>
      <c r="I165" s="25"/>
      <c r="J165" s="25"/>
      <c r="K165" s="25"/>
      <c r="L165" s="25"/>
      <c r="M165" s="25"/>
      <c r="N165" s="25"/>
      <c r="O165" s="25"/>
      <c r="P165" s="25"/>
      <c r="Q165" s="25"/>
      <c r="R165" s="25"/>
      <c r="S165" s="25"/>
      <c r="T165" s="53">
        <f>T164+T163</f>
        <v>133</v>
      </c>
      <c r="U165" s="25"/>
      <c r="V165" s="5"/>
    </row>
    <row r="166" spans="1:22" ht="15.6" x14ac:dyDescent="0.3">
      <c r="A166" s="24"/>
      <c r="B166" s="25" t="s">
        <v>309</v>
      </c>
      <c r="C166" s="25"/>
      <c r="D166" s="25"/>
      <c r="E166" s="25"/>
      <c r="F166" s="25"/>
      <c r="G166" s="25"/>
      <c r="H166" s="25"/>
      <c r="I166" s="25"/>
      <c r="J166" s="25"/>
      <c r="K166" s="25"/>
      <c r="L166" s="25"/>
      <c r="M166" s="25"/>
      <c r="N166" s="25"/>
      <c r="O166" s="25"/>
      <c r="P166" s="25"/>
      <c r="Q166" s="25"/>
      <c r="R166" s="25"/>
      <c r="S166" s="25"/>
      <c r="T166" s="53">
        <f>T113</f>
        <v>-133</v>
      </c>
      <c r="U166" s="25"/>
      <c r="V166" s="5"/>
    </row>
    <row r="167" spans="1:22" ht="15.6" x14ac:dyDescent="0.3">
      <c r="A167" s="24"/>
      <c r="B167" s="25" t="s">
        <v>59</v>
      </c>
      <c r="C167" s="25"/>
      <c r="D167" s="25"/>
      <c r="E167" s="25"/>
      <c r="F167" s="25"/>
      <c r="G167" s="25"/>
      <c r="H167" s="25"/>
      <c r="I167" s="25"/>
      <c r="J167" s="25"/>
      <c r="K167" s="25"/>
      <c r="L167" s="25"/>
      <c r="M167" s="25"/>
      <c r="N167" s="25"/>
      <c r="O167" s="25"/>
      <c r="P167" s="25"/>
      <c r="Q167" s="25"/>
      <c r="R167" s="25"/>
      <c r="S167" s="25"/>
      <c r="T167" s="53">
        <f>T165+T166</f>
        <v>0</v>
      </c>
      <c r="U167" s="25"/>
      <c r="V167" s="5"/>
    </row>
    <row r="168" spans="1:22" ht="16.2" thickBot="1" x14ac:dyDescent="0.35">
      <c r="A168" s="24"/>
      <c r="B168" s="25"/>
      <c r="C168" s="25"/>
      <c r="D168" s="25"/>
      <c r="E168" s="25"/>
      <c r="F168" s="25"/>
      <c r="G168" s="25"/>
      <c r="H168" s="25"/>
      <c r="I168" s="25"/>
      <c r="J168" s="25"/>
      <c r="K168" s="25"/>
      <c r="L168" s="25"/>
      <c r="M168" s="25"/>
      <c r="N168" s="25"/>
      <c r="O168" s="25"/>
      <c r="P168" s="25"/>
      <c r="Q168" s="25"/>
      <c r="R168" s="25"/>
      <c r="S168" s="25"/>
      <c r="T168" s="61"/>
      <c r="U168" s="25"/>
      <c r="V168" s="5"/>
    </row>
    <row r="169" spans="1:22" ht="15.6" x14ac:dyDescent="0.3">
      <c r="A169" s="2"/>
      <c r="B169" s="4"/>
      <c r="C169" s="4"/>
      <c r="D169" s="4"/>
      <c r="E169" s="4"/>
      <c r="F169" s="4"/>
      <c r="G169" s="4"/>
      <c r="H169" s="4"/>
      <c r="I169" s="4"/>
      <c r="J169" s="4"/>
      <c r="K169" s="4"/>
      <c r="L169" s="4"/>
      <c r="M169" s="4"/>
      <c r="N169" s="4"/>
      <c r="O169" s="4"/>
      <c r="P169" s="4"/>
      <c r="Q169" s="4"/>
      <c r="R169" s="4"/>
      <c r="S169" s="4"/>
      <c r="T169" s="50"/>
      <c r="U169" s="4"/>
      <c r="V169" s="5"/>
    </row>
    <row r="170" spans="1:22" ht="15.6" x14ac:dyDescent="0.3">
      <c r="A170" s="6"/>
      <c r="B170" s="120" t="s">
        <v>60</v>
      </c>
      <c r="C170" s="8"/>
      <c r="D170" s="8"/>
      <c r="E170" s="8"/>
      <c r="F170" s="8"/>
      <c r="G170" s="8"/>
      <c r="H170" s="8"/>
      <c r="I170" s="8"/>
      <c r="J170" s="8"/>
      <c r="K170" s="8"/>
      <c r="L170" s="8"/>
      <c r="M170" s="8"/>
      <c r="N170" s="8"/>
      <c r="O170" s="8"/>
      <c r="P170" s="8"/>
      <c r="Q170" s="8"/>
      <c r="R170" s="8"/>
      <c r="S170" s="8"/>
      <c r="T170" s="52"/>
      <c r="U170" s="8"/>
      <c r="V170" s="5"/>
    </row>
    <row r="171" spans="1:22" ht="15.6" x14ac:dyDescent="0.3">
      <c r="A171" s="6"/>
      <c r="B171" s="21"/>
      <c r="C171" s="8"/>
      <c r="D171" s="8"/>
      <c r="E171" s="8"/>
      <c r="F171" s="8"/>
      <c r="G171" s="8"/>
      <c r="H171" s="8"/>
      <c r="I171" s="8"/>
      <c r="J171" s="8"/>
      <c r="K171" s="8"/>
      <c r="L171" s="8"/>
      <c r="M171" s="8"/>
      <c r="N171" s="8"/>
      <c r="O171" s="8"/>
      <c r="P171" s="8"/>
      <c r="Q171" s="8"/>
      <c r="R171" s="8"/>
      <c r="S171" s="8"/>
      <c r="T171" s="52"/>
      <c r="U171" s="8"/>
      <c r="V171" s="5"/>
    </row>
    <row r="172" spans="1:22" ht="15.6" x14ac:dyDescent="0.3">
      <c r="A172" s="24"/>
      <c r="B172" s="25" t="s">
        <v>61</v>
      </c>
      <c r="C172" s="25"/>
      <c r="D172" s="25"/>
      <c r="E172" s="25"/>
      <c r="F172" s="25"/>
      <c r="G172" s="25"/>
      <c r="H172" s="25"/>
      <c r="I172" s="25"/>
      <c r="J172" s="25"/>
      <c r="K172" s="25"/>
      <c r="L172" s="25"/>
      <c r="M172" s="25"/>
      <c r="N172" s="25"/>
      <c r="O172" s="25"/>
      <c r="P172" s="25"/>
      <c r="Q172" s="25"/>
      <c r="R172" s="25"/>
      <c r="S172" s="25"/>
      <c r="T172" s="53">
        <f>T69</f>
        <v>351644</v>
      </c>
      <c r="U172" s="25"/>
      <c r="V172" s="5"/>
    </row>
    <row r="173" spans="1:22" ht="15.6" x14ac:dyDescent="0.3">
      <c r="A173" s="24"/>
      <c r="B173" s="25" t="s">
        <v>62</v>
      </c>
      <c r="C173" s="25"/>
      <c r="D173" s="25"/>
      <c r="E173" s="25"/>
      <c r="F173" s="25"/>
      <c r="G173" s="25"/>
      <c r="H173" s="25"/>
      <c r="I173" s="25"/>
      <c r="J173" s="25"/>
      <c r="K173" s="25"/>
      <c r="L173" s="25"/>
      <c r="M173" s="25"/>
      <c r="N173" s="25"/>
      <c r="O173" s="25"/>
      <c r="P173" s="25"/>
      <c r="Q173" s="25"/>
      <c r="R173" s="25"/>
      <c r="S173" s="25"/>
      <c r="T173" s="53">
        <f>T82</f>
        <v>351644</v>
      </c>
      <c r="U173" s="25"/>
      <c r="V173" s="5"/>
    </row>
    <row r="174" spans="1:22" ht="16.2" thickBot="1" x14ac:dyDescent="0.35">
      <c r="A174" s="24"/>
      <c r="B174" s="25"/>
      <c r="C174" s="25"/>
      <c r="D174" s="25"/>
      <c r="E174" s="25"/>
      <c r="F174" s="25"/>
      <c r="G174" s="25"/>
      <c r="H174" s="25"/>
      <c r="I174" s="25"/>
      <c r="J174" s="25"/>
      <c r="K174" s="25"/>
      <c r="L174" s="25"/>
      <c r="M174" s="25"/>
      <c r="N174" s="25"/>
      <c r="O174" s="25"/>
      <c r="P174" s="25"/>
      <c r="Q174" s="25"/>
      <c r="R174" s="25"/>
      <c r="S174" s="25"/>
      <c r="T174" s="61"/>
      <c r="U174" s="25"/>
      <c r="V174" s="5"/>
    </row>
    <row r="175" spans="1:22" ht="15.6" x14ac:dyDescent="0.3">
      <c r="A175" s="2"/>
      <c r="B175" s="4"/>
      <c r="C175" s="4"/>
      <c r="D175" s="4"/>
      <c r="E175" s="4"/>
      <c r="F175" s="4"/>
      <c r="G175" s="4"/>
      <c r="H175" s="4"/>
      <c r="I175" s="4"/>
      <c r="J175" s="4"/>
      <c r="K175" s="4"/>
      <c r="L175" s="4"/>
      <c r="M175" s="4"/>
      <c r="N175" s="4"/>
      <c r="O175" s="4"/>
      <c r="P175" s="4"/>
      <c r="Q175" s="4"/>
      <c r="R175" s="4"/>
      <c r="S175" s="4"/>
      <c r="T175" s="50"/>
      <c r="U175" s="4"/>
      <c r="V175" s="5"/>
    </row>
    <row r="176" spans="1:22" ht="15.6" x14ac:dyDescent="0.3">
      <c r="A176" s="6"/>
      <c r="B176" s="120" t="s">
        <v>63</v>
      </c>
      <c r="C176" s="118"/>
      <c r="D176" s="118"/>
      <c r="E176" s="118"/>
      <c r="F176" s="118"/>
      <c r="G176" s="118"/>
      <c r="H176" s="121"/>
      <c r="I176" s="121"/>
      <c r="J176" s="121"/>
      <c r="K176" s="121"/>
      <c r="L176" s="121"/>
      <c r="M176" s="121"/>
      <c r="N176" s="121"/>
      <c r="O176" s="121"/>
      <c r="P176" s="121"/>
      <c r="Q176" s="121" t="s">
        <v>107</v>
      </c>
      <c r="R176" s="121" t="s">
        <v>234</v>
      </c>
      <c r="S176" s="112"/>
      <c r="T176" s="122" t="s">
        <v>123</v>
      </c>
      <c r="U176" s="10"/>
      <c r="V176" s="5"/>
    </row>
    <row r="177" spans="1:22" ht="15.6" x14ac:dyDescent="0.3">
      <c r="A177" s="24"/>
      <c r="B177" s="25" t="s">
        <v>64</v>
      </c>
      <c r="C177" s="25"/>
      <c r="D177" s="25"/>
      <c r="E177" s="25"/>
      <c r="F177" s="25"/>
      <c r="G177" s="25"/>
      <c r="H177" s="25"/>
      <c r="I177" s="25"/>
      <c r="J177" s="25"/>
      <c r="K177" s="25"/>
      <c r="L177" s="25"/>
      <c r="M177" s="25"/>
      <c r="N177" s="25"/>
      <c r="O177" s="25"/>
      <c r="P177" s="25"/>
      <c r="Q177" s="53">
        <v>112000</v>
      </c>
      <c r="R177" s="40"/>
      <c r="S177" s="25"/>
      <c r="T177" s="53"/>
      <c r="U177" s="25"/>
      <c r="V177" s="5"/>
    </row>
    <row r="178" spans="1:22" ht="15.6" x14ac:dyDescent="0.3">
      <c r="A178" s="24"/>
      <c r="B178" s="25" t="s">
        <v>65</v>
      </c>
      <c r="C178" s="25"/>
      <c r="D178" s="25"/>
      <c r="E178" s="25"/>
      <c r="F178" s="25"/>
      <c r="G178" s="25"/>
      <c r="H178" s="25"/>
      <c r="I178" s="25"/>
      <c r="J178" s="25"/>
      <c r="K178" s="25"/>
      <c r="L178" s="25"/>
      <c r="M178" s="25"/>
      <c r="N178" s="25"/>
      <c r="O178" s="25"/>
      <c r="P178" s="25"/>
      <c r="Q178" s="53">
        <f>+'July 08'!Q180</f>
        <v>41989</v>
      </c>
      <c r="R178" s="53">
        <f>+'July 08'!R180</f>
        <v>2394</v>
      </c>
      <c r="S178" s="25"/>
      <c r="T178" s="53">
        <f>Q178+R178</f>
        <v>44383</v>
      </c>
      <c r="U178" s="25"/>
      <c r="V178" s="5"/>
    </row>
    <row r="179" spans="1:22" ht="15.6" x14ac:dyDescent="0.3">
      <c r="A179" s="24"/>
      <c r="B179" s="25" t="s">
        <v>66</v>
      </c>
      <c r="C179" s="25"/>
      <c r="D179" s="25"/>
      <c r="E179" s="25"/>
      <c r="F179" s="25"/>
      <c r="G179" s="25"/>
      <c r="H179" s="25"/>
      <c r="I179" s="25"/>
      <c r="J179" s="25"/>
      <c r="K179" s="25"/>
      <c r="L179" s="25"/>
      <c r="M179" s="25"/>
      <c r="N179" s="25"/>
      <c r="O179" s="25"/>
      <c r="P179" s="25"/>
      <c r="Q179" s="34">
        <f>471+41</f>
        <v>512</v>
      </c>
      <c r="R179" s="34">
        <v>5</v>
      </c>
      <c r="S179" s="25"/>
      <c r="T179" s="53">
        <f>Q179+R179</f>
        <v>517</v>
      </c>
      <c r="U179" s="25"/>
      <c r="V179" s="5"/>
    </row>
    <row r="180" spans="1:22" ht="15.6" x14ac:dyDescent="0.3">
      <c r="A180" s="24"/>
      <c r="B180" s="25" t="s">
        <v>67</v>
      </c>
      <c r="C180" s="25"/>
      <c r="D180" s="25"/>
      <c r="E180" s="25"/>
      <c r="F180" s="25"/>
      <c r="G180" s="25"/>
      <c r="H180" s="25"/>
      <c r="I180" s="25"/>
      <c r="J180" s="25"/>
      <c r="K180" s="25"/>
      <c r="L180" s="25"/>
      <c r="M180" s="25"/>
      <c r="N180" s="25"/>
      <c r="O180" s="25"/>
      <c r="P180" s="25"/>
      <c r="Q180" s="53">
        <f>Q178+Q179</f>
        <v>42501</v>
      </c>
      <c r="R180" s="53">
        <f>R179+R178</f>
        <v>2399</v>
      </c>
      <c r="S180" s="25"/>
      <c r="T180" s="53">
        <f>Q180+R180</f>
        <v>44900</v>
      </c>
      <c r="U180" s="25"/>
      <c r="V180" s="5"/>
    </row>
    <row r="181" spans="1:22" ht="15.6" x14ac:dyDescent="0.3">
      <c r="A181" s="24"/>
      <c r="B181" s="25" t="s">
        <v>68</v>
      </c>
      <c r="C181" s="25"/>
      <c r="D181" s="25"/>
      <c r="E181" s="25"/>
      <c r="F181" s="25"/>
      <c r="G181" s="25"/>
      <c r="H181" s="25"/>
      <c r="I181" s="25"/>
      <c r="J181" s="25"/>
      <c r="K181" s="25"/>
      <c r="L181" s="25"/>
      <c r="M181" s="25"/>
      <c r="N181" s="25"/>
      <c r="O181" s="25"/>
      <c r="P181" s="25"/>
      <c r="Q181" s="53">
        <f>Q177-Q180-R180</f>
        <v>67100</v>
      </c>
      <c r="R181" s="40"/>
      <c r="S181" s="25"/>
      <c r="T181" s="53"/>
      <c r="U181" s="25"/>
      <c r="V181" s="5"/>
    </row>
    <row r="182" spans="1:22" ht="16.2" thickBot="1" x14ac:dyDescent="0.35">
      <c r="A182" s="24"/>
      <c r="B182" s="25"/>
      <c r="C182" s="25"/>
      <c r="D182" s="25"/>
      <c r="E182" s="25"/>
      <c r="F182" s="25"/>
      <c r="G182" s="25"/>
      <c r="H182" s="25"/>
      <c r="I182" s="25"/>
      <c r="J182" s="25"/>
      <c r="K182" s="25"/>
      <c r="L182" s="25"/>
      <c r="M182" s="25"/>
      <c r="N182" s="25"/>
      <c r="O182" s="25"/>
      <c r="P182" s="25"/>
      <c r="Q182" s="25"/>
      <c r="R182" s="25"/>
      <c r="S182" s="25"/>
      <c r="T182" s="61"/>
      <c r="U182" s="25"/>
      <c r="V182" s="5"/>
    </row>
    <row r="183" spans="1:22" ht="15.6" x14ac:dyDescent="0.3">
      <c r="A183" s="2"/>
      <c r="B183" s="4"/>
      <c r="C183" s="4"/>
      <c r="D183" s="4"/>
      <c r="E183" s="4"/>
      <c r="F183" s="4"/>
      <c r="G183" s="4"/>
      <c r="H183" s="4"/>
      <c r="I183" s="4"/>
      <c r="J183" s="4"/>
      <c r="K183" s="4"/>
      <c r="L183" s="4"/>
      <c r="M183" s="4"/>
      <c r="N183" s="4"/>
      <c r="O183" s="4"/>
      <c r="P183" s="4"/>
      <c r="Q183" s="4"/>
      <c r="R183" s="4"/>
      <c r="S183" s="4"/>
      <c r="T183" s="50"/>
      <c r="U183" s="4"/>
      <c r="V183" s="5"/>
    </row>
    <row r="184" spans="1:22" ht="15.6" x14ac:dyDescent="0.3">
      <c r="A184" s="6"/>
      <c r="B184" s="120" t="s">
        <v>69</v>
      </c>
      <c r="C184" s="8"/>
      <c r="D184" s="8"/>
      <c r="E184" s="8"/>
      <c r="F184" s="8"/>
      <c r="G184" s="8"/>
      <c r="H184" s="8"/>
      <c r="I184" s="8"/>
      <c r="J184" s="8"/>
      <c r="K184" s="8"/>
      <c r="L184" s="8"/>
      <c r="M184" s="8"/>
      <c r="N184" s="8"/>
      <c r="O184" s="8"/>
      <c r="P184" s="8"/>
      <c r="Q184" s="8"/>
      <c r="R184" s="8"/>
      <c r="S184" s="8"/>
      <c r="T184" s="65"/>
      <c r="U184" s="8"/>
      <c r="V184" s="5"/>
    </row>
    <row r="185" spans="1:22" ht="15.6" x14ac:dyDescent="0.3">
      <c r="A185" s="24"/>
      <c r="B185" s="25" t="s">
        <v>70</v>
      </c>
      <c r="C185" s="25"/>
      <c r="D185" s="25"/>
      <c r="E185" s="25"/>
      <c r="F185" s="25"/>
      <c r="G185" s="25"/>
      <c r="H185" s="25"/>
      <c r="I185" s="25"/>
      <c r="J185" s="25"/>
      <c r="K185" s="25"/>
      <c r="L185" s="25"/>
      <c r="M185" s="25"/>
      <c r="N185" s="25"/>
      <c r="O185" s="25"/>
      <c r="P185" s="25"/>
      <c r="Q185" s="25"/>
      <c r="R185" s="25"/>
      <c r="S185" s="25"/>
      <c r="T185" s="59">
        <f>(T98+T100+T101+T102+T103+T104)/-(T105+T106+T107)</f>
        <v>1.4315315315315316</v>
      </c>
      <c r="U185" s="25" t="s">
        <v>124</v>
      </c>
      <c r="V185" s="5"/>
    </row>
    <row r="186" spans="1:22" ht="15.6" x14ac:dyDescent="0.3">
      <c r="A186" s="24"/>
      <c r="B186" s="25" t="s">
        <v>71</v>
      </c>
      <c r="C186" s="25"/>
      <c r="D186" s="25"/>
      <c r="E186" s="25"/>
      <c r="F186" s="25"/>
      <c r="G186" s="25"/>
      <c r="H186" s="25"/>
      <c r="I186" s="25"/>
      <c r="J186" s="25"/>
      <c r="K186" s="25"/>
      <c r="L186" s="25"/>
      <c r="M186" s="25"/>
      <c r="N186" s="25"/>
      <c r="O186" s="25"/>
      <c r="P186" s="25"/>
      <c r="Q186" s="25"/>
      <c r="R186" s="25"/>
      <c r="S186" s="25"/>
      <c r="T186" s="66">
        <v>1.39</v>
      </c>
      <c r="U186" s="25" t="s">
        <v>124</v>
      </c>
      <c r="V186" s="5"/>
    </row>
    <row r="187" spans="1:22" ht="15.6" x14ac:dyDescent="0.3">
      <c r="A187" s="24"/>
      <c r="B187" s="25" t="s">
        <v>72</v>
      </c>
      <c r="C187" s="25"/>
      <c r="D187" s="25"/>
      <c r="E187" s="25"/>
      <c r="F187" s="25"/>
      <c r="G187" s="25"/>
      <c r="H187" s="25"/>
      <c r="I187" s="25"/>
      <c r="J187" s="25"/>
      <c r="K187" s="25"/>
      <c r="L187" s="25"/>
      <c r="M187" s="25"/>
      <c r="N187" s="25"/>
      <c r="O187" s="25"/>
      <c r="P187" s="25"/>
      <c r="Q187" s="25"/>
      <c r="R187" s="25"/>
      <c r="S187" s="25"/>
      <c r="T187" s="59">
        <f>(T98+T100+T101+T102+T103+T104+T105+T106+T107)/-(T108+T109)</f>
        <v>4.4871194379391097</v>
      </c>
      <c r="U187" s="25" t="s">
        <v>124</v>
      </c>
      <c r="V187" s="5"/>
    </row>
    <row r="188" spans="1:22" ht="15.6" x14ac:dyDescent="0.3">
      <c r="A188" s="24"/>
      <c r="B188" s="25" t="s">
        <v>73</v>
      </c>
      <c r="C188" s="25"/>
      <c r="D188" s="25"/>
      <c r="E188" s="25"/>
      <c r="F188" s="25"/>
      <c r="G188" s="25"/>
      <c r="H188" s="25"/>
      <c r="I188" s="25"/>
      <c r="J188" s="25"/>
      <c r="K188" s="25"/>
      <c r="L188" s="25"/>
      <c r="M188" s="25"/>
      <c r="N188" s="25"/>
      <c r="O188" s="25"/>
      <c r="P188" s="25"/>
      <c r="Q188" s="25"/>
      <c r="R188" s="25"/>
      <c r="S188" s="25"/>
      <c r="T188" s="67">
        <v>6.62</v>
      </c>
      <c r="U188" s="25" t="s">
        <v>124</v>
      </c>
      <c r="V188" s="5"/>
    </row>
    <row r="189" spans="1:22" ht="15.6" x14ac:dyDescent="0.3">
      <c r="A189" s="24"/>
      <c r="B189" s="25" t="s">
        <v>243</v>
      </c>
      <c r="C189" s="25"/>
      <c r="D189" s="25"/>
      <c r="E189" s="25"/>
      <c r="F189" s="25"/>
      <c r="G189" s="25"/>
      <c r="H189" s="25"/>
      <c r="I189" s="25"/>
      <c r="J189" s="25"/>
      <c r="K189" s="25"/>
      <c r="L189" s="25"/>
      <c r="M189" s="25"/>
      <c r="N189" s="25"/>
      <c r="O189" s="25"/>
      <c r="P189" s="25"/>
      <c r="Q189" s="25"/>
      <c r="R189" s="25"/>
      <c r="S189" s="25"/>
      <c r="T189" s="59">
        <f>(T98+T100+T101+T102+T103+T104+T105+T106+T107+T108+T109)/-(T110+T111)</f>
        <v>1.8919949174078781</v>
      </c>
      <c r="U189" s="25" t="s">
        <v>124</v>
      </c>
      <c r="V189" s="5"/>
    </row>
    <row r="190" spans="1:22" ht="15.6" x14ac:dyDescent="0.3">
      <c r="A190" s="24"/>
      <c r="B190" s="25" t="s">
        <v>244</v>
      </c>
      <c r="C190" s="25"/>
      <c r="D190" s="25"/>
      <c r="E190" s="25"/>
      <c r="F190" s="25"/>
      <c r="G190" s="25"/>
      <c r="H190" s="25"/>
      <c r="I190" s="25"/>
      <c r="J190" s="25"/>
      <c r="K190" s="25"/>
      <c r="L190" s="25"/>
      <c r="M190" s="25"/>
      <c r="N190" s="25"/>
      <c r="O190" s="25"/>
      <c r="P190" s="25"/>
      <c r="Q190" s="25"/>
      <c r="R190" s="25"/>
      <c r="S190" s="25"/>
      <c r="T190" s="67">
        <v>3.04</v>
      </c>
      <c r="U190" s="25" t="s">
        <v>124</v>
      </c>
      <c r="V190" s="5"/>
    </row>
    <row r="191" spans="1:22"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5"/>
    </row>
    <row r="193" spans="1:22" ht="15.6" x14ac:dyDescent="0.3">
      <c r="A193" s="6"/>
      <c r="B193" s="8"/>
      <c r="C193" s="8"/>
      <c r="D193" s="8"/>
      <c r="E193" s="8"/>
      <c r="F193" s="8"/>
      <c r="G193" s="8"/>
      <c r="H193" s="8"/>
      <c r="I193" s="8"/>
      <c r="J193" s="8"/>
      <c r="K193" s="8"/>
      <c r="L193" s="8"/>
      <c r="M193" s="8"/>
      <c r="N193" s="8"/>
      <c r="O193" s="8"/>
      <c r="P193" s="8"/>
      <c r="Q193" s="8"/>
      <c r="R193" s="8"/>
      <c r="S193" s="8"/>
      <c r="T193" s="8"/>
      <c r="U193" s="8"/>
      <c r="V193" s="5"/>
    </row>
    <row r="194" spans="1:22" ht="18" thickBot="1" x14ac:dyDescent="0.35">
      <c r="A194" s="102"/>
      <c r="B194" s="103" t="str">
        <f>B134</f>
        <v>PM9 INVESTOR REPORT QUARTER ENDING OCTOBER 2008</v>
      </c>
      <c r="C194" s="162"/>
      <c r="D194" s="162"/>
      <c r="E194" s="162"/>
      <c r="F194" s="162"/>
      <c r="G194" s="162"/>
      <c r="H194" s="162"/>
      <c r="I194" s="162"/>
      <c r="J194" s="162"/>
      <c r="K194" s="162"/>
      <c r="L194" s="162"/>
      <c r="M194" s="162"/>
      <c r="N194" s="162"/>
      <c r="O194" s="162"/>
      <c r="P194" s="162"/>
      <c r="Q194" s="162"/>
      <c r="R194" s="162"/>
      <c r="S194" s="162"/>
      <c r="T194" s="162"/>
      <c r="U194" s="163"/>
      <c r="V194" s="5"/>
    </row>
    <row r="195" spans="1:22" ht="15.6" x14ac:dyDescent="0.3">
      <c r="A195" s="68"/>
      <c r="B195" s="60" t="s">
        <v>74</v>
      </c>
      <c r="C195" s="69"/>
      <c r="D195" s="69"/>
      <c r="E195" s="69"/>
      <c r="F195" s="69"/>
      <c r="G195" s="70"/>
      <c r="H195" s="70"/>
      <c r="I195" s="70"/>
      <c r="J195" s="70"/>
      <c r="K195" s="70"/>
      <c r="L195" s="70"/>
      <c r="M195" s="70"/>
      <c r="N195" s="70"/>
      <c r="O195" s="70"/>
      <c r="P195" s="70"/>
      <c r="Q195" s="70"/>
      <c r="R195" s="71">
        <v>39752</v>
      </c>
      <c r="S195" s="4"/>
      <c r="T195" s="4"/>
      <c r="U195" s="4"/>
      <c r="V195" s="5"/>
    </row>
    <row r="196" spans="1:22" ht="15.6" x14ac:dyDescent="0.3">
      <c r="A196" s="72"/>
      <c r="B196" s="73"/>
      <c r="C196" s="74"/>
      <c r="D196" s="74"/>
      <c r="E196" s="74"/>
      <c r="F196" s="74"/>
      <c r="G196" s="75"/>
      <c r="H196" s="75"/>
      <c r="I196" s="75"/>
      <c r="J196" s="75"/>
      <c r="K196" s="75"/>
      <c r="L196" s="75"/>
      <c r="M196" s="75"/>
      <c r="N196" s="75"/>
      <c r="O196" s="75"/>
      <c r="P196" s="75"/>
      <c r="Q196" s="75"/>
      <c r="R196" s="75"/>
      <c r="S196" s="8"/>
      <c r="T196" s="8"/>
      <c r="U196" s="8"/>
      <c r="V196" s="5"/>
    </row>
    <row r="197" spans="1:22" ht="15.6" x14ac:dyDescent="0.3">
      <c r="A197" s="76"/>
      <c r="B197" s="77" t="s">
        <v>75</v>
      </c>
      <c r="C197" s="78"/>
      <c r="D197" s="78"/>
      <c r="E197" s="78"/>
      <c r="F197" s="78"/>
      <c r="G197" s="64"/>
      <c r="H197" s="64"/>
      <c r="I197" s="64"/>
      <c r="J197" s="64"/>
      <c r="K197" s="64"/>
      <c r="L197" s="64"/>
      <c r="M197" s="64"/>
      <c r="N197" s="64"/>
      <c r="O197" s="64"/>
      <c r="P197" s="64"/>
      <c r="Q197" s="64"/>
      <c r="R197" s="79">
        <v>5.8209999999999998E-2</v>
      </c>
      <c r="S197" s="25"/>
      <c r="T197" s="25"/>
      <c r="U197" s="25"/>
      <c r="V197" s="5"/>
    </row>
    <row r="198" spans="1:22" ht="15.6" x14ac:dyDescent="0.3">
      <c r="A198" s="76"/>
      <c r="B198" s="77" t="s">
        <v>164</v>
      </c>
      <c r="C198" s="78"/>
      <c r="D198" s="78"/>
      <c r="E198" s="78"/>
      <c r="F198" s="78"/>
      <c r="G198" s="64"/>
      <c r="H198" s="64"/>
      <c r="I198" s="64"/>
      <c r="J198" s="64"/>
      <c r="K198" s="64"/>
      <c r="L198" s="64"/>
      <c r="M198" s="64"/>
      <c r="N198" s="64"/>
      <c r="O198" s="64"/>
      <c r="P198" s="64"/>
      <c r="Q198" s="64"/>
      <c r="R198" s="39">
        <f>'Oct 05'!R193</f>
        <v>4.8438496428571419E-2</v>
      </c>
      <c r="S198" s="25"/>
      <c r="T198" s="25"/>
      <c r="U198" s="25"/>
      <c r="V198" s="5"/>
    </row>
    <row r="199" spans="1:22" ht="15.6" x14ac:dyDescent="0.3">
      <c r="A199" s="76"/>
      <c r="B199" s="77" t="s">
        <v>76</v>
      </c>
      <c r="C199" s="78"/>
      <c r="D199" s="78"/>
      <c r="E199" s="78"/>
      <c r="F199" s="78"/>
      <c r="G199" s="64"/>
      <c r="H199" s="64"/>
      <c r="I199" s="64"/>
      <c r="J199" s="64"/>
      <c r="K199" s="64"/>
      <c r="L199" s="64"/>
      <c r="M199" s="64"/>
      <c r="N199" s="64"/>
      <c r="O199" s="64"/>
      <c r="P199" s="64"/>
      <c r="Q199" s="64"/>
      <c r="R199" s="79">
        <f>R197-R198</f>
        <v>9.7715035714285789E-3</v>
      </c>
      <c r="S199" s="25"/>
      <c r="T199" s="25"/>
      <c r="U199" s="25"/>
      <c r="V199" s="5"/>
    </row>
    <row r="200" spans="1:22" ht="15.6" x14ac:dyDescent="0.3">
      <c r="A200" s="76"/>
      <c r="B200" s="77" t="s">
        <v>77</v>
      </c>
      <c r="C200" s="78"/>
      <c r="D200" s="78"/>
      <c r="E200" s="78"/>
      <c r="F200" s="78"/>
      <c r="G200" s="64"/>
      <c r="H200" s="64"/>
      <c r="I200" s="64"/>
      <c r="J200" s="64"/>
      <c r="K200" s="64"/>
      <c r="L200" s="64"/>
      <c r="M200" s="64"/>
      <c r="N200" s="64"/>
      <c r="O200" s="64"/>
      <c r="P200" s="64"/>
      <c r="Q200" s="64"/>
      <c r="R200" s="79">
        <v>6.7960000000000007E-2</v>
      </c>
      <c r="S200" s="25"/>
      <c r="T200" s="25"/>
      <c r="U200" s="25"/>
      <c r="V200" s="5"/>
    </row>
    <row r="201" spans="1:22" ht="15.6" x14ac:dyDescent="0.3">
      <c r="A201" s="76"/>
      <c r="B201" s="77" t="s">
        <v>257</v>
      </c>
      <c r="C201" s="78"/>
      <c r="D201" s="78"/>
      <c r="E201" s="78"/>
      <c r="F201" s="78"/>
      <c r="G201" s="64"/>
      <c r="H201" s="64"/>
      <c r="I201" s="64"/>
      <c r="J201" s="64"/>
      <c r="K201" s="64"/>
      <c r="L201" s="64"/>
      <c r="M201" s="64"/>
      <c r="N201" s="64"/>
      <c r="O201" s="64"/>
      <c r="P201" s="64"/>
      <c r="Q201" s="64"/>
      <c r="R201" s="79">
        <f>+T41</f>
        <v>6.0062082919793619E-2</v>
      </c>
      <c r="S201" s="25"/>
      <c r="T201" s="25"/>
      <c r="U201" s="25"/>
      <c r="V201" s="5"/>
    </row>
    <row r="202" spans="1:22" ht="15.6" x14ac:dyDescent="0.3">
      <c r="A202" s="76"/>
      <c r="B202" s="77" t="s">
        <v>78</v>
      </c>
      <c r="C202" s="78"/>
      <c r="D202" s="78"/>
      <c r="E202" s="78"/>
      <c r="F202" s="78"/>
      <c r="G202" s="64"/>
      <c r="H202" s="64"/>
      <c r="I202" s="64"/>
      <c r="J202" s="64"/>
      <c r="K202" s="64"/>
      <c r="L202" s="64"/>
      <c r="M202" s="64"/>
      <c r="N202" s="64"/>
      <c r="O202" s="64"/>
      <c r="P202" s="64"/>
      <c r="Q202" s="64"/>
      <c r="R202" s="79">
        <f>R200-R201</f>
        <v>7.8979170802063875E-3</v>
      </c>
      <c r="S202" s="25"/>
      <c r="T202" s="25"/>
      <c r="U202" s="25"/>
      <c r="V202" s="5"/>
    </row>
    <row r="203" spans="1:22" ht="15.6" x14ac:dyDescent="0.3">
      <c r="A203" s="76"/>
      <c r="B203" s="77" t="s">
        <v>268</v>
      </c>
      <c r="C203" s="78"/>
      <c r="D203" s="78"/>
      <c r="E203" s="78"/>
      <c r="F203" s="78"/>
      <c r="G203" s="64"/>
      <c r="H203" s="64"/>
      <c r="I203" s="64"/>
      <c r="J203" s="64"/>
      <c r="K203" s="64"/>
      <c r="L203" s="64"/>
      <c r="M203" s="64"/>
      <c r="N203" s="64"/>
      <c r="O203" s="64"/>
      <c r="P203" s="64"/>
      <c r="Q203" s="64"/>
      <c r="R203" s="79">
        <f>+T98/L69</f>
        <v>1.7973507542307504E-2</v>
      </c>
      <c r="S203" s="25"/>
      <c r="T203" s="25"/>
      <c r="U203" s="25"/>
      <c r="V203" s="5"/>
    </row>
    <row r="204" spans="1:22" ht="15.6" x14ac:dyDescent="0.3">
      <c r="A204" s="76"/>
      <c r="B204" s="77" t="s">
        <v>249</v>
      </c>
      <c r="C204" s="78"/>
      <c r="D204" s="78"/>
      <c r="E204" s="78"/>
      <c r="F204" s="78"/>
      <c r="G204" s="64"/>
      <c r="H204" s="64"/>
      <c r="I204" s="64"/>
      <c r="J204" s="64"/>
      <c r="K204" s="64"/>
      <c r="L204" s="64"/>
      <c r="M204" s="64"/>
      <c r="N204" s="64"/>
      <c r="O204" s="64"/>
      <c r="P204" s="64"/>
      <c r="Q204" s="64"/>
      <c r="R204" s="132">
        <v>51622</v>
      </c>
      <c r="S204" s="25"/>
      <c r="T204" s="25"/>
      <c r="U204" s="25"/>
      <c r="V204" s="5"/>
    </row>
    <row r="205" spans="1:22" ht="15.6" x14ac:dyDescent="0.3">
      <c r="A205" s="76"/>
      <c r="B205" s="77" t="s">
        <v>250</v>
      </c>
      <c r="C205" s="78"/>
      <c r="D205" s="78"/>
      <c r="E205" s="78"/>
      <c r="F205" s="78"/>
      <c r="G205" s="64"/>
      <c r="H205" s="64"/>
      <c r="I205" s="64"/>
      <c r="J205" s="64"/>
      <c r="K205" s="64"/>
      <c r="L205" s="64"/>
      <c r="M205" s="64"/>
      <c r="N205" s="64"/>
      <c r="O205" s="64"/>
      <c r="P205" s="64"/>
      <c r="Q205" s="64"/>
      <c r="R205" s="132">
        <v>51622</v>
      </c>
      <c r="S205" s="25"/>
      <c r="T205" s="25"/>
      <c r="U205" s="25"/>
      <c r="V205" s="5"/>
    </row>
    <row r="206" spans="1:22" ht="15.6" x14ac:dyDescent="0.3">
      <c r="A206" s="76"/>
      <c r="B206" s="77" t="s">
        <v>251</v>
      </c>
      <c r="C206" s="78"/>
      <c r="D206" s="78"/>
      <c r="E206" s="78"/>
      <c r="F206" s="78"/>
      <c r="G206" s="64"/>
      <c r="H206" s="64"/>
      <c r="I206" s="64"/>
      <c r="J206" s="64"/>
      <c r="K206" s="64"/>
      <c r="L206" s="64"/>
      <c r="M206" s="64"/>
      <c r="N206" s="64"/>
      <c r="O206" s="64"/>
      <c r="P206" s="64"/>
      <c r="Q206" s="64"/>
      <c r="R206" s="132">
        <v>51622</v>
      </c>
      <c r="S206" s="25"/>
      <c r="T206" s="25"/>
      <c r="U206" s="25"/>
      <c r="V206" s="5"/>
    </row>
    <row r="207" spans="1:22" ht="15.6" x14ac:dyDescent="0.3">
      <c r="A207" s="76"/>
      <c r="B207" s="77" t="s">
        <v>79</v>
      </c>
      <c r="C207" s="78"/>
      <c r="D207" s="78"/>
      <c r="E207" s="78"/>
      <c r="F207" s="78"/>
      <c r="G207" s="64"/>
      <c r="H207" s="64"/>
      <c r="I207" s="64"/>
      <c r="J207" s="64"/>
      <c r="K207" s="64"/>
      <c r="L207" s="64"/>
      <c r="M207" s="64"/>
      <c r="N207" s="64"/>
      <c r="O207" s="64"/>
      <c r="P207" s="64"/>
      <c r="Q207" s="64"/>
      <c r="R207" s="136">
        <v>20.95</v>
      </c>
      <c r="S207" s="25" t="s">
        <v>119</v>
      </c>
      <c r="T207" s="25"/>
      <c r="U207" s="25"/>
      <c r="V207" s="5"/>
    </row>
    <row r="208" spans="1:22" ht="15.6" x14ac:dyDescent="0.3">
      <c r="A208" s="76"/>
      <c r="B208" s="77" t="s">
        <v>80</v>
      </c>
      <c r="C208" s="78"/>
      <c r="D208" s="78"/>
      <c r="E208" s="78"/>
      <c r="F208" s="78"/>
      <c r="G208" s="64"/>
      <c r="H208" s="64"/>
      <c r="I208" s="64"/>
      <c r="J208" s="64"/>
      <c r="K208" s="64"/>
      <c r="L208" s="64"/>
      <c r="M208" s="64"/>
      <c r="N208" s="64"/>
      <c r="O208" s="64"/>
      <c r="P208" s="64"/>
      <c r="Q208" s="64"/>
      <c r="R208" s="136">
        <v>17.73</v>
      </c>
      <c r="S208" s="25" t="s">
        <v>119</v>
      </c>
      <c r="T208" s="25"/>
      <c r="U208" s="25"/>
      <c r="V208" s="5"/>
    </row>
    <row r="209" spans="1:22" ht="15.6" x14ac:dyDescent="0.3">
      <c r="A209" s="76"/>
      <c r="B209" s="77" t="s">
        <v>81</v>
      </c>
      <c r="C209" s="78"/>
      <c r="D209" s="78"/>
      <c r="E209" s="78"/>
      <c r="F209" s="78"/>
      <c r="G209" s="64"/>
      <c r="H209" s="64"/>
      <c r="I209" s="64"/>
      <c r="J209" s="64"/>
      <c r="K209" s="64"/>
      <c r="L209" s="64"/>
      <c r="M209" s="64"/>
      <c r="N209" s="64"/>
      <c r="O209" s="64"/>
      <c r="P209" s="64"/>
      <c r="Q209" s="64"/>
      <c r="R209" s="79">
        <f>+N66/L66</f>
        <v>3.9566337836285145E-2</v>
      </c>
      <c r="S209" s="25"/>
      <c r="T209" s="25"/>
      <c r="U209" s="25"/>
      <c r="V209" s="5"/>
    </row>
    <row r="210" spans="1:22" ht="15.6" x14ac:dyDescent="0.3">
      <c r="A210" s="76"/>
      <c r="B210" s="77" t="s">
        <v>82</v>
      </c>
      <c r="C210" s="78"/>
      <c r="D210" s="78"/>
      <c r="E210" s="78"/>
      <c r="F210" s="78"/>
      <c r="G210" s="64"/>
      <c r="H210" s="64"/>
      <c r="I210" s="64"/>
      <c r="J210" s="64"/>
      <c r="K210" s="64"/>
      <c r="L210" s="64"/>
      <c r="M210" s="64"/>
      <c r="N210" s="64"/>
      <c r="O210" s="64"/>
      <c r="P210" s="64"/>
      <c r="Q210" s="64"/>
      <c r="R210" s="79">
        <v>0.20860000000000001</v>
      </c>
      <c r="S210" s="25"/>
      <c r="T210" s="25"/>
      <c r="U210" s="25"/>
      <c r="V210" s="5"/>
    </row>
    <row r="211" spans="1:22" ht="15.6" x14ac:dyDescent="0.3">
      <c r="A211" s="76"/>
      <c r="B211" s="77"/>
      <c r="C211" s="77"/>
      <c r="D211" s="77"/>
      <c r="E211" s="77"/>
      <c r="F211" s="77"/>
      <c r="G211" s="25"/>
      <c r="H211" s="25"/>
      <c r="I211" s="25"/>
      <c r="J211" s="25"/>
      <c r="K211" s="25"/>
      <c r="L211" s="25"/>
      <c r="M211" s="25"/>
      <c r="N211" s="25"/>
      <c r="O211" s="25"/>
      <c r="P211" s="25"/>
      <c r="Q211" s="25"/>
      <c r="R211" s="61"/>
      <c r="S211" s="25"/>
      <c r="T211" s="80"/>
      <c r="U211" s="25"/>
      <c r="V211" s="5"/>
    </row>
    <row r="212" spans="1:22" ht="15.6" x14ac:dyDescent="0.3">
      <c r="A212" s="81"/>
      <c r="B212" s="14" t="s">
        <v>83</v>
      </c>
      <c r="C212" s="82"/>
      <c r="D212" s="82"/>
      <c r="E212" s="82"/>
      <c r="F212" s="83"/>
      <c r="G212" s="82"/>
      <c r="H212" s="17"/>
      <c r="I212" s="17"/>
      <c r="J212" s="17"/>
      <c r="K212" s="17"/>
      <c r="L212" s="17"/>
      <c r="M212" s="17"/>
      <c r="N212" s="17"/>
      <c r="O212" s="17"/>
      <c r="P212" s="17"/>
      <c r="Q212" s="17" t="s">
        <v>108</v>
      </c>
      <c r="R212" s="84" t="s">
        <v>115</v>
      </c>
      <c r="S212" s="8"/>
      <c r="T212" s="8"/>
      <c r="U212" s="8"/>
      <c r="V212" s="5"/>
    </row>
    <row r="213" spans="1:22" ht="15.6" x14ac:dyDescent="0.3">
      <c r="A213" s="85"/>
      <c r="B213" s="77" t="s">
        <v>84</v>
      </c>
      <c r="C213" s="54"/>
      <c r="D213" s="54"/>
      <c r="E213" s="54"/>
      <c r="F213" s="25"/>
      <c r="G213" s="25"/>
      <c r="H213" s="30"/>
      <c r="I213" s="30"/>
      <c r="J213" s="30"/>
      <c r="K213" s="30"/>
      <c r="L213" s="30"/>
      <c r="M213" s="30"/>
      <c r="N213" s="30"/>
      <c r="O213" s="30"/>
      <c r="P213" s="30"/>
      <c r="Q213" s="30">
        <v>0</v>
      </c>
      <c r="R213" s="86">
        <v>0</v>
      </c>
      <c r="S213" s="25"/>
      <c r="T213" s="80"/>
      <c r="U213" s="87"/>
      <c r="V213" s="5"/>
    </row>
    <row r="214" spans="1:22" ht="15.6" x14ac:dyDescent="0.3">
      <c r="A214" s="85"/>
      <c r="B214" s="77" t="s">
        <v>156</v>
      </c>
      <c r="C214" s="54"/>
      <c r="D214" s="54"/>
      <c r="E214" s="54"/>
      <c r="F214" s="25"/>
      <c r="G214" s="25"/>
      <c r="H214" s="30"/>
      <c r="I214" s="30"/>
      <c r="J214" s="30"/>
      <c r="K214" s="30"/>
      <c r="L214" s="30"/>
      <c r="M214" s="30"/>
      <c r="N214" s="30"/>
      <c r="O214" s="30"/>
      <c r="P214" s="30"/>
      <c r="Q214" s="156">
        <f>+P253</f>
        <v>70</v>
      </c>
      <c r="R214" s="86">
        <f>+R253</f>
        <v>9576</v>
      </c>
      <c r="S214" s="25"/>
      <c r="T214" s="80"/>
      <c r="U214" s="87"/>
      <c r="V214" s="5"/>
    </row>
    <row r="215" spans="1:22" ht="15.6" x14ac:dyDescent="0.3">
      <c r="A215" s="85"/>
      <c r="B215" s="77" t="s">
        <v>85</v>
      </c>
      <c r="C215" s="54"/>
      <c r="D215" s="54"/>
      <c r="E215" s="54"/>
      <c r="F215" s="25"/>
      <c r="G215" s="25"/>
      <c r="H215" s="30"/>
      <c r="I215" s="30"/>
      <c r="J215" s="30"/>
      <c r="K215" s="30"/>
      <c r="L215" s="30"/>
      <c r="M215" s="30"/>
      <c r="N215" s="30"/>
      <c r="O215" s="30"/>
      <c r="P215" s="30"/>
      <c r="Q215" s="30">
        <v>0</v>
      </c>
      <c r="R215" s="86">
        <v>0</v>
      </c>
      <c r="S215" s="25"/>
      <c r="T215" s="80"/>
      <c r="U215" s="87"/>
      <c r="V215" s="5"/>
    </row>
    <row r="216" spans="1:22" ht="15.6" x14ac:dyDescent="0.3">
      <c r="A216" s="85"/>
      <c r="B216" s="123" t="s">
        <v>86</v>
      </c>
      <c r="C216" s="54"/>
      <c r="D216" s="54"/>
      <c r="E216" s="54"/>
      <c r="F216" s="25"/>
      <c r="G216" s="25"/>
      <c r="H216" s="25"/>
      <c r="I216" s="25"/>
      <c r="J216" s="25"/>
      <c r="K216" s="25"/>
      <c r="L216" s="25"/>
      <c r="M216" s="25"/>
      <c r="N216" s="25"/>
      <c r="O216" s="25"/>
      <c r="P216" s="25"/>
      <c r="Q216" s="25"/>
      <c r="R216" s="86">
        <v>0</v>
      </c>
      <c r="S216" s="25"/>
      <c r="T216" s="80"/>
      <c r="U216" s="87"/>
      <c r="V216" s="5"/>
    </row>
    <row r="217" spans="1:22" ht="15.6" x14ac:dyDescent="0.3">
      <c r="A217" s="85"/>
      <c r="B217" s="123" t="s">
        <v>87</v>
      </c>
      <c r="C217" s="54"/>
      <c r="D217" s="54"/>
      <c r="E217" s="54"/>
      <c r="F217" s="25"/>
      <c r="G217" s="25"/>
      <c r="H217" s="25"/>
      <c r="I217" s="25"/>
      <c r="J217" s="25"/>
      <c r="K217" s="25"/>
      <c r="L217" s="25"/>
      <c r="M217" s="25"/>
      <c r="N217" s="25"/>
      <c r="O217" s="25"/>
      <c r="P217" s="25"/>
      <c r="Q217" s="25"/>
      <c r="R217" s="62" t="s">
        <v>116</v>
      </c>
      <c r="S217" s="25"/>
      <c r="T217" s="80"/>
      <c r="U217" s="87"/>
      <c r="V217" s="5"/>
    </row>
    <row r="218" spans="1:22" ht="15.6" x14ac:dyDescent="0.3">
      <c r="A218" s="88"/>
      <c r="B218" s="123" t="s">
        <v>88</v>
      </c>
      <c r="C218" s="77"/>
      <c r="D218" s="77"/>
      <c r="E218" s="77"/>
      <c r="F218" s="77"/>
      <c r="G218" s="25"/>
      <c r="H218" s="25"/>
      <c r="I218" s="25"/>
      <c r="J218" s="25"/>
      <c r="K218" s="25"/>
      <c r="L218" s="25"/>
      <c r="M218" s="25"/>
      <c r="N218" s="25"/>
      <c r="O218" s="25"/>
      <c r="P218" s="25"/>
      <c r="Q218" s="25"/>
      <c r="R218" s="86"/>
      <c r="S218" s="25"/>
      <c r="T218" s="80"/>
      <c r="U218" s="89"/>
      <c r="V218" s="5"/>
    </row>
    <row r="219" spans="1:22" ht="15.6" x14ac:dyDescent="0.3">
      <c r="A219" s="88"/>
      <c r="B219" s="134" t="s">
        <v>89</v>
      </c>
      <c r="C219" s="77"/>
      <c r="D219" s="77"/>
      <c r="E219" s="77"/>
      <c r="F219" s="77"/>
      <c r="G219" s="25"/>
      <c r="H219" s="25"/>
      <c r="I219" s="25"/>
      <c r="J219" s="25"/>
      <c r="K219" s="25"/>
      <c r="L219" s="25"/>
      <c r="M219" s="25"/>
      <c r="N219" s="25"/>
      <c r="O219" s="25"/>
      <c r="P219" s="25"/>
      <c r="Q219" s="30"/>
      <c r="R219" s="86">
        <f>T164</f>
        <v>133</v>
      </c>
      <c r="S219" s="25"/>
      <c r="T219" s="80"/>
      <c r="U219" s="89"/>
      <c r="V219" s="5"/>
    </row>
    <row r="220" spans="1:22" ht="15.6" x14ac:dyDescent="0.3">
      <c r="A220" s="85"/>
      <c r="B220" s="77" t="s">
        <v>90</v>
      </c>
      <c r="C220" s="54"/>
      <c r="D220" s="54"/>
      <c r="E220" s="54"/>
      <c r="F220" s="54"/>
      <c r="G220" s="25"/>
      <c r="H220" s="25"/>
      <c r="I220" s="25"/>
      <c r="J220" s="25"/>
      <c r="K220" s="25"/>
      <c r="L220" s="25"/>
      <c r="M220" s="25"/>
      <c r="N220" s="25"/>
      <c r="O220" s="25"/>
      <c r="P220" s="25"/>
      <c r="Q220" s="30"/>
      <c r="R220" s="86">
        <f>'July 08'!R220+'Oct 08'!R219</f>
        <v>505</v>
      </c>
      <c r="S220" s="25"/>
      <c r="T220" s="80"/>
      <c r="U220" s="89"/>
      <c r="V220" s="5"/>
    </row>
    <row r="221" spans="1:22" ht="15.6" x14ac:dyDescent="0.3">
      <c r="A221" s="88"/>
      <c r="B221" s="123" t="s">
        <v>288</v>
      </c>
      <c r="C221" s="77"/>
      <c r="D221" s="77"/>
      <c r="E221" s="77"/>
      <c r="F221" s="77"/>
      <c r="G221" s="25"/>
      <c r="H221" s="25"/>
      <c r="I221" s="25"/>
      <c r="J221" s="25"/>
      <c r="K221" s="25"/>
      <c r="L221" s="25"/>
      <c r="M221" s="25"/>
      <c r="N221" s="25"/>
      <c r="O221" s="25"/>
      <c r="P221" s="25"/>
      <c r="Q221" s="30"/>
      <c r="R221" s="86"/>
      <c r="S221" s="25"/>
      <c r="T221" s="80"/>
      <c r="U221" s="89"/>
      <c r="V221" s="5"/>
    </row>
    <row r="222" spans="1:22" ht="15.6" x14ac:dyDescent="0.3">
      <c r="A222" s="88"/>
      <c r="B222" s="77" t="s">
        <v>286</v>
      </c>
      <c r="C222" s="77"/>
      <c r="D222" s="77"/>
      <c r="E222" s="77"/>
      <c r="F222" s="77"/>
      <c r="G222" s="25"/>
      <c r="H222" s="25"/>
      <c r="I222" s="25"/>
      <c r="J222" s="25"/>
      <c r="K222" s="25"/>
      <c r="L222" s="25"/>
      <c r="M222" s="25"/>
      <c r="N222" s="25"/>
      <c r="O222" s="25"/>
      <c r="P222" s="25"/>
      <c r="Q222" s="30">
        <v>0</v>
      </c>
      <c r="R222" s="86">
        <v>0</v>
      </c>
      <c r="S222" s="25"/>
      <c r="T222" s="80"/>
      <c r="U222" s="89"/>
      <c r="V222" s="5"/>
    </row>
    <row r="223" spans="1:22" ht="15.6" x14ac:dyDescent="0.3">
      <c r="A223" s="85"/>
      <c r="B223" s="77" t="s">
        <v>92</v>
      </c>
      <c r="C223" s="90"/>
      <c r="D223" s="90"/>
      <c r="E223" s="90"/>
      <c r="F223" s="91"/>
      <c r="G223" s="25"/>
      <c r="H223" s="25"/>
      <c r="I223" s="25"/>
      <c r="J223" s="25"/>
      <c r="K223" s="25"/>
      <c r="L223" s="25"/>
      <c r="M223" s="25"/>
      <c r="N223" s="25"/>
      <c r="O223" s="25"/>
      <c r="P223" s="25"/>
      <c r="Q223" s="30"/>
      <c r="R223" s="62">
        <v>0</v>
      </c>
      <c r="S223" s="25"/>
      <c r="T223" s="80"/>
      <c r="U223" s="89"/>
      <c r="V223" s="5"/>
    </row>
    <row r="224" spans="1:22" ht="15.6" x14ac:dyDescent="0.3">
      <c r="A224" s="85"/>
      <c r="B224" s="77" t="s">
        <v>93</v>
      </c>
      <c r="C224" s="90"/>
      <c r="D224" s="90"/>
      <c r="E224" s="90"/>
      <c r="F224" s="91"/>
      <c r="G224" s="25"/>
      <c r="H224" s="25"/>
      <c r="I224" s="25"/>
      <c r="J224" s="25"/>
      <c r="K224" s="25"/>
      <c r="L224" s="25"/>
      <c r="M224" s="25"/>
      <c r="N224" s="25"/>
      <c r="O224" s="25"/>
      <c r="P224" s="25"/>
      <c r="Q224" s="30"/>
      <c r="R224" s="62">
        <v>0</v>
      </c>
      <c r="S224" s="25"/>
      <c r="T224" s="80"/>
      <c r="U224" s="89"/>
      <c r="V224" s="5"/>
    </row>
    <row r="225" spans="1:23" ht="15.6" x14ac:dyDescent="0.3">
      <c r="A225" s="85"/>
      <c r="B225" s="123" t="s">
        <v>258</v>
      </c>
      <c r="C225" s="90"/>
      <c r="D225" s="90"/>
      <c r="E225" s="90"/>
      <c r="F225" s="91"/>
      <c r="G225" s="25"/>
      <c r="H225" s="25"/>
      <c r="I225" s="25"/>
      <c r="J225" s="25"/>
      <c r="K225" s="25"/>
      <c r="L225" s="25"/>
      <c r="M225" s="25"/>
      <c r="N225" s="25"/>
      <c r="O225" s="25"/>
      <c r="P225" s="25"/>
      <c r="Q225" s="30"/>
      <c r="R225" s="92"/>
      <c r="S225" s="25"/>
      <c r="T225" s="80"/>
      <c r="U225" s="89"/>
      <c r="V225" s="5"/>
    </row>
    <row r="226" spans="1:23" ht="15.6" x14ac:dyDescent="0.3">
      <c r="A226" s="85"/>
      <c r="B226" s="77" t="s">
        <v>286</v>
      </c>
      <c r="C226" s="90"/>
      <c r="D226" s="90"/>
      <c r="E226" s="90"/>
      <c r="F226" s="91"/>
      <c r="G226" s="25"/>
      <c r="H226" s="25"/>
      <c r="I226" s="25"/>
      <c r="J226" s="25"/>
      <c r="K226" s="25"/>
      <c r="L226" s="25"/>
      <c r="M226" s="25"/>
      <c r="N226" s="25"/>
      <c r="O226" s="25"/>
      <c r="P226" s="25"/>
      <c r="Q226" s="30">
        <v>4</v>
      </c>
      <c r="R226" s="86">
        <v>425</v>
      </c>
      <c r="S226" s="25"/>
      <c r="T226" s="80"/>
      <c r="U226" s="89"/>
      <c r="V226" s="5"/>
    </row>
    <row r="227" spans="1:23" ht="15.6" x14ac:dyDescent="0.3">
      <c r="A227" s="85"/>
      <c r="B227" s="77" t="s">
        <v>259</v>
      </c>
      <c r="C227" s="90"/>
      <c r="D227" s="90"/>
      <c r="E227" s="90"/>
      <c r="F227" s="91"/>
      <c r="G227" s="25"/>
      <c r="H227" s="25"/>
      <c r="I227" s="25"/>
      <c r="J227" s="25"/>
      <c r="K227" s="25"/>
      <c r="L227" s="25"/>
      <c r="M227" s="25"/>
      <c r="N227" s="25"/>
      <c r="O227" s="25"/>
      <c r="P227" s="25"/>
      <c r="Q227" s="25"/>
      <c r="R227" s="62">
        <v>13.42</v>
      </c>
      <c r="S227" s="25"/>
      <c r="T227" s="80"/>
      <c r="U227" s="89"/>
      <c r="V227" s="5"/>
    </row>
    <row r="228" spans="1:23" ht="15.6" x14ac:dyDescent="0.3">
      <c r="A228" s="85"/>
      <c r="B228" s="77"/>
      <c r="C228" s="90"/>
      <c r="D228" s="90"/>
      <c r="E228" s="90"/>
      <c r="F228" s="91"/>
      <c r="G228" s="25"/>
      <c r="H228" s="25"/>
      <c r="I228" s="25"/>
      <c r="J228" s="25"/>
      <c r="K228" s="25"/>
      <c r="L228" s="25"/>
      <c r="M228" s="25"/>
      <c r="N228" s="25"/>
      <c r="O228" s="25"/>
      <c r="P228" s="25"/>
      <c r="Q228" s="25"/>
      <c r="R228" s="92"/>
      <c r="S228" s="25"/>
      <c r="T228" s="80"/>
      <c r="U228" s="89"/>
      <c r="V228" s="5"/>
    </row>
    <row r="229" spans="1:23" ht="17.399999999999999" x14ac:dyDescent="0.3">
      <c r="A229" s="85"/>
      <c r="B229" s="153" t="s">
        <v>208</v>
      </c>
      <c r="C229" s="90"/>
      <c r="D229" s="90"/>
      <c r="E229" s="90"/>
      <c r="F229" s="91"/>
      <c r="G229" s="25"/>
      <c r="H229" s="25"/>
      <c r="I229" s="25"/>
      <c r="J229" s="25"/>
      <c r="K229" s="25"/>
      <c r="L229" s="25"/>
      <c r="M229" s="25"/>
      <c r="N229" s="154" t="s">
        <v>207</v>
      </c>
      <c r="O229" s="25"/>
      <c r="P229" s="25"/>
      <c r="Q229" s="25"/>
      <c r="R229" s="92"/>
      <c r="S229" s="25"/>
      <c r="T229" s="80"/>
      <c r="U229" s="89"/>
      <c r="V229" s="5"/>
    </row>
    <row r="230" spans="1:23" ht="15.6" x14ac:dyDescent="0.3">
      <c r="A230" s="85"/>
      <c r="B230" s="77"/>
      <c r="C230" s="90"/>
      <c r="D230" s="90"/>
      <c r="E230" s="90"/>
      <c r="F230" s="91"/>
      <c r="G230" s="25"/>
      <c r="H230" s="25"/>
      <c r="I230" s="25"/>
      <c r="J230" s="25"/>
      <c r="K230" s="25"/>
      <c r="L230" s="25"/>
      <c r="M230" s="25"/>
      <c r="N230" s="25"/>
      <c r="O230" s="25"/>
      <c r="P230" s="25"/>
      <c r="Q230" s="25"/>
      <c r="R230" s="92"/>
      <c r="S230" s="25"/>
      <c r="T230" s="80"/>
      <c r="U230" s="89"/>
      <c r="V230" s="5"/>
    </row>
    <row r="231" spans="1:23" ht="15.6" x14ac:dyDescent="0.3">
      <c r="A231" s="6"/>
      <c r="B231" s="14" t="s">
        <v>177</v>
      </c>
      <c r="C231" s="82"/>
      <c r="D231" s="82"/>
      <c r="E231" s="82"/>
      <c r="F231" s="83"/>
      <c r="G231" s="82"/>
      <c r="H231" s="17"/>
      <c r="I231" s="17"/>
      <c r="J231" s="17"/>
      <c r="K231" s="17"/>
      <c r="L231" s="17"/>
      <c r="M231" s="17"/>
      <c r="N231" s="17"/>
      <c r="O231" s="17"/>
      <c r="P231" s="84" t="s">
        <v>108</v>
      </c>
      <c r="Q231" s="17" t="s">
        <v>109</v>
      </c>
      <c r="R231" s="84" t="s">
        <v>117</v>
      </c>
      <c r="S231" s="17" t="s">
        <v>109</v>
      </c>
      <c r="T231" s="8"/>
      <c r="U231" s="93"/>
      <c r="V231" s="5"/>
    </row>
    <row r="232" spans="1:23" ht="15.6" x14ac:dyDescent="0.3">
      <c r="A232" s="24"/>
      <c r="B232" s="54" t="s">
        <v>94</v>
      </c>
      <c r="C232" s="94"/>
      <c r="D232" s="94"/>
      <c r="E232" s="94"/>
      <c r="F232" s="25"/>
      <c r="G232" s="94"/>
      <c r="H232" s="94"/>
      <c r="I232" s="94"/>
      <c r="J232" s="94"/>
      <c r="K232" s="94"/>
      <c r="L232" s="94"/>
      <c r="M232" s="94"/>
      <c r="N232" s="94"/>
      <c r="O232" s="94"/>
      <c r="P232" s="54">
        <v>2845</v>
      </c>
      <c r="Q232" s="95">
        <f t="shared" ref="Q232:Q239" si="1">P232/$P$241</f>
        <v>0.98442906574394462</v>
      </c>
      <c r="R232" s="53">
        <v>334616</v>
      </c>
      <c r="S232" s="135">
        <f t="shared" ref="S232:S239" si="2">R232/$R$241</f>
        <v>0.97821485786451812</v>
      </c>
      <c r="T232" s="80"/>
      <c r="U232" s="89"/>
      <c r="V232" s="5"/>
    </row>
    <row r="233" spans="1:23" ht="15.6" x14ac:dyDescent="0.3">
      <c r="A233" s="24"/>
      <c r="B233" s="54" t="s">
        <v>95</v>
      </c>
      <c r="C233" s="94"/>
      <c r="D233" s="94"/>
      <c r="E233" s="94"/>
      <c r="F233" s="25"/>
      <c r="G233" s="95"/>
      <c r="H233" s="94"/>
      <c r="I233" s="94"/>
      <c r="J233" s="94"/>
      <c r="K233" s="94"/>
      <c r="L233" s="94"/>
      <c r="M233" s="94"/>
      <c r="N233" s="94"/>
      <c r="O233" s="94"/>
      <c r="P233" s="54">
        <v>29</v>
      </c>
      <c r="Q233" s="95">
        <f t="shared" si="1"/>
        <v>1.0034602076124567E-2</v>
      </c>
      <c r="R233" s="53">
        <v>5188</v>
      </c>
      <c r="S233" s="135">
        <f t="shared" si="2"/>
        <v>1.5166575066945753E-2</v>
      </c>
      <c r="T233" s="80"/>
      <c r="U233" s="89"/>
      <c r="V233" s="5"/>
      <c r="W233" s="110"/>
    </row>
    <row r="234" spans="1:23" ht="15.6" x14ac:dyDescent="0.3">
      <c r="A234" s="24"/>
      <c r="B234" s="54" t="s">
        <v>96</v>
      </c>
      <c r="C234" s="94"/>
      <c r="D234" s="94"/>
      <c r="E234" s="94"/>
      <c r="F234" s="25"/>
      <c r="G234" s="95"/>
      <c r="H234" s="94"/>
      <c r="I234" s="94"/>
      <c r="J234" s="94"/>
      <c r="K234" s="94"/>
      <c r="L234" s="94"/>
      <c r="M234" s="94"/>
      <c r="N234" s="94"/>
      <c r="O234" s="94"/>
      <c r="P234" s="54">
        <v>10</v>
      </c>
      <c r="Q234" s="95">
        <f t="shared" si="1"/>
        <v>3.4602076124567475E-3</v>
      </c>
      <c r="R234" s="53">
        <v>1352</v>
      </c>
      <c r="S234" s="135">
        <f t="shared" si="2"/>
        <v>3.9524305108925711E-3</v>
      </c>
      <c r="T234" s="80"/>
      <c r="U234" s="89"/>
      <c r="V234" s="5"/>
    </row>
    <row r="235" spans="1:23" ht="15.6" x14ac:dyDescent="0.3">
      <c r="A235" s="24"/>
      <c r="B235" s="54" t="s">
        <v>171</v>
      </c>
      <c r="C235" s="94"/>
      <c r="D235" s="94"/>
      <c r="E235" s="94"/>
      <c r="F235" s="25"/>
      <c r="G235" s="95"/>
      <c r="H235" s="94"/>
      <c r="I235" s="94"/>
      <c r="J235" s="94"/>
      <c r="K235" s="94"/>
      <c r="L235" s="94"/>
      <c r="M235" s="94"/>
      <c r="N235" s="94"/>
      <c r="O235" s="94"/>
      <c r="P235" s="54">
        <v>6</v>
      </c>
      <c r="Q235" s="95">
        <f t="shared" si="1"/>
        <v>2.0761245674740486E-3</v>
      </c>
      <c r="R235" s="53">
        <v>912</v>
      </c>
      <c r="S235" s="135">
        <f t="shared" si="2"/>
        <v>2.6661365576435094E-3</v>
      </c>
      <c r="T235" s="80"/>
      <c r="U235" s="89"/>
      <c r="V235" s="5"/>
      <c r="W235" s="110"/>
    </row>
    <row r="236" spans="1:23" ht="15.6" x14ac:dyDescent="0.3">
      <c r="A236" s="24"/>
      <c r="B236" s="54" t="s">
        <v>172</v>
      </c>
      <c r="C236" s="94"/>
      <c r="D236" s="94"/>
      <c r="E236" s="94"/>
      <c r="F236" s="25"/>
      <c r="G236" s="95"/>
      <c r="H236" s="94"/>
      <c r="I236" s="94"/>
      <c r="J236" s="94"/>
      <c r="K236" s="94"/>
      <c r="L236" s="94"/>
      <c r="M236" s="94"/>
      <c r="N236" s="94"/>
      <c r="O236" s="94"/>
      <c r="P236" s="54">
        <v>0</v>
      </c>
      <c r="Q236" s="95">
        <f t="shared" si="1"/>
        <v>0</v>
      </c>
      <c r="R236" s="53">
        <v>0</v>
      </c>
      <c r="S236" s="135">
        <f t="shared" si="2"/>
        <v>0</v>
      </c>
      <c r="T236" s="80"/>
      <c r="U236" s="89"/>
      <c r="V236" s="5"/>
    </row>
    <row r="237" spans="1:23" ht="15.6" x14ac:dyDescent="0.3">
      <c r="A237" s="24"/>
      <c r="B237" s="54" t="s">
        <v>173</v>
      </c>
      <c r="C237" s="94"/>
      <c r="D237" s="94"/>
      <c r="E237" s="94"/>
      <c r="F237" s="25"/>
      <c r="G237" s="95"/>
      <c r="H237" s="94"/>
      <c r="I237" s="94"/>
      <c r="J237" s="94"/>
      <c r="K237" s="94"/>
      <c r="L237" s="94"/>
      <c r="M237" s="94"/>
      <c r="N237" s="94"/>
      <c r="O237" s="94"/>
      <c r="P237" s="54">
        <v>0</v>
      </c>
      <c r="Q237" s="95">
        <f t="shared" si="1"/>
        <v>0</v>
      </c>
      <c r="R237" s="53">
        <v>0</v>
      </c>
      <c r="S237" s="135">
        <f t="shared" si="2"/>
        <v>0</v>
      </c>
      <c r="T237" s="80"/>
      <c r="U237" s="89"/>
      <c r="V237" s="5"/>
      <c r="W237" s="110"/>
    </row>
    <row r="238" spans="1:23" ht="15.6" x14ac:dyDescent="0.3">
      <c r="A238" s="24"/>
      <c r="B238" s="54" t="s">
        <v>174</v>
      </c>
      <c r="C238" s="94"/>
      <c r="D238" s="94"/>
      <c r="E238" s="94"/>
      <c r="F238" s="25"/>
      <c r="G238" s="95"/>
      <c r="H238" s="94"/>
      <c r="I238" s="94"/>
      <c r="J238" s="94"/>
      <c r="K238" s="94"/>
      <c r="L238" s="94"/>
      <c r="M238" s="94"/>
      <c r="N238" s="94"/>
      <c r="O238" s="94"/>
      <c r="P238" s="54">
        <v>0</v>
      </c>
      <c r="Q238" s="95">
        <f t="shared" si="1"/>
        <v>0</v>
      </c>
      <c r="R238" s="53">
        <v>0</v>
      </c>
      <c r="S238" s="135">
        <f t="shared" si="2"/>
        <v>0</v>
      </c>
      <c r="T238" s="80"/>
      <c r="U238" s="89"/>
      <c r="V238" s="5"/>
    </row>
    <row r="239" spans="1:23" ht="15.6" x14ac:dyDescent="0.3">
      <c r="A239" s="24"/>
      <c r="B239" s="54" t="s">
        <v>175</v>
      </c>
      <c r="C239" s="94"/>
      <c r="D239" s="94"/>
      <c r="E239" s="94"/>
      <c r="F239" s="25"/>
      <c r="G239" s="95"/>
      <c r="H239" s="94"/>
      <c r="I239" s="94"/>
      <c r="J239" s="94"/>
      <c r="K239" s="94"/>
      <c r="L239" s="94"/>
      <c r="M239" s="94"/>
      <c r="N239" s="94"/>
      <c r="O239" s="94"/>
      <c r="P239" s="54">
        <v>0</v>
      </c>
      <c r="Q239" s="95">
        <f t="shared" si="1"/>
        <v>0</v>
      </c>
      <c r="R239" s="53">
        <v>0</v>
      </c>
      <c r="S239" s="135">
        <f t="shared" si="2"/>
        <v>0</v>
      </c>
      <c r="T239" s="80"/>
      <c r="U239" s="89"/>
      <c r="V239" s="5"/>
      <c r="W239" s="110"/>
    </row>
    <row r="240" spans="1:23" ht="15.6" x14ac:dyDescent="0.3">
      <c r="A240" s="24"/>
      <c r="B240" s="54"/>
      <c r="C240" s="94"/>
      <c r="D240" s="94"/>
      <c r="E240" s="94"/>
      <c r="F240" s="25"/>
      <c r="G240" s="95"/>
      <c r="H240" s="94"/>
      <c r="I240" s="94"/>
      <c r="J240" s="94"/>
      <c r="K240" s="94"/>
      <c r="L240" s="94"/>
      <c r="M240" s="94"/>
      <c r="N240" s="94"/>
      <c r="O240" s="94"/>
      <c r="P240" s="54"/>
      <c r="Q240" s="95"/>
      <c r="R240" s="53"/>
      <c r="S240" s="135"/>
      <c r="T240" s="80"/>
      <c r="U240" s="89"/>
      <c r="V240" s="5"/>
    </row>
    <row r="241" spans="1:22" ht="15.6" x14ac:dyDescent="0.3">
      <c r="A241" s="24"/>
      <c r="B241" s="25"/>
      <c r="C241" s="25"/>
      <c r="D241" s="25"/>
      <c r="E241" s="25"/>
      <c r="F241" s="25"/>
      <c r="G241" s="25"/>
      <c r="H241" s="96"/>
      <c r="I241" s="96"/>
      <c r="J241" s="96"/>
      <c r="K241" s="96"/>
      <c r="L241" s="96"/>
      <c r="M241" s="96"/>
      <c r="N241" s="96"/>
      <c r="O241" s="96"/>
      <c r="P241" s="34">
        <f>SUM(P232:P240)</f>
        <v>2890</v>
      </c>
      <c r="Q241" s="135">
        <f>SUM(Q232:Q240)</f>
        <v>1</v>
      </c>
      <c r="R241" s="53">
        <f>SUM(R232:R240)</f>
        <v>342068</v>
      </c>
      <c r="S241" s="135">
        <f>SUM(S232:S240)</f>
        <v>0.99999999999999989</v>
      </c>
      <c r="T241" s="25"/>
      <c r="U241" s="25"/>
      <c r="V241" s="5"/>
    </row>
    <row r="242" spans="1:22" ht="15.6" x14ac:dyDescent="0.3">
      <c r="A242" s="24"/>
      <c r="B242" s="25"/>
      <c r="C242" s="25"/>
      <c r="D242" s="25"/>
      <c r="E242" s="25"/>
      <c r="F242" s="25"/>
      <c r="G242" s="25"/>
      <c r="H242" s="96"/>
      <c r="I242" s="96"/>
      <c r="J242" s="96"/>
      <c r="K242" s="96"/>
      <c r="L242" s="96"/>
      <c r="M242" s="96"/>
      <c r="N242" s="96"/>
      <c r="O242" s="96"/>
      <c r="P242" s="34"/>
      <c r="Q242" s="135"/>
      <c r="R242" s="53"/>
      <c r="S242" s="135"/>
      <c r="T242" s="25"/>
      <c r="U242" s="25"/>
      <c r="V242" s="5"/>
    </row>
    <row r="243" spans="1:22" ht="15.6" x14ac:dyDescent="0.3">
      <c r="A243" s="144"/>
      <c r="B243" s="14" t="s">
        <v>279</v>
      </c>
      <c r="C243" s="82"/>
      <c r="D243" s="82"/>
      <c r="E243" s="82"/>
      <c r="F243" s="83"/>
      <c r="G243" s="82"/>
      <c r="H243" s="17"/>
      <c r="I243" s="17"/>
      <c r="J243" s="17"/>
      <c r="K243" s="17"/>
      <c r="L243" s="17"/>
      <c r="M243" s="17"/>
      <c r="N243" s="17"/>
      <c r="O243" s="17"/>
      <c r="P243" s="84" t="s">
        <v>108</v>
      </c>
      <c r="Q243" s="17" t="s">
        <v>109</v>
      </c>
      <c r="R243" s="84" t="s">
        <v>117</v>
      </c>
      <c r="S243" s="17" t="s">
        <v>109</v>
      </c>
      <c r="T243" s="142"/>
      <c r="U243" s="143"/>
      <c r="V243" s="5"/>
    </row>
    <row r="244" spans="1:22" ht="15.6" x14ac:dyDescent="0.3">
      <c r="A244" s="24"/>
      <c r="B244" s="54" t="s">
        <v>94</v>
      </c>
      <c r="C244" s="94"/>
      <c r="D244" s="94"/>
      <c r="E244" s="94"/>
      <c r="F244" s="25"/>
      <c r="G244" s="94"/>
      <c r="H244" s="94"/>
      <c r="I244" s="94"/>
      <c r="J244" s="94"/>
      <c r="K244" s="94"/>
      <c r="L244" s="94"/>
      <c r="M244" s="94"/>
      <c r="N244" s="94"/>
      <c r="O244" s="94"/>
      <c r="P244" s="54">
        <v>7</v>
      </c>
      <c r="Q244" s="95">
        <f t="shared" ref="Q244:Q251" si="3">P244/$P$253</f>
        <v>0.1</v>
      </c>
      <c r="R244" s="53">
        <v>595</v>
      </c>
      <c r="S244" s="135">
        <f t="shared" ref="S244:S251" si="4">R244/$R$253</f>
        <v>6.2134502923976605E-2</v>
      </c>
      <c r="T244" s="25"/>
      <c r="U244" s="25"/>
      <c r="V244" s="5"/>
    </row>
    <row r="245" spans="1:22" ht="15.6" x14ac:dyDescent="0.3">
      <c r="A245" s="24"/>
      <c r="B245" s="54" t="s">
        <v>95</v>
      </c>
      <c r="C245" s="94"/>
      <c r="D245" s="94"/>
      <c r="E245" s="94"/>
      <c r="F245" s="25"/>
      <c r="G245" s="95"/>
      <c r="H245" s="94"/>
      <c r="I245" s="94"/>
      <c r="J245" s="94"/>
      <c r="K245" s="94"/>
      <c r="L245" s="94"/>
      <c r="M245" s="94"/>
      <c r="N245" s="94"/>
      <c r="O245" s="94"/>
      <c r="P245" s="54">
        <v>19</v>
      </c>
      <c r="Q245" s="95">
        <f t="shared" si="3"/>
        <v>0.27142857142857141</v>
      </c>
      <c r="R245" s="53">
        <v>2631</v>
      </c>
      <c r="S245" s="135">
        <f t="shared" si="4"/>
        <v>0.27474937343358397</v>
      </c>
      <c r="T245" s="25"/>
      <c r="U245" s="25"/>
      <c r="V245" s="5"/>
    </row>
    <row r="246" spans="1:22" ht="15.6" x14ac:dyDescent="0.3">
      <c r="A246" s="24"/>
      <c r="B246" s="54" t="s">
        <v>96</v>
      </c>
      <c r="C246" s="94"/>
      <c r="D246" s="94"/>
      <c r="E246" s="94"/>
      <c r="F246" s="25"/>
      <c r="G246" s="95"/>
      <c r="H246" s="94"/>
      <c r="I246" s="94"/>
      <c r="J246" s="94"/>
      <c r="K246" s="94"/>
      <c r="L246" s="94"/>
      <c r="M246" s="94"/>
      <c r="N246" s="94"/>
      <c r="O246" s="94"/>
      <c r="P246" s="54">
        <v>5</v>
      </c>
      <c r="Q246" s="95">
        <f t="shared" si="3"/>
        <v>7.1428571428571425E-2</v>
      </c>
      <c r="R246" s="53">
        <v>589</v>
      </c>
      <c r="S246" s="135">
        <f t="shared" si="4"/>
        <v>6.1507936507936505E-2</v>
      </c>
      <c r="T246" s="25"/>
      <c r="U246" s="25"/>
      <c r="V246" s="5"/>
    </row>
    <row r="247" spans="1:22" ht="15.6" x14ac:dyDescent="0.3">
      <c r="A247" s="24"/>
      <c r="B247" s="54" t="s">
        <v>171</v>
      </c>
      <c r="C247" s="94"/>
      <c r="D247" s="94"/>
      <c r="E247" s="94"/>
      <c r="F247" s="25"/>
      <c r="G247" s="95"/>
      <c r="H247" s="94"/>
      <c r="I247" s="94"/>
      <c r="J247" s="94"/>
      <c r="K247" s="94"/>
      <c r="L247" s="94"/>
      <c r="M247" s="94"/>
      <c r="N247" s="94"/>
      <c r="O247" s="94"/>
      <c r="P247" s="54">
        <v>4</v>
      </c>
      <c r="Q247" s="95">
        <f t="shared" si="3"/>
        <v>5.7142857142857141E-2</v>
      </c>
      <c r="R247" s="53">
        <v>558</v>
      </c>
      <c r="S247" s="135">
        <f t="shared" si="4"/>
        <v>5.827067669172932E-2</v>
      </c>
      <c r="T247" s="25"/>
      <c r="U247" s="25"/>
      <c r="V247" s="5"/>
    </row>
    <row r="248" spans="1:22" ht="15.6" x14ac:dyDescent="0.3">
      <c r="A248" s="24"/>
      <c r="B248" s="54" t="s">
        <v>172</v>
      </c>
      <c r="C248" s="94"/>
      <c r="D248" s="94"/>
      <c r="E248" s="94"/>
      <c r="F248" s="25"/>
      <c r="G248" s="95"/>
      <c r="H248" s="94"/>
      <c r="I248" s="94"/>
      <c r="J248" s="94"/>
      <c r="K248" s="94"/>
      <c r="L248" s="94"/>
      <c r="M248" s="94"/>
      <c r="N248" s="94"/>
      <c r="O248" s="94"/>
      <c r="P248" s="54">
        <v>8</v>
      </c>
      <c r="Q248" s="95">
        <f t="shared" si="3"/>
        <v>0.11428571428571428</v>
      </c>
      <c r="R248" s="53">
        <v>1684</v>
      </c>
      <c r="S248" s="135">
        <f t="shared" si="4"/>
        <v>0.17585630743525479</v>
      </c>
      <c r="T248" s="25"/>
      <c r="U248" s="25"/>
      <c r="V248" s="5"/>
    </row>
    <row r="249" spans="1:22" ht="15.6" x14ac:dyDescent="0.3">
      <c r="A249" s="24"/>
      <c r="B249" s="54" t="s">
        <v>173</v>
      </c>
      <c r="C249" s="94"/>
      <c r="D249" s="94"/>
      <c r="E249" s="94"/>
      <c r="F249" s="25"/>
      <c r="G249" s="95"/>
      <c r="H249" s="94"/>
      <c r="I249" s="94"/>
      <c r="J249" s="94"/>
      <c r="K249" s="94"/>
      <c r="L249" s="94"/>
      <c r="M249" s="94"/>
      <c r="N249" s="94"/>
      <c r="O249" s="94"/>
      <c r="P249" s="54">
        <v>4</v>
      </c>
      <c r="Q249" s="95">
        <f t="shared" si="3"/>
        <v>5.7142857142857141E-2</v>
      </c>
      <c r="R249" s="53">
        <v>585</v>
      </c>
      <c r="S249" s="135">
        <f t="shared" si="4"/>
        <v>6.1090225563909771E-2</v>
      </c>
      <c r="T249" s="25"/>
      <c r="U249" s="25"/>
      <c r="V249" s="5"/>
    </row>
    <row r="250" spans="1:22" ht="15.6" x14ac:dyDescent="0.3">
      <c r="A250" s="24"/>
      <c r="B250" s="54" t="s">
        <v>174</v>
      </c>
      <c r="C250" s="94"/>
      <c r="D250" s="94"/>
      <c r="E250" s="94"/>
      <c r="F250" s="25"/>
      <c r="G250" s="95"/>
      <c r="H250" s="94"/>
      <c r="I250" s="94"/>
      <c r="J250" s="94"/>
      <c r="K250" s="94"/>
      <c r="L250" s="94"/>
      <c r="M250" s="94"/>
      <c r="N250" s="94"/>
      <c r="O250" s="94"/>
      <c r="P250" s="54">
        <v>9</v>
      </c>
      <c r="Q250" s="95">
        <f t="shared" si="3"/>
        <v>0.12857142857142856</v>
      </c>
      <c r="R250" s="53">
        <v>924</v>
      </c>
      <c r="S250" s="135">
        <f t="shared" si="4"/>
        <v>9.6491228070175433E-2</v>
      </c>
      <c r="T250" s="25"/>
      <c r="U250" s="25"/>
      <c r="V250" s="5"/>
    </row>
    <row r="251" spans="1:22" ht="15.6" x14ac:dyDescent="0.3">
      <c r="A251" s="24"/>
      <c r="B251" s="54" t="s">
        <v>175</v>
      </c>
      <c r="C251" s="94"/>
      <c r="D251" s="94"/>
      <c r="E251" s="94"/>
      <c r="F251" s="25"/>
      <c r="G251" s="95"/>
      <c r="H251" s="94"/>
      <c r="I251" s="94"/>
      <c r="J251" s="94"/>
      <c r="K251" s="94"/>
      <c r="L251" s="94"/>
      <c r="M251" s="94"/>
      <c r="N251" s="94"/>
      <c r="O251" s="94"/>
      <c r="P251" s="54">
        <v>14</v>
      </c>
      <c r="Q251" s="95">
        <f t="shared" si="3"/>
        <v>0.2</v>
      </c>
      <c r="R251" s="53">
        <v>2010</v>
      </c>
      <c r="S251" s="135">
        <f t="shared" si="4"/>
        <v>0.20989974937343359</v>
      </c>
      <c r="T251" s="25"/>
      <c r="U251" s="25"/>
      <c r="V251" s="5"/>
    </row>
    <row r="252" spans="1:22" ht="15.6" x14ac:dyDescent="0.3">
      <c r="A252" s="24"/>
      <c r="B252" s="54"/>
      <c r="C252" s="94"/>
      <c r="D252" s="94"/>
      <c r="E252" s="94"/>
      <c r="F252" s="25"/>
      <c r="G252" s="95"/>
      <c r="H252" s="94"/>
      <c r="I252" s="94"/>
      <c r="J252" s="94"/>
      <c r="K252" s="94"/>
      <c r="L252" s="94"/>
      <c r="M252" s="94"/>
      <c r="N252" s="94"/>
      <c r="O252" s="94"/>
      <c r="P252" s="54"/>
      <c r="Q252" s="95"/>
      <c r="R252" s="53"/>
      <c r="S252" s="135"/>
      <c r="T252" s="25"/>
      <c r="U252" s="25"/>
      <c r="V252" s="5"/>
    </row>
    <row r="253" spans="1:22" ht="15.6" x14ac:dyDescent="0.3">
      <c r="A253" s="24"/>
      <c r="B253" s="25"/>
      <c r="C253" s="25"/>
      <c r="D253" s="25"/>
      <c r="E253" s="25"/>
      <c r="F253" s="25"/>
      <c r="G253" s="25"/>
      <c r="H253" s="96"/>
      <c r="I253" s="96"/>
      <c r="J253" s="96"/>
      <c r="K253" s="96"/>
      <c r="L253" s="96"/>
      <c r="M253" s="96"/>
      <c r="N253" s="96"/>
      <c r="O253" s="96"/>
      <c r="P253" s="34">
        <f>SUM(P244:P252)</f>
        <v>70</v>
      </c>
      <c r="Q253" s="135">
        <f>SUM(Q244:Q252)</f>
        <v>1</v>
      </c>
      <c r="R253" s="53">
        <f>SUM(R244:R252)</f>
        <v>9576</v>
      </c>
      <c r="S253" s="135">
        <f>SUM(S244:S252)</f>
        <v>0.99999999999999989</v>
      </c>
      <c r="T253" s="25"/>
      <c r="U253" s="25"/>
      <c r="V253" s="5"/>
    </row>
    <row r="254" spans="1:22" ht="15.6" x14ac:dyDescent="0.3">
      <c r="A254" s="24"/>
      <c r="B254" s="25"/>
      <c r="C254" s="25"/>
      <c r="D254" s="25"/>
      <c r="E254" s="25"/>
      <c r="F254" s="25"/>
      <c r="G254" s="25"/>
      <c r="H254" s="96"/>
      <c r="I254" s="96"/>
      <c r="J254" s="96"/>
      <c r="K254" s="96"/>
      <c r="L254" s="96"/>
      <c r="M254" s="96"/>
      <c r="N254" s="96"/>
      <c r="O254" s="96"/>
      <c r="P254" s="34"/>
      <c r="Q254" s="135"/>
      <c r="R254" s="53"/>
      <c r="S254" s="135"/>
      <c r="T254" s="25"/>
      <c r="U254" s="25"/>
      <c r="V254" s="5"/>
    </row>
    <row r="255" spans="1:22" ht="15.6" x14ac:dyDescent="0.3">
      <c r="A255" s="144"/>
      <c r="B255" s="14" t="s">
        <v>179</v>
      </c>
      <c r="C255" s="142"/>
      <c r="D255" s="142"/>
      <c r="E255" s="142"/>
      <c r="F255" s="142"/>
      <c r="G255" s="142"/>
      <c r="H255" s="149"/>
      <c r="I255" s="149"/>
      <c r="J255" s="149"/>
      <c r="K255" s="149"/>
      <c r="L255" s="149"/>
      <c r="M255" s="149"/>
      <c r="N255" s="149"/>
      <c r="O255" s="149"/>
      <c r="P255" s="84" t="s">
        <v>108</v>
      </c>
      <c r="Q255" s="17" t="s">
        <v>109</v>
      </c>
      <c r="R255" s="84" t="s">
        <v>117</v>
      </c>
      <c r="S255" s="17" t="s">
        <v>109</v>
      </c>
      <c r="T255" s="142"/>
      <c r="U255" s="143"/>
      <c r="V255" s="5"/>
    </row>
    <row r="256" spans="1:22" ht="15.6" x14ac:dyDescent="0.3">
      <c r="A256" s="24"/>
      <c r="B256" s="54" t="s">
        <v>94</v>
      </c>
      <c r="C256" s="25"/>
      <c r="D256" s="25"/>
      <c r="E256" s="25"/>
      <c r="F256" s="25"/>
      <c r="G256" s="25"/>
      <c r="H256" s="96"/>
      <c r="I256" s="96"/>
      <c r="J256" s="96"/>
      <c r="K256" s="96"/>
      <c r="L256" s="96"/>
      <c r="M256" s="96"/>
      <c r="N256" s="96"/>
      <c r="O256" s="96"/>
      <c r="P256" s="54">
        <v>0</v>
      </c>
      <c r="Q256" s="95">
        <v>0</v>
      </c>
      <c r="R256" s="53">
        <v>0</v>
      </c>
      <c r="S256" s="135">
        <v>0</v>
      </c>
      <c r="T256" s="25"/>
      <c r="U256" s="25"/>
      <c r="V256" s="5"/>
    </row>
    <row r="257" spans="1:22" ht="15.6" x14ac:dyDescent="0.3">
      <c r="A257" s="24"/>
      <c r="B257" s="54" t="s">
        <v>95</v>
      </c>
      <c r="C257" s="25"/>
      <c r="D257" s="25"/>
      <c r="E257" s="25"/>
      <c r="F257" s="25"/>
      <c r="G257" s="25"/>
      <c r="H257" s="96"/>
      <c r="I257" s="96"/>
      <c r="J257" s="96"/>
      <c r="K257" s="96"/>
      <c r="L257" s="96"/>
      <c r="M257" s="96"/>
      <c r="N257" s="96"/>
      <c r="O257" s="96"/>
      <c r="P257" s="54">
        <v>0</v>
      </c>
      <c r="Q257" s="95">
        <v>0</v>
      </c>
      <c r="R257" s="53">
        <v>0</v>
      </c>
      <c r="S257" s="135">
        <v>0</v>
      </c>
      <c r="T257" s="25"/>
      <c r="U257" s="25"/>
      <c r="V257" s="5"/>
    </row>
    <row r="258" spans="1:22" ht="15.6" x14ac:dyDescent="0.3">
      <c r="A258" s="24"/>
      <c r="B258" s="54" t="s">
        <v>96</v>
      </c>
      <c r="C258" s="25"/>
      <c r="D258" s="25"/>
      <c r="E258" s="25"/>
      <c r="F258" s="25"/>
      <c r="G258" s="25"/>
      <c r="H258" s="96"/>
      <c r="I258" s="96"/>
      <c r="J258" s="96"/>
      <c r="K258" s="96"/>
      <c r="L258" s="96"/>
      <c r="M258" s="96"/>
      <c r="N258" s="96"/>
      <c r="O258" s="96"/>
      <c r="P258" s="54">
        <v>0</v>
      </c>
      <c r="Q258" s="95">
        <v>0</v>
      </c>
      <c r="R258" s="53">
        <v>0</v>
      </c>
      <c r="S258" s="135">
        <v>0</v>
      </c>
      <c r="T258" s="25"/>
      <c r="U258" s="25"/>
      <c r="V258" s="5"/>
    </row>
    <row r="259" spans="1:22" ht="15.6" x14ac:dyDescent="0.3">
      <c r="A259" s="24"/>
      <c r="B259" s="54" t="s">
        <v>171</v>
      </c>
      <c r="C259" s="25"/>
      <c r="D259" s="25"/>
      <c r="E259" s="25"/>
      <c r="F259" s="25"/>
      <c r="G259" s="25"/>
      <c r="H259" s="96"/>
      <c r="I259" s="96"/>
      <c r="J259" s="96"/>
      <c r="K259" s="96"/>
      <c r="L259" s="96"/>
      <c r="M259" s="96"/>
      <c r="N259" s="96"/>
      <c r="O259" s="96"/>
      <c r="P259" s="54">
        <v>0</v>
      </c>
      <c r="Q259" s="95">
        <v>0</v>
      </c>
      <c r="R259" s="53">
        <v>0</v>
      </c>
      <c r="S259" s="135">
        <v>0</v>
      </c>
      <c r="T259" s="25"/>
      <c r="U259" s="25"/>
      <c r="V259" s="5"/>
    </row>
    <row r="260" spans="1:22" ht="15.6" x14ac:dyDescent="0.3">
      <c r="A260" s="24"/>
      <c r="B260" s="54" t="s">
        <v>172</v>
      </c>
      <c r="C260" s="25"/>
      <c r="D260" s="25"/>
      <c r="E260" s="25"/>
      <c r="F260" s="25"/>
      <c r="G260" s="25"/>
      <c r="H260" s="96"/>
      <c r="I260" s="96"/>
      <c r="J260" s="96"/>
      <c r="K260" s="96"/>
      <c r="L260" s="96"/>
      <c r="M260" s="96"/>
      <c r="N260" s="96"/>
      <c r="O260" s="96"/>
      <c r="P260" s="54">
        <v>0</v>
      </c>
      <c r="Q260" s="95">
        <v>0</v>
      </c>
      <c r="R260" s="53">
        <v>0</v>
      </c>
      <c r="S260" s="135">
        <v>0</v>
      </c>
      <c r="T260" s="25"/>
      <c r="U260" s="25"/>
      <c r="V260" s="5"/>
    </row>
    <row r="261" spans="1:22" ht="15.6" x14ac:dyDescent="0.3">
      <c r="A261" s="24"/>
      <c r="B261" s="54" t="s">
        <v>173</v>
      </c>
      <c r="C261" s="25"/>
      <c r="D261" s="25"/>
      <c r="E261" s="25"/>
      <c r="F261" s="25"/>
      <c r="G261" s="25"/>
      <c r="H261" s="96"/>
      <c r="I261" s="96"/>
      <c r="J261" s="96"/>
      <c r="K261" s="96"/>
      <c r="L261" s="96"/>
      <c r="M261" s="96"/>
      <c r="N261" s="96"/>
      <c r="O261" s="96"/>
      <c r="P261" s="54">
        <v>0</v>
      </c>
      <c r="Q261" s="95">
        <v>0</v>
      </c>
      <c r="R261" s="53">
        <v>0</v>
      </c>
      <c r="S261" s="135">
        <v>0</v>
      </c>
      <c r="T261" s="25"/>
      <c r="U261" s="25"/>
      <c r="V261" s="5"/>
    </row>
    <row r="262" spans="1:22" ht="15.6" x14ac:dyDescent="0.3">
      <c r="A262" s="24"/>
      <c r="B262" s="54" t="s">
        <v>174</v>
      </c>
      <c r="C262" s="25"/>
      <c r="D262" s="25"/>
      <c r="E262" s="25"/>
      <c r="F262" s="25"/>
      <c r="G262" s="25"/>
      <c r="H262" s="96"/>
      <c r="I262" s="96"/>
      <c r="J262" s="96"/>
      <c r="K262" s="96"/>
      <c r="L262" s="96"/>
      <c r="M262" s="96"/>
      <c r="N262" s="96"/>
      <c r="O262" s="96"/>
      <c r="P262" s="54">
        <v>0</v>
      </c>
      <c r="Q262" s="95">
        <v>0</v>
      </c>
      <c r="R262" s="53">
        <v>0</v>
      </c>
      <c r="S262" s="135">
        <v>0</v>
      </c>
      <c r="T262" s="25"/>
      <c r="U262" s="25"/>
      <c r="V262" s="5"/>
    </row>
    <row r="263" spans="1:22" ht="15.6" x14ac:dyDescent="0.3">
      <c r="A263" s="24"/>
      <c r="B263" s="54" t="s">
        <v>175</v>
      </c>
      <c r="C263" s="25"/>
      <c r="D263" s="25"/>
      <c r="E263" s="25"/>
      <c r="F263" s="25"/>
      <c r="G263" s="25"/>
      <c r="H263" s="96"/>
      <c r="I263" s="96"/>
      <c r="J263" s="96"/>
      <c r="K263" s="96"/>
      <c r="L263" s="96"/>
      <c r="M263" s="96"/>
      <c r="N263" s="96"/>
      <c r="O263" s="96"/>
      <c r="P263" s="54">
        <v>0</v>
      </c>
      <c r="Q263" s="95">
        <v>0</v>
      </c>
      <c r="R263" s="53">
        <v>0</v>
      </c>
      <c r="S263" s="135">
        <v>0</v>
      </c>
      <c r="T263" s="25"/>
      <c r="U263" s="25"/>
      <c r="V263" s="5"/>
    </row>
    <row r="264" spans="1:22" ht="15.6" x14ac:dyDescent="0.3">
      <c r="A264" s="24"/>
      <c r="B264" s="54"/>
      <c r="C264" s="25"/>
      <c r="D264" s="25"/>
      <c r="E264" s="25"/>
      <c r="F264" s="25"/>
      <c r="G264" s="25"/>
      <c r="H264" s="96"/>
      <c r="I264" s="96"/>
      <c r="J264" s="96"/>
      <c r="K264" s="96"/>
      <c r="L264" s="96"/>
      <c r="M264" s="96"/>
      <c r="N264" s="96"/>
      <c r="O264" s="96"/>
      <c r="P264" s="54"/>
      <c r="Q264" s="95"/>
      <c r="R264" s="53"/>
      <c r="S264" s="135"/>
      <c r="T264" s="25"/>
      <c r="U264" s="25"/>
      <c r="V264" s="5"/>
    </row>
    <row r="265" spans="1:22" ht="15.6" x14ac:dyDescent="0.3">
      <c r="A265" s="24"/>
      <c r="B265" s="25" t="s">
        <v>123</v>
      </c>
      <c r="C265" s="25"/>
      <c r="D265" s="25"/>
      <c r="E265" s="25"/>
      <c r="F265" s="25"/>
      <c r="G265" s="25"/>
      <c r="H265" s="96"/>
      <c r="I265" s="96"/>
      <c r="J265" s="96"/>
      <c r="K265" s="96"/>
      <c r="L265" s="96"/>
      <c r="M265" s="96"/>
      <c r="N265" s="96"/>
      <c r="O265" s="96"/>
      <c r="P265" s="34">
        <f>SUM(P256:P263)</f>
        <v>0</v>
      </c>
      <c r="Q265" s="95">
        <f>SUM(Q256:Q263)</f>
        <v>0</v>
      </c>
      <c r="R265" s="53">
        <f>SUM(R256:R263)</f>
        <v>0</v>
      </c>
      <c r="S265" s="135">
        <f>SUM(S256:S263)</f>
        <v>0</v>
      </c>
      <c r="T265" s="25"/>
      <c r="U265" s="25"/>
      <c r="V265" s="5"/>
    </row>
    <row r="266" spans="1:22" ht="15.6" x14ac:dyDescent="0.3">
      <c r="A266" s="24"/>
      <c r="B266" s="25"/>
      <c r="C266" s="25"/>
      <c r="D266" s="25"/>
      <c r="E266" s="25"/>
      <c r="F266" s="25"/>
      <c r="G266" s="25"/>
      <c r="H266" s="96"/>
      <c r="I266" s="96"/>
      <c r="J266" s="96"/>
      <c r="K266" s="96"/>
      <c r="L266" s="96"/>
      <c r="M266" s="96"/>
      <c r="N266" s="96"/>
      <c r="O266" s="96"/>
      <c r="P266" s="34"/>
      <c r="Q266" s="135"/>
      <c r="R266" s="53"/>
      <c r="S266" s="135"/>
      <c r="T266" s="25"/>
      <c r="U266" s="25"/>
      <c r="V266" s="5"/>
    </row>
    <row r="267" spans="1:22" ht="15.6" x14ac:dyDescent="0.3">
      <c r="A267" s="24"/>
      <c r="B267" s="145" t="s">
        <v>180</v>
      </c>
      <c r="C267" s="25"/>
      <c r="D267" s="25"/>
      <c r="E267" s="25"/>
      <c r="F267" s="25"/>
      <c r="G267" s="25"/>
      <c r="H267" s="96"/>
      <c r="I267" s="96"/>
      <c r="J267" s="96"/>
      <c r="K267" s="96"/>
      <c r="L267" s="96"/>
      <c r="M267" s="96"/>
      <c r="N267" s="96"/>
      <c r="O267" s="96"/>
      <c r="P267" s="165">
        <f>+P241+P253+P265</f>
        <v>2960</v>
      </c>
      <c r="Q267" s="147"/>
      <c r="R267" s="148">
        <f>+R265+R253+R241</f>
        <v>351644</v>
      </c>
      <c r="S267" s="147"/>
      <c r="T267" s="25"/>
      <c r="U267" s="25"/>
      <c r="V267" s="5"/>
    </row>
    <row r="268" spans="1:22" ht="15.6" x14ac:dyDescent="0.3">
      <c r="A268" s="24"/>
      <c r="B268" s="25"/>
      <c r="C268" s="25"/>
      <c r="D268" s="25"/>
      <c r="E268" s="25"/>
      <c r="F268" s="25"/>
      <c r="G268" s="25"/>
      <c r="H268" s="96"/>
      <c r="I268" s="96"/>
      <c r="J268" s="96"/>
      <c r="K268" s="96"/>
      <c r="L268" s="96"/>
      <c r="M268" s="96"/>
      <c r="N268" s="96"/>
      <c r="O268" s="96"/>
      <c r="P268" s="96"/>
      <c r="Q268" s="96"/>
      <c r="R268" s="53"/>
      <c r="S268" s="96"/>
      <c r="T268" s="25"/>
      <c r="U268" s="25"/>
      <c r="V268" s="5"/>
    </row>
    <row r="269" spans="1:22" ht="15.6" x14ac:dyDescent="0.3">
      <c r="A269" s="6"/>
      <c r="B269" s="8"/>
      <c r="C269" s="8"/>
      <c r="D269" s="8"/>
      <c r="E269" s="8"/>
      <c r="F269" s="8"/>
      <c r="G269" s="8"/>
      <c r="H269" s="97"/>
      <c r="I269" s="97"/>
      <c r="J269" s="97"/>
      <c r="K269" s="97"/>
      <c r="L269" s="97"/>
      <c r="M269" s="97"/>
      <c r="N269" s="97"/>
      <c r="O269" s="97"/>
      <c r="P269" s="97"/>
      <c r="Q269" s="97"/>
      <c r="R269" s="98"/>
      <c r="S269" s="97"/>
      <c r="T269" s="8"/>
      <c r="U269" s="8"/>
      <c r="V269" s="5"/>
    </row>
    <row r="270" spans="1:22" ht="15.6" x14ac:dyDescent="0.3">
      <c r="A270" s="164"/>
      <c r="B270" s="14" t="s">
        <v>97</v>
      </c>
      <c r="C270" s="15"/>
      <c r="D270" s="15"/>
      <c r="E270" s="15"/>
      <c r="F270" s="17" t="s">
        <v>103</v>
      </c>
      <c r="G270" s="15"/>
      <c r="H270" s="14" t="s">
        <v>105</v>
      </c>
      <c r="I270" s="159"/>
      <c r="J270" s="159"/>
      <c r="K270" s="159"/>
      <c r="L270" s="159"/>
      <c r="M270" s="159"/>
      <c r="N270" s="159"/>
      <c r="O270" s="159"/>
      <c r="P270" s="159"/>
      <c r="Q270" s="159"/>
      <c r="R270" s="159"/>
      <c r="S270" s="159"/>
      <c r="T270" s="159"/>
      <c r="U270" s="159"/>
      <c r="V270" s="5"/>
    </row>
    <row r="271" spans="1:22" ht="15.6" x14ac:dyDescent="0.3">
      <c r="A271" s="164"/>
      <c r="B271" s="159"/>
      <c r="C271" s="8"/>
      <c r="D271" s="8"/>
      <c r="E271" s="8"/>
      <c r="F271" s="8"/>
      <c r="G271" s="8"/>
      <c r="H271" s="8"/>
      <c r="I271" s="159"/>
      <c r="J271" s="159"/>
      <c r="K271" s="159"/>
      <c r="L271" s="159"/>
      <c r="M271" s="159"/>
      <c r="N271" s="159"/>
      <c r="O271" s="159"/>
      <c r="P271" s="159"/>
      <c r="Q271" s="159"/>
      <c r="R271" s="159"/>
      <c r="S271" s="159"/>
      <c r="T271" s="159"/>
      <c r="U271" s="159"/>
      <c r="V271" s="5"/>
    </row>
    <row r="272" spans="1:22" ht="15.6" x14ac:dyDescent="0.3">
      <c r="A272" s="164"/>
      <c r="B272" s="13" t="s">
        <v>98</v>
      </c>
      <c r="C272" s="13"/>
      <c r="D272" s="13"/>
      <c r="E272" s="13"/>
      <c r="F272" s="133" t="s">
        <v>159</v>
      </c>
      <c r="G272" s="13"/>
      <c r="H272" s="13" t="s">
        <v>167</v>
      </c>
      <c r="I272" s="159"/>
      <c r="J272" s="159"/>
      <c r="K272" s="159"/>
      <c r="L272" s="159"/>
      <c r="M272" s="159"/>
      <c r="N272" s="159"/>
      <c r="O272" s="159"/>
      <c r="P272" s="159"/>
      <c r="Q272" s="159"/>
      <c r="R272" s="159"/>
      <c r="S272" s="159"/>
      <c r="T272" s="159"/>
      <c r="U272" s="159"/>
      <c r="V272" s="5"/>
    </row>
    <row r="273" spans="1:22" ht="15.6" x14ac:dyDescent="0.3">
      <c r="A273" s="164"/>
      <c r="B273" s="13" t="s">
        <v>273</v>
      </c>
      <c r="C273" s="13"/>
      <c r="D273" s="13"/>
      <c r="E273" s="13"/>
      <c r="F273" s="133" t="s">
        <v>274</v>
      </c>
      <c r="G273" s="13"/>
      <c r="H273" s="13" t="s">
        <v>275</v>
      </c>
      <c r="I273" s="159"/>
      <c r="J273" s="159"/>
      <c r="K273" s="159"/>
      <c r="L273" s="159"/>
      <c r="M273" s="159"/>
      <c r="N273" s="159"/>
      <c r="O273" s="159"/>
      <c r="P273" s="159"/>
      <c r="Q273" s="159"/>
      <c r="R273" s="159"/>
      <c r="S273" s="159"/>
      <c r="T273" s="159"/>
      <c r="U273" s="159"/>
      <c r="V273" s="5"/>
    </row>
    <row r="274" spans="1:22" ht="15.6" x14ac:dyDescent="0.3">
      <c r="A274" s="164"/>
      <c r="B274" s="13" t="s">
        <v>99</v>
      </c>
      <c r="C274" s="13"/>
      <c r="D274" s="13"/>
      <c r="E274" s="13"/>
      <c r="F274" s="133" t="s">
        <v>158</v>
      </c>
      <c r="G274" s="13"/>
      <c r="H274" s="13" t="s">
        <v>168</v>
      </c>
      <c r="I274" s="159"/>
      <c r="J274" s="159"/>
      <c r="K274" s="159"/>
      <c r="L274" s="159"/>
      <c r="M274" s="159"/>
      <c r="N274" s="159"/>
      <c r="O274" s="159"/>
      <c r="P274" s="159"/>
      <c r="Q274" s="159"/>
      <c r="R274" s="159"/>
      <c r="S274" s="159"/>
      <c r="T274" s="159"/>
      <c r="U274" s="159"/>
      <c r="V274" s="5"/>
    </row>
    <row r="275" spans="1:22" ht="15.6" x14ac:dyDescent="0.3">
      <c r="A275" s="164"/>
      <c r="B275" s="13"/>
      <c r="C275" s="13"/>
      <c r="D275" s="13"/>
      <c r="E275" s="13"/>
      <c r="F275" s="13"/>
      <c r="G275" s="100"/>
      <c r="H275" s="159"/>
      <c r="I275" s="159"/>
      <c r="J275" s="159"/>
      <c r="K275" s="159"/>
      <c r="L275" s="159"/>
      <c r="M275" s="159"/>
      <c r="N275" s="159"/>
      <c r="O275" s="159"/>
      <c r="P275" s="159"/>
      <c r="Q275" s="159"/>
      <c r="R275" s="159"/>
      <c r="S275" s="159"/>
      <c r="T275" s="159"/>
      <c r="U275" s="159"/>
      <c r="V275" s="5"/>
    </row>
    <row r="276" spans="1:22" ht="15.6" x14ac:dyDescent="0.3">
      <c r="A276" s="164"/>
      <c r="B276" s="13"/>
      <c r="C276" s="13"/>
      <c r="D276" s="13"/>
      <c r="E276" s="13"/>
      <c r="F276" s="13"/>
      <c r="G276" s="100"/>
      <c r="H276" s="159"/>
      <c r="I276" s="159"/>
      <c r="J276" s="159"/>
      <c r="K276" s="159"/>
      <c r="L276" s="159"/>
      <c r="M276" s="159"/>
      <c r="N276" s="159"/>
      <c r="O276" s="159"/>
      <c r="P276" s="159"/>
      <c r="Q276" s="159"/>
      <c r="R276" s="159"/>
      <c r="S276" s="159"/>
      <c r="T276" s="159"/>
      <c r="U276" s="159"/>
      <c r="V276" s="5"/>
    </row>
    <row r="277" spans="1:22" ht="18" thickBot="1" x14ac:dyDescent="0.35">
      <c r="A277" s="164"/>
      <c r="B277" s="49" t="str">
        <f>B194</f>
        <v>PM9 INVESTOR REPORT QUARTER ENDING OCTOBER 2008</v>
      </c>
      <c r="C277" s="13"/>
      <c r="D277" s="13"/>
      <c r="E277" s="13"/>
      <c r="F277" s="13"/>
      <c r="G277" s="100"/>
      <c r="H277" s="159"/>
      <c r="I277" s="159"/>
      <c r="J277" s="159"/>
      <c r="K277" s="159"/>
      <c r="L277" s="159"/>
      <c r="M277" s="159"/>
      <c r="N277" s="159"/>
      <c r="O277" s="159"/>
      <c r="P277" s="159"/>
      <c r="Q277" s="159"/>
      <c r="R277" s="159"/>
      <c r="S277" s="159"/>
      <c r="T277" s="159"/>
      <c r="U277" s="159"/>
      <c r="V277" s="5"/>
    </row>
    <row r="278" spans="1:22" x14ac:dyDescent="0.25">
      <c r="A278" s="101"/>
      <c r="B278" s="101"/>
      <c r="C278" s="101"/>
      <c r="D278" s="101"/>
      <c r="E278" s="101"/>
      <c r="F278" s="101"/>
      <c r="G278" s="101"/>
      <c r="H278" s="101"/>
      <c r="I278" s="101"/>
      <c r="J278" s="101"/>
      <c r="K278" s="101"/>
      <c r="L278" s="101"/>
      <c r="M278" s="101"/>
      <c r="N278" s="101"/>
      <c r="O278" s="101"/>
      <c r="P278" s="101"/>
      <c r="Q278" s="101"/>
      <c r="R278" s="101"/>
      <c r="S278" s="101"/>
      <c r="T278" s="101"/>
      <c r="U278" s="101"/>
    </row>
  </sheetData>
  <phoneticPr fontId="0" type="noConversion"/>
  <hyperlinks>
    <hyperlink ref="J9" r:id="rId1" xr:uid="{00000000-0004-0000-0C00-000000000000}"/>
    <hyperlink ref="N229" r:id="rId2" xr:uid="{00000000-0004-0000-0C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4" max="14" man="1"/>
    <brk id="194" max="14"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2D2926"/>
  </sheetPr>
  <dimension ref="A1:W278"/>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t="s">
        <v>263</v>
      </c>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0.70889999999999997</v>
      </c>
      <c r="R16" s="17" t="s">
        <v>149</v>
      </c>
      <c r="S16" s="140">
        <v>0.29110000000000003</v>
      </c>
      <c r="T16" s="16"/>
      <c r="U16" s="15"/>
      <c r="V16" s="5"/>
    </row>
    <row r="17" spans="1:22" ht="15.6" x14ac:dyDescent="0.3">
      <c r="A17" s="6"/>
      <c r="B17" s="14" t="s">
        <v>4</v>
      </c>
      <c r="C17" s="15"/>
      <c r="D17" s="15"/>
      <c r="E17" s="15"/>
      <c r="F17" s="15"/>
      <c r="G17" s="15"/>
      <c r="H17" s="15"/>
      <c r="I17" s="15"/>
      <c r="J17" s="15"/>
      <c r="K17" s="15"/>
      <c r="L17" s="15"/>
      <c r="M17" s="15"/>
      <c r="N17" s="15"/>
      <c r="O17" s="15"/>
      <c r="P17" s="15"/>
      <c r="Q17" s="169"/>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39867</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152964.5932</v>
      </c>
      <c r="E30" s="32"/>
      <c r="F30" s="125">
        <f>F29*F36</f>
        <v>156943.44099999999</v>
      </c>
      <c r="G30" s="31"/>
      <c r="H30" s="150">
        <f>H29*H36</f>
        <v>26525.628000000001</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148259.68520000001</v>
      </c>
      <c r="E31" s="36"/>
      <c r="F31" s="126">
        <f>F35*F29</f>
        <v>152116.15099999998</v>
      </c>
      <c r="G31" s="35"/>
      <c r="H31" s="155">
        <f>H35*H29</f>
        <v>25709.741999999998</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152964.5932</v>
      </c>
      <c r="E33" s="32"/>
      <c r="F33" s="31">
        <f>F32*F36</f>
        <v>108092.0319</v>
      </c>
      <c r="G33" s="31"/>
      <c r="H33" s="31">
        <f>H32*H36</f>
        <v>14986.979819999999</v>
      </c>
      <c r="I33" s="31"/>
      <c r="J33" s="31">
        <f>J32*J36</f>
        <v>7000</v>
      </c>
      <c r="K33" s="31"/>
      <c r="L33" s="31">
        <f>L32*L36</f>
        <v>20300</v>
      </c>
      <c r="M33" s="31"/>
      <c r="N33" s="31">
        <f>N32*N36</f>
        <v>3000</v>
      </c>
      <c r="O33" s="31"/>
      <c r="P33" s="31">
        <f>P32*P36</f>
        <v>45300</v>
      </c>
      <c r="Q33" s="31"/>
      <c r="R33" s="31"/>
      <c r="S33" s="161"/>
      <c r="T33" s="31">
        <f>SUM(C33:P33)</f>
        <v>351643.60492000001</v>
      </c>
      <c r="U33" s="34"/>
      <c r="V33" s="5"/>
    </row>
    <row r="34" spans="1:22" ht="15.6" x14ac:dyDescent="0.3">
      <c r="A34" s="28"/>
      <c r="B34" s="29" t="s">
        <v>291</v>
      </c>
      <c r="C34" s="36"/>
      <c r="D34" s="35">
        <f>D35*D32</f>
        <v>148259.68520000001</v>
      </c>
      <c r="E34" s="36"/>
      <c r="F34" s="35">
        <f>F35*F32</f>
        <v>104767.32089999999</v>
      </c>
      <c r="G34" s="35"/>
      <c r="H34" s="35">
        <f>H35*H32</f>
        <v>14526.004229999999</v>
      </c>
      <c r="I34" s="35"/>
      <c r="J34" s="35">
        <f>J35*J32</f>
        <v>7000</v>
      </c>
      <c r="K34" s="35"/>
      <c r="L34" s="35">
        <f>L35*L32</f>
        <v>20300</v>
      </c>
      <c r="M34" s="35"/>
      <c r="N34" s="35">
        <f>N35*N32</f>
        <v>3000</v>
      </c>
      <c r="O34" s="35"/>
      <c r="P34" s="35">
        <f>P35*P32</f>
        <v>45300</v>
      </c>
      <c r="Q34" s="35"/>
      <c r="R34" s="35"/>
      <c r="S34" s="37"/>
      <c r="T34" s="35">
        <f>SUM(C34:P34)</f>
        <v>343153.01033000002</v>
      </c>
      <c r="U34" s="34"/>
      <c r="V34" s="5"/>
    </row>
    <row r="35" spans="1:22" ht="15.6" x14ac:dyDescent="0.3">
      <c r="A35" s="28"/>
      <c r="B35" s="123" t="s">
        <v>139</v>
      </c>
      <c r="C35" s="127"/>
      <c r="D35" s="167">
        <v>0.42849619999999999</v>
      </c>
      <c r="E35" s="168"/>
      <c r="F35" s="167">
        <v>0.42849619999999999</v>
      </c>
      <c r="G35" s="167"/>
      <c r="H35" s="167">
        <v>0.42849569999999998</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67">
        <v>0.44209419999999999</v>
      </c>
      <c r="E36" s="168"/>
      <c r="F36" s="167">
        <v>0.44209419999999999</v>
      </c>
      <c r="G36" s="167"/>
      <c r="H36" s="167">
        <v>0.44209379999999998</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4.32875E-2</v>
      </c>
      <c r="E38" s="25"/>
      <c r="F38" s="38">
        <v>4.4249999999999998E-2</v>
      </c>
      <c r="G38" s="39"/>
      <c r="H38" s="38">
        <v>2.3287499999999999E-2</v>
      </c>
      <c r="I38" s="39"/>
      <c r="J38" s="38">
        <v>4.4387500000000003E-2</v>
      </c>
      <c r="K38" s="39"/>
      <c r="L38" s="38">
        <v>4.5350000000000001E-2</v>
      </c>
      <c r="M38" s="39"/>
      <c r="N38" s="38">
        <v>4.66875E-2</v>
      </c>
      <c r="O38" s="39"/>
      <c r="P38" s="38">
        <v>4.7649999999999998E-2</v>
      </c>
      <c r="Q38" s="39"/>
      <c r="R38" s="38"/>
      <c r="S38" s="160"/>
      <c r="T38" s="39"/>
      <c r="U38" s="25"/>
      <c r="V38" s="5"/>
    </row>
    <row r="39" spans="1:22" ht="15.6" x14ac:dyDescent="0.3">
      <c r="A39" s="24"/>
      <c r="B39" s="25" t="s">
        <v>14</v>
      </c>
      <c r="C39" s="25"/>
      <c r="D39" s="38">
        <v>5.9418800000000001E-2</v>
      </c>
      <c r="E39" s="25"/>
      <c r="F39" s="38">
        <v>5.1450000000000003E-2</v>
      </c>
      <c r="G39" s="39"/>
      <c r="H39" s="38">
        <v>2.98438E-2</v>
      </c>
      <c r="I39" s="39"/>
      <c r="J39" s="38">
        <v>6.0518799999999998E-2</v>
      </c>
      <c r="K39" s="39"/>
      <c r="L39" s="38">
        <v>5.2549999999999999E-2</v>
      </c>
      <c r="M39" s="39"/>
      <c r="N39" s="38">
        <v>6.2818799999999994E-2</v>
      </c>
      <c r="O39" s="39"/>
      <c r="P39" s="38">
        <v>5.4850000000000003E-2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4.32875E-2</v>
      </c>
      <c r="E41" s="25"/>
      <c r="F41" s="38">
        <v>4.3387500000000002E-2</v>
      </c>
      <c r="G41" s="39"/>
      <c r="H41" s="38">
        <v>4.3517500000000001E-2</v>
      </c>
      <c r="I41" s="39"/>
      <c r="J41" s="38">
        <f>+J38</f>
        <v>4.4387500000000003E-2</v>
      </c>
      <c r="K41" s="39"/>
      <c r="L41" s="38">
        <v>4.46825E-2</v>
      </c>
      <c r="M41" s="39"/>
      <c r="N41" s="38">
        <f>+N38</f>
        <v>4.66875E-2</v>
      </c>
      <c r="O41" s="39"/>
      <c r="P41" s="38">
        <v>4.7127500000000003E-2</v>
      </c>
      <c r="Q41" s="39"/>
      <c r="R41" s="38"/>
      <c r="S41" s="160"/>
      <c r="T41" s="39">
        <f>SUMPRODUCT(D41:P41,D33:P33)/T33</f>
        <v>4.3954159951350269E-2</v>
      </c>
      <c r="U41" s="25"/>
      <c r="V41" s="5"/>
    </row>
    <row r="42" spans="1:22" ht="15.6" x14ac:dyDescent="0.3">
      <c r="A42" s="24"/>
      <c r="B42" s="25" t="s">
        <v>294</v>
      </c>
      <c r="C42" s="25"/>
      <c r="D42" s="38">
        <f>+D39</f>
        <v>5.9418800000000001E-2</v>
      </c>
      <c r="E42" s="25"/>
      <c r="F42" s="38">
        <v>5.9518799999999997E-2</v>
      </c>
      <c r="G42" s="39"/>
      <c r="H42" s="38">
        <v>5.9648800000000002E-2</v>
      </c>
      <c r="I42" s="39"/>
      <c r="J42" s="38">
        <f>+J39</f>
        <v>6.0518799999999998E-2</v>
      </c>
      <c r="K42" s="39"/>
      <c r="L42" s="38">
        <v>6.0813800000000001E-2</v>
      </c>
      <c r="M42" s="39"/>
      <c r="N42" s="38">
        <f>+N39</f>
        <v>6.2818799999999994E-2</v>
      </c>
      <c r="O42" s="39"/>
      <c r="P42" s="38">
        <v>6.3258800000000004E-2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0.28256082750388389</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39861</v>
      </c>
      <c r="U53" s="25"/>
      <c r="V53" s="5"/>
    </row>
    <row r="54" spans="1:23" ht="15.6" x14ac:dyDescent="0.3">
      <c r="A54" s="24"/>
      <c r="B54" s="25" t="s">
        <v>130</v>
      </c>
      <c r="C54" s="25"/>
      <c r="D54" s="25"/>
      <c r="E54" s="25"/>
      <c r="F54" s="25"/>
      <c r="G54" s="25"/>
      <c r="H54" s="58"/>
      <c r="I54" s="58"/>
      <c r="J54" s="58"/>
      <c r="K54" s="58"/>
      <c r="L54" s="58"/>
      <c r="M54" s="58"/>
      <c r="N54" s="58"/>
      <c r="O54" s="58"/>
      <c r="P54" s="25">
        <f>+T54-R54+1</f>
        <v>94</v>
      </c>
      <c r="Q54" s="25"/>
      <c r="R54" s="45">
        <v>39675</v>
      </c>
      <c r="S54" s="46"/>
      <c r="T54" s="45">
        <v>39768</v>
      </c>
      <c r="U54" s="25"/>
      <c r="V54" s="5"/>
    </row>
    <row r="55" spans="1:23" ht="15.6" x14ac:dyDescent="0.3">
      <c r="A55" s="24"/>
      <c r="B55" s="25" t="s">
        <v>131</v>
      </c>
      <c r="C55" s="25"/>
      <c r="D55" s="25"/>
      <c r="E55" s="25"/>
      <c r="F55" s="25"/>
      <c r="G55" s="25"/>
      <c r="H55" s="25"/>
      <c r="I55" s="25"/>
      <c r="J55" s="25"/>
      <c r="K55" s="25"/>
      <c r="L55" s="25"/>
      <c r="M55" s="25"/>
      <c r="N55" s="25"/>
      <c r="O55" s="25"/>
      <c r="P55" s="25">
        <f>+T55-R55+1</f>
        <v>92</v>
      </c>
      <c r="Q55" s="25"/>
      <c r="R55" s="45">
        <v>39769</v>
      </c>
      <c r="S55" s="46"/>
      <c r="T55" s="45">
        <v>39860</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39846</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283</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351644</v>
      </c>
      <c r="M66" s="34"/>
      <c r="N66" s="34">
        <f>8491+224+94</f>
        <v>8809</v>
      </c>
      <c r="O66" s="34"/>
      <c r="P66" s="34">
        <f>224+94</f>
        <v>318</v>
      </c>
      <c r="Q66" s="34"/>
      <c r="R66" s="34">
        <v>0</v>
      </c>
      <c r="S66" s="34"/>
      <c r="T66" s="53">
        <f>+L66-N66+P66-R66</f>
        <v>343153</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351644</v>
      </c>
      <c r="M69" s="34"/>
      <c r="N69" s="34">
        <f>SUM(N66:N68)</f>
        <v>8809</v>
      </c>
      <c r="O69" s="34"/>
      <c r="P69" s="34">
        <f>SUM(P66:P68)</f>
        <v>318</v>
      </c>
      <c r="Q69" s="34"/>
      <c r="R69" s="34">
        <f>SUM(R66:R68)</f>
        <v>0</v>
      </c>
      <c r="S69" s="34"/>
      <c r="T69" s="54">
        <f>SUM(T66:T68)</f>
        <v>343153</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2"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2" ht="15.6" x14ac:dyDescent="0.3">
      <c r="A82" s="24"/>
      <c r="B82" s="25" t="s">
        <v>27</v>
      </c>
      <c r="C82" s="34"/>
      <c r="D82" s="34"/>
      <c r="E82" s="34"/>
      <c r="F82" s="54"/>
      <c r="G82" s="34"/>
      <c r="H82" s="54"/>
      <c r="I82" s="54"/>
      <c r="J82" s="54">
        <f>SUM(J69:J81)</f>
        <v>700000</v>
      </c>
      <c r="K82" s="34"/>
      <c r="L82" s="54">
        <f>SUM(L69:L81)</f>
        <v>351644</v>
      </c>
      <c r="M82" s="34"/>
      <c r="N82" s="34"/>
      <c r="O82" s="34"/>
      <c r="P82" s="34"/>
      <c r="Q82" s="34"/>
      <c r="R82" s="54"/>
      <c r="S82" s="34"/>
      <c r="T82" s="54">
        <f>SUM(T69:T81)</f>
        <v>343153</v>
      </c>
      <c r="U82" s="25"/>
      <c r="V82" s="5"/>
    </row>
    <row r="83" spans="1:22"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2" ht="15.6" x14ac:dyDescent="0.3">
      <c r="A84" s="6"/>
      <c r="B84" s="8"/>
      <c r="C84" s="8"/>
      <c r="D84" s="8"/>
      <c r="E84" s="8"/>
      <c r="F84" s="8"/>
      <c r="G84" s="8"/>
      <c r="H84" s="8"/>
      <c r="I84" s="8"/>
      <c r="J84" s="8"/>
      <c r="K84" s="8"/>
      <c r="L84" s="8"/>
      <c r="M84" s="8"/>
      <c r="N84" s="8"/>
      <c r="O84" s="8"/>
      <c r="P84" s="8"/>
      <c r="Q84" s="8"/>
      <c r="R84" s="8"/>
      <c r="S84" s="8"/>
      <c r="T84" s="8"/>
      <c r="U84" s="8"/>
      <c r="V84" s="5"/>
    </row>
    <row r="85" spans="1:22" ht="15.6" x14ac:dyDescent="0.3">
      <c r="A85" s="6"/>
      <c r="B85" s="51" t="s">
        <v>28</v>
      </c>
      <c r="C85" s="14"/>
      <c r="D85" s="14"/>
      <c r="E85" s="14"/>
      <c r="F85" s="14"/>
      <c r="G85" s="14"/>
      <c r="H85" s="17"/>
      <c r="I85" s="17"/>
      <c r="J85" s="158" t="s">
        <v>101</v>
      </c>
      <c r="K85" s="17"/>
      <c r="L85" s="157">
        <f>+R195</f>
        <v>39843</v>
      </c>
      <c r="M85" s="17"/>
      <c r="N85" s="17"/>
      <c r="O85" s="17"/>
      <c r="P85" s="17"/>
      <c r="Q85" s="17"/>
      <c r="R85" s="17" t="s">
        <v>114</v>
      </c>
      <c r="S85" s="17"/>
      <c r="T85" s="17" t="s">
        <v>122</v>
      </c>
      <c r="U85" s="8"/>
      <c r="V85" s="5"/>
    </row>
    <row r="86" spans="1:22"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2" ht="15.6" x14ac:dyDescent="0.3">
      <c r="A87" s="24"/>
      <c r="B87" s="25" t="s">
        <v>30</v>
      </c>
      <c r="C87" s="25"/>
      <c r="D87" s="25"/>
      <c r="E87" s="25"/>
      <c r="F87" s="25"/>
      <c r="G87" s="25"/>
      <c r="H87" s="40"/>
      <c r="I87" s="57"/>
      <c r="J87" s="40"/>
      <c r="K87" s="25"/>
      <c r="L87" s="128"/>
      <c r="M87" s="25"/>
      <c r="N87" s="25"/>
      <c r="O87" s="25"/>
      <c r="P87" s="25"/>
      <c r="Q87" s="25"/>
      <c r="R87" s="34">
        <f>8809-62</f>
        <v>8747</v>
      </c>
      <c r="S87" s="25"/>
      <c r="T87" s="53"/>
      <c r="U87" s="25"/>
      <c r="V87" s="5"/>
    </row>
    <row r="88" spans="1:22" ht="15.6" x14ac:dyDescent="0.3">
      <c r="A88" s="24"/>
      <c r="B88" s="25" t="s">
        <v>254</v>
      </c>
      <c r="C88" s="25"/>
      <c r="D88" s="25"/>
      <c r="E88" s="25"/>
      <c r="F88" s="25"/>
      <c r="G88" s="25"/>
      <c r="H88" s="40"/>
      <c r="I88" s="57"/>
      <c r="J88" s="40"/>
      <c r="K88" s="25"/>
      <c r="L88" s="128"/>
      <c r="M88" s="25"/>
      <c r="N88" s="25"/>
      <c r="O88" s="25"/>
      <c r="P88" s="25"/>
      <c r="Q88" s="25"/>
      <c r="R88" s="34"/>
      <c r="S88" s="25"/>
      <c r="T88" s="53">
        <f>4232+2410-565-923-7+48+39</f>
        <v>5234</v>
      </c>
      <c r="U88" s="25"/>
      <c r="V88" s="5"/>
    </row>
    <row r="89" spans="1:22" ht="15.6" x14ac:dyDescent="0.3">
      <c r="A89" s="24"/>
      <c r="B89" s="25" t="s">
        <v>255</v>
      </c>
      <c r="C89" s="25"/>
      <c r="D89" s="25"/>
      <c r="E89" s="25"/>
      <c r="F89" s="25"/>
      <c r="G89" s="25"/>
      <c r="H89" s="40"/>
      <c r="I89" s="57"/>
      <c r="J89" s="40"/>
      <c r="K89" s="25"/>
      <c r="L89" s="128"/>
      <c r="M89" s="25"/>
      <c r="N89" s="25"/>
      <c r="O89" s="25"/>
      <c r="P89" s="25"/>
      <c r="Q89" s="25"/>
      <c r="R89" s="34"/>
      <c r="S89" s="25"/>
      <c r="T89" s="53">
        <f>37+42</f>
        <v>79</v>
      </c>
      <c r="U89" s="25"/>
      <c r="V89" s="5"/>
    </row>
    <row r="90" spans="1:22" ht="15.6" x14ac:dyDescent="0.3">
      <c r="A90" s="24"/>
      <c r="B90" s="25" t="s">
        <v>256</v>
      </c>
      <c r="C90" s="25"/>
      <c r="D90" s="25"/>
      <c r="E90" s="25"/>
      <c r="F90" s="25"/>
      <c r="G90" s="25"/>
      <c r="H90" s="40"/>
      <c r="I90" s="57"/>
      <c r="J90" s="40"/>
      <c r="K90" s="25"/>
      <c r="L90" s="128"/>
      <c r="M90" s="25"/>
      <c r="N90" s="25"/>
      <c r="O90" s="25"/>
      <c r="P90" s="25"/>
      <c r="Q90" s="25"/>
      <c r="R90" s="34"/>
      <c r="S90" s="25"/>
      <c r="T90" s="53">
        <v>251</v>
      </c>
      <c r="U90" s="25"/>
      <c r="V90" s="5"/>
    </row>
    <row r="91" spans="1:22" ht="15.6" x14ac:dyDescent="0.3">
      <c r="A91" s="24"/>
      <c r="B91" s="25" t="s">
        <v>270</v>
      </c>
      <c r="C91" s="25"/>
      <c r="D91" s="25"/>
      <c r="E91" s="25"/>
      <c r="F91" s="25"/>
      <c r="G91" s="25"/>
      <c r="H91" s="40"/>
      <c r="I91" s="57"/>
      <c r="J91" s="40"/>
      <c r="K91" s="25"/>
      <c r="L91" s="128"/>
      <c r="M91" s="25"/>
      <c r="N91" s="25"/>
      <c r="O91" s="25"/>
      <c r="P91" s="25"/>
      <c r="Q91" s="25"/>
      <c r="R91" s="34"/>
      <c r="S91" s="25"/>
      <c r="T91" s="53">
        <v>0</v>
      </c>
      <c r="U91" s="25"/>
      <c r="V91" s="5"/>
    </row>
    <row r="92" spans="1:22" ht="15.6" x14ac:dyDescent="0.3">
      <c r="A92" s="24"/>
      <c r="B92" s="25" t="s">
        <v>144</v>
      </c>
      <c r="C92" s="25"/>
      <c r="D92" s="25"/>
      <c r="E92" s="25"/>
      <c r="F92" s="25"/>
      <c r="G92" s="25"/>
      <c r="H92" s="25"/>
      <c r="I92" s="25"/>
      <c r="J92" s="25"/>
      <c r="K92" s="25"/>
      <c r="L92" s="25"/>
      <c r="M92" s="25"/>
      <c r="N92" s="25"/>
      <c r="O92" s="25"/>
      <c r="P92" s="25"/>
      <c r="Q92" s="25"/>
      <c r="R92" s="34"/>
      <c r="S92" s="25"/>
      <c r="T92" s="53">
        <v>0</v>
      </c>
      <c r="U92" s="25"/>
      <c r="V92" s="5"/>
    </row>
    <row r="93" spans="1:22" ht="15.6" x14ac:dyDescent="0.3">
      <c r="A93" s="24"/>
      <c r="B93" s="25" t="s">
        <v>233</v>
      </c>
      <c r="C93" s="25"/>
      <c r="D93" s="25"/>
      <c r="E93" s="25"/>
      <c r="F93" s="25"/>
      <c r="G93" s="25"/>
      <c r="H93" s="25"/>
      <c r="I93" s="25"/>
      <c r="J93" s="25"/>
      <c r="K93" s="25"/>
      <c r="L93" s="25"/>
      <c r="M93" s="25"/>
      <c r="N93" s="25"/>
      <c r="O93" s="25"/>
      <c r="P93" s="25"/>
      <c r="Q93" s="25"/>
      <c r="R93" s="34"/>
      <c r="S93" s="25"/>
      <c r="T93" s="53">
        <v>0</v>
      </c>
      <c r="U93" s="25"/>
      <c r="V93" s="5"/>
    </row>
    <row r="94" spans="1:22" ht="15.6" x14ac:dyDescent="0.3">
      <c r="A94" s="24"/>
      <c r="B94" s="25" t="s">
        <v>32</v>
      </c>
      <c r="C94" s="25"/>
      <c r="D94" s="25"/>
      <c r="E94" s="25"/>
      <c r="F94" s="25"/>
      <c r="G94" s="25"/>
      <c r="H94" s="25"/>
      <c r="I94" s="25"/>
      <c r="J94" s="25"/>
      <c r="K94" s="25"/>
      <c r="L94" s="25"/>
      <c r="M94" s="25"/>
      <c r="N94" s="25"/>
      <c r="O94" s="25"/>
      <c r="P94" s="25"/>
      <c r="Q94" s="25"/>
      <c r="R94" s="34">
        <f>SUM(R86:R93)</f>
        <v>8747</v>
      </c>
      <c r="S94" s="25"/>
      <c r="T94" s="54">
        <f>SUM(T86:T93)</f>
        <v>5564</v>
      </c>
      <c r="U94" s="25"/>
      <c r="V94" s="5"/>
    </row>
    <row r="95" spans="1:22" ht="15.6" x14ac:dyDescent="0.3">
      <c r="A95" s="24"/>
      <c r="B95" s="25" t="s">
        <v>176</v>
      </c>
      <c r="C95" s="25"/>
      <c r="D95" s="25"/>
      <c r="E95" s="25"/>
      <c r="F95" s="25"/>
      <c r="G95" s="25"/>
      <c r="H95" s="25"/>
      <c r="I95" s="25"/>
      <c r="J95" s="25"/>
      <c r="K95" s="25"/>
      <c r="L95" s="25"/>
      <c r="M95" s="25"/>
      <c r="N95" s="25"/>
      <c r="O95" s="25"/>
      <c r="P95" s="25"/>
      <c r="Q95" s="25"/>
      <c r="R95" s="34">
        <v>-9</v>
      </c>
      <c r="S95" s="25"/>
      <c r="T95" s="54">
        <f>-R95</f>
        <v>9</v>
      </c>
      <c r="U95" s="25"/>
      <c r="V95" s="5"/>
    </row>
    <row r="96" spans="1:22" ht="15.6" x14ac:dyDescent="0.3">
      <c r="A96" s="24"/>
      <c r="B96" s="25" t="s">
        <v>33</v>
      </c>
      <c r="C96" s="25"/>
      <c r="D96" s="25"/>
      <c r="E96" s="25"/>
      <c r="F96" s="25"/>
      <c r="G96" s="25"/>
      <c r="H96" s="25"/>
      <c r="I96" s="25"/>
      <c r="J96" s="25"/>
      <c r="K96" s="25"/>
      <c r="L96" s="25"/>
      <c r="M96" s="25"/>
      <c r="N96" s="25"/>
      <c r="O96" s="25"/>
      <c r="P96" s="25"/>
      <c r="Q96" s="25"/>
      <c r="R96" s="34">
        <f>-T96</f>
        <v>0</v>
      </c>
      <c r="S96" s="25"/>
      <c r="T96" s="53">
        <v>0</v>
      </c>
      <c r="U96" s="25"/>
      <c r="V96" s="5"/>
    </row>
    <row r="97" spans="1:23" ht="15.6" x14ac:dyDescent="0.3">
      <c r="A97" s="24"/>
      <c r="B97" s="25" t="s">
        <v>278</v>
      </c>
      <c r="C97" s="25"/>
      <c r="D97" s="25"/>
      <c r="E97" s="25"/>
      <c r="F97" s="25"/>
      <c r="G97" s="25"/>
      <c r="H97" s="25"/>
      <c r="I97" s="25"/>
      <c r="J97" s="25"/>
      <c r="K97" s="25"/>
      <c r="L97" s="25"/>
      <c r="M97" s="25"/>
      <c r="N97" s="25"/>
      <c r="O97" s="25"/>
      <c r="P97" s="25"/>
      <c r="Q97" s="25"/>
      <c r="R97" s="34"/>
      <c r="S97" s="25"/>
      <c r="T97" s="53">
        <v>42</v>
      </c>
      <c r="U97" s="25"/>
      <c r="V97" s="5"/>
    </row>
    <row r="98" spans="1:23" ht="15.6" x14ac:dyDescent="0.3">
      <c r="A98" s="24"/>
      <c r="B98" s="25" t="s">
        <v>34</v>
      </c>
      <c r="C98" s="25"/>
      <c r="D98" s="25"/>
      <c r="E98" s="25"/>
      <c r="F98" s="25"/>
      <c r="G98" s="25"/>
      <c r="H98" s="25"/>
      <c r="I98" s="25"/>
      <c r="J98" s="25"/>
      <c r="K98" s="25"/>
      <c r="L98" s="25"/>
      <c r="M98" s="25"/>
      <c r="N98" s="25"/>
      <c r="O98" s="25"/>
      <c r="P98" s="25"/>
      <c r="Q98" s="25"/>
      <c r="R98" s="34">
        <f>R94+R96+R95</f>
        <v>8738</v>
      </c>
      <c r="S98" s="25"/>
      <c r="T98" s="54">
        <f>T94+T96+T95+T97</f>
        <v>5615</v>
      </c>
      <c r="U98" s="25"/>
      <c r="V98" s="5"/>
      <c r="W98" s="166"/>
    </row>
    <row r="99" spans="1:23" ht="15.6" x14ac:dyDescent="0.3">
      <c r="A99" s="24"/>
      <c r="B99" s="119" t="s">
        <v>35</v>
      </c>
      <c r="C99" s="25"/>
      <c r="D99" s="25"/>
      <c r="E99" s="25"/>
      <c r="F99" s="25"/>
      <c r="G99" s="25"/>
      <c r="H99" s="25"/>
      <c r="I99" s="25"/>
      <c r="J99" s="25"/>
      <c r="K99" s="25"/>
      <c r="L99" s="25"/>
      <c r="M99" s="25"/>
      <c r="N99" s="25"/>
      <c r="O99" s="25"/>
      <c r="P99" s="25"/>
      <c r="Q99" s="25"/>
      <c r="R99" s="34"/>
      <c r="S99" s="25"/>
      <c r="T99" s="53"/>
      <c r="U99" s="25"/>
      <c r="V99" s="5"/>
    </row>
    <row r="100" spans="1:23" ht="15.6" x14ac:dyDescent="0.3">
      <c r="A100" s="24">
        <v>1</v>
      </c>
      <c r="B100" s="25" t="s">
        <v>36</v>
      </c>
      <c r="C100" s="25"/>
      <c r="D100" s="25"/>
      <c r="E100" s="25"/>
      <c r="F100" s="25"/>
      <c r="G100" s="25"/>
      <c r="H100" s="25"/>
      <c r="I100" s="25"/>
      <c r="J100" s="25"/>
      <c r="K100" s="25"/>
      <c r="L100" s="25"/>
      <c r="M100" s="25"/>
      <c r="N100" s="25"/>
      <c r="O100" s="25"/>
      <c r="P100" s="25"/>
      <c r="Q100" s="25"/>
      <c r="R100" s="25"/>
      <c r="S100" s="25"/>
      <c r="T100" s="53">
        <v>0</v>
      </c>
      <c r="U100" s="25"/>
      <c r="V100" s="5"/>
    </row>
    <row r="101" spans="1:23" ht="15.6" x14ac:dyDescent="0.3">
      <c r="A101" s="24">
        <f>+A100+1</f>
        <v>2</v>
      </c>
      <c r="B101" s="25" t="s">
        <v>37</v>
      </c>
      <c r="C101" s="25"/>
      <c r="D101" s="25"/>
      <c r="E101" s="25"/>
      <c r="F101" s="25"/>
      <c r="G101" s="25"/>
      <c r="H101" s="25"/>
      <c r="I101" s="25"/>
      <c r="J101" s="25"/>
      <c r="K101" s="25"/>
      <c r="L101" s="25"/>
      <c r="M101" s="25"/>
      <c r="N101" s="25"/>
      <c r="O101" s="25"/>
      <c r="P101" s="25"/>
      <c r="Q101" s="25"/>
      <c r="R101" s="25"/>
      <c r="S101" s="25"/>
      <c r="T101" s="53">
        <v>-2</v>
      </c>
      <c r="U101" s="25"/>
      <c r="V101" s="5"/>
    </row>
    <row r="102" spans="1:23" ht="15.6" x14ac:dyDescent="0.3">
      <c r="A102" s="24">
        <f>+A101+1</f>
        <v>3</v>
      </c>
      <c r="B102" s="25" t="s">
        <v>160</v>
      </c>
      <c r="C102" s="25"/>
      <c r="D102" s="25"/>
      <c r="E102" s="25"/>
      <c r="F102" s="25"/>
      <c r="G102" s="25"/>
      <c r="H102" s="25"/>
      <c r="I102" s="25"/>
      <c r="J102" s="25"/>
      <c r="K102" s="25"/>
      <c r="L102" s="25"/>
      <c r="M102" s="25"/>
      <c r="N102" s="25"/>
      <c r="O102" s="25"/>
      <c r="P102" s="25"/>
      <c r="Q102" s="25"/>
      <c r="R102" s="25"/>
      <c r="S102" s="25"/>
      <c r="T102" s="53">
        <f>-134-90-4</f>
        <v>-228</v>
      </c>
      <c r="U102" s="25"/>
      <c r="V102" s="5"/>
    </row>
    <row r="103" spans="1:23" ht="15.6" x14ac:dyDescent="0.3">
      <c r="A103" s="24" t="s">
        <v>136</v>
      </c>
      <c r="B103" s="25" t="s">
        <v>125</v>
      </c>
      <c r="C103" s="25"/>
      <c r="D103" s="25"/>
      <c r="E103" s="25"/>
      <c r="F103" s="25"/>
      <c r="G103" s="25"/>
      <c r="H103" s="25"/>
      <c r="I103" s="25"/>
      <c r="J103" s="25"/>
      <c r="K103" s="25"/>
      <c r="L103" s="25"/>
      <c r="M103" s="25"/>
      <c r="N103" s="25"/>
      <c r="O103" s="25"/>
      <c r="P103" s="25"/>
      <c r="Q103" s="25"/>
      <c r="R103" s="25"/>
      <c r="S103" s="25"/>
      <c r="T103" s="53">
        <v>-338</v>
      </c>
      <c r="U103" s="25"/>
      <c r="V103" s="5"/>
    </row>
    <row r="104" spans="1:23" ht="15.6" x14ac:dyDescent="0.3">
      <c r="A104" s="24" t="s">
        <v>137</v>
      </c>
      <c r="B104" s="25" t="s">
        <v>267</v>
      </c>
      <c r="C104" s="25"/>
      <c r="D104" s="25"/>
      <c r="E104" s="25"/>
      <c r="F104" s="25"/>
      <c r="G104" s="25"/>
      <c r="H104" s="25"/>
      <c r="I104" s="25"/>
      <c r="J104" s="25"/>
      <c r="K104" s="25"/>
      <c r="L104" s="25"/>
      <c r="M104" s="25"/>
      <c r="N104" s="25"/>
      <c r="O104" s="25"/>
      <c r="P104" s="25"/>
      <c r="Q104" s="25"/>
      <c r="R104" s="25"/>
      <c r="S104" s="25"/>
      <c r="T104" s="53">
        <v>-2</v>
      </c>
      <c r="U104" s="25"/>
      <c r="V104" s="5"/>
    </row>
    <row r="105" spans="1:23" ht="15.6" x14ac:dyDescent="0.3">
      <c r="A105" s="24" t="s">
        <v>162</v>
      </c>
      <c r="B105" s="25" t="s">
        <v>218</v>
      </c>
      <c r="C105" s="25"/>
      <c r="D105" s="25"/>
      <c r="E105" s="25"/>
      <c r="F105" s="25"/>
      <c r="G105" s="25"/>
      <c r="H105" s="25"/>
      <c r="I105" s="25"/>
      <c r="J105" s="25"/>
      <c r="K105" s="25"/>
      <c r="L105" s="25"/>
      <c r="M105" s="25"/>
      <c r="N105" s="25"/>
      <c r="O105" s="25"/>
      <c r="P105" s="25"/>
      <c r="Q105" s="25"/>
      <c r="R105" s="25"/>
      <c r="S105" s="25"/>
      <c r="T105" s="53">
        <v>-1669</v>
      </c>
      <c r="U105" s="25"/>
      <c r="V105" s="5"/>
      <c r="W105" s="110"/>
    </row>
    <row r="106" spans="1:23" ht="15.6" x14ac:dyDescent="0.3">
      <c r="A106" s="24" t="s">
        <v>163</v>
      </c>
      <c r="B106" s="25" t="s">
        <v>219</v>
      </c>
      <c r="C106" s="25"/>
      <c r="D106" s="25"/>
      <c r="E106" s="25"/>
      <c r="F106" s="25"/>
      <c r="G106" s="25"/>
      <c r="H106" s="25"/>
      <c r="I106" s="25"/>
      <c r="J106" s="25"/>
      <c r="K106" s="25"/>
      <c r="L106" s="25"/>
      <c r="M106" s="25"/>
      <c r="N106" s="25"/>
      <c r="O106" s="25"/>
      <c r="P106" s="25"/>
      <c r="Q106" s="25"/>
      <c r="R106" s="25"/>
      <c r="S106" s="25"/>
      <c r="T106" s="53">
        <v>-1182</v>
      </c>
      <c r="U106" s="25"/>
      <c r="V106" s="5"/>
      <c r="W106" s="110"/>
    </row>
    <row r="107" spans="1:23" ht="15.6" x14ac:dyDescent="0.3">
      <c r="A107" s="24" t="s">
        <v>252</v>
      </c>
      <c r="B107" s="25" t="s">
        <v>242</v>
      </c>
      <c r="C107" s="25"/>
      <c r="D107" s="25"/>
      <c r="E107" s="25"/>
      <c r="F107" s="25"/>
      <c r="G107" s="25"/>
      <c r="H107" s="25"/>
      <c r="I107" s="25"/>
      <c r="J107" s="25"/>
      <c r="K107" s="25"/>
      <c r="L107" s="25"/>
      <c r="M107" s="25"/>
      <c r="N107" s="25"/>
      <c r="O107" s="25"/>
      <c r="P107" s="25"/>
      <c r="Q107" s="25"/>
      <c r="R107" s="25"/>
      <c r="S107" s="25"/>
      <c r="T107" s="53">
        <v>-164</v>
      </c>
      <c r="U107" s="25"/>
      <c r="V107" s="170"/>
      <c r="W107" s="110"/>
    </row>
    <row r="108" spans="1:23" ht="15.6" x14ac:dyDescent="0.3">
      <c r="A108" s="24" t="s">
        <v>245</v>
      </c>
      <c r="B108" s="25" t="s">
        <v>220</v>
      </c>
      <c r="C108" s="25"/>
      <c r="D108" s="25"/>
      <c r="E108" s="25"/>
      <c r="F108" s="25"/>
      <c r="G108" s="25"/>
      <c r="H108" s="25"/>
      <c r="I108" s="25"/>
      <c r="J108" s="25"/>
      <c r="K108" s="25"/>
      <c r="L108" s="25"/>
      <c r="M108" s="25"/>
      <c r="N108" s="25"/>
      <c r="O108" s="25"/>
      <c r="P108" s="25"/>
      <c r="Q108" s="25"/>
      <c r="R108" s="25"/>
      <c r="S108" s="25"/>
      <c r="T108" s="53">
        <v>-78</v>
      </c>
      <c r="U108" s="25"/>
      <c r="V108" s="5"/>
      <c r="W108" s="110"/>
    </row>
    <row r="109" spans="1:23" ht="15.6" x14ac:dyDescent="0.3">
      <c r="A109" s="24" t="s">
        <v>246</v>
      </c>
      <c r="B109" s="25" t="s">
        <v>221</v>
      </c>
      <c r="C109" s="25"/>
      <c r="D109" s="25"/>
      <c r="E109" s="25"/>
      <c r="F109" s="25"/>
      <c r="G109" s="25"/>
      <c r="H109" s="25"/>
      <c r="I109" s="25"/>
      <c r="J109" s="25"/>
      <c r="K109" s="25"/>
      <c r="L109" s="25"/>
      <c r="M109" s="25"/>
      <c r="N109" s="25"/>
      <c r="O109" s="25"/>
      <c r="P109" s="25"/>
      <c r="Q109" s="25"/>
      <c r="R109" s="25"/>
      <c r="S109" s="25"/>
      <c r="T109" s="53">
        <v>-229</v>
      </c>
      <c r="U109" s="25"/>
      <c r="V109" s="5"/>
      <c r="W109" s="110"/>
    </row>
    <row r="110" spans="1:23" ht="15.6" x14ac:dyDescent="0.3">
      <c r="A110" s="24" t="s">
        <v>247</v>
      </c>
      <c r="B110" s="25" t="s">
        <v>222</v>
      </c>
      <c r="C110" s="25"/>
      <c r="D110" s="25"/>
      <c r="E110" s="25"/>
      <c r="F110" s="25"/>
      <c r="G110" s="25"/>
      <c r="H110" s="25"/>
      <c r="I110" s="25"/>
      <c r="J110" s="25"/>
      <c r="K110" s="25"/>
      <c r="L110" s="25"/>
      <c r="M110" s="25"/>
      <c r="N110" s="25"/>
      <c r="O110" s="25"/>
      <c r="P110" s="25"/>
      <c r="Q110" s="25"/>
      <c r="R110" s="25"/>
      <c r="S110" s="25"/>
      <c r="T110" s="53">
        <v>-35</v>
      </c>
      <c r="U110" s="25"/>
      <c r="V110" s="5"/>
      <c r="W110" s="110"/>
    </row>
    <row r="111" spans="1:23" ht="15.6" x14ac:dyDescent="0.3">
      <c r="A111" s="24" t="s">
        <v>248</v>
      </c>
      <c r="B111" s="25" t="s">
        <v>223</v>
      </c>
      <c r="C111" s="25"/>
      <c r="D111" s="25"/>
      <c r="E111" s="25"/>
      <c r="F111" s="25"/>
      <c r="G111" s="25"/>
      <c r="H111" s="25"/>
      <c r="I111" s="25"/>
      <c r="J111" s="25"/>
      <c r="K111" s="25"/>
      <c r="L111" s="25"/>
      <c r="M111" s="25"/>
      <c r="N111" s="25"/>
      <c r="O111" s="25"/>
      <c r="P111" s="25"/>
      <c r="Q111" s="25"/>
      <c r="R111" s="25"/>
      <c r="S111" s="25"/>
      <c r="T111" s="53">
        <v>-538</v>
      </c>
      <c r="U111" s="25"/>
      <c r="V111" s="5"/>
      <c r="W111" s="110"/>
    </row>
    <row r="112" spans="1:23" ht="15.6" x14ac:dyDescent="0.3">
      <c r="A112" s="24">
        <v>7</v>
      </c>
      <c r="B112" s="25" t="s">
        <v>38</v>
      </c>
      <c r="C112" s="25"/>
      <c r="D112" s="25"/>
      <c r="E112" s="25"/>
      <c r="F112" s="25"/>
      <c r="G112" s="25"/>
      <c r="H112" s="25"/>
      <c r="I112" s="25"/>
      <c r="J112" s="25"/>
      <c r="K112" s="25"/>
      <c r="L112" s="25"/>
      <c r="M112" s="25"/>
      <c r="N112" s="25"/>
      <c r="O112" s="25"/>
      <c r="P112" s="25"/>
      <c r="Q112" s="25"/>
      <c r="R112" s="25"/>
      <c r="S112" s="25"/>
      <c r="T112" s="53">
        <v>-8</v>
      </c>
      <c r="U112" s="25"/>
      <c r="V112" s="5"/>
    </row>
    <row r="113" spans="1:22" ht="15.6" x14ac:dyDescent="0.3">
      <c r="A113" s="24">
        <f t="shared" ref="A113:A118" si="0">+A112+1</f>
        <v>8</v>
      </c>
      <c r="B113" s="25" t="s">
        <v>49</v>
      </c>
      <c r="C113" s="25"/>
      <c r="D113" s="25"/>
      <c r="E113" s="25"/>
      <c r="F113" s="25"/>
      <c r="G113" s="25"/>
      <c r="H113" s="25"/>
      <c r="I113" s="25"/>
      <c r="J113" s="25"/>
      <c r="K113" s="25"/>
      <c r="L113" s="25"/>
      <c r="M113" s="25"/>
      <c r="N113" s="25"/>
      <c r="O113" s="25"/>
      <c r="P113" s="25"/>
      <c r="Q113" s="25"/>
      <c r="R113" s="34">
        <f>-T113</f>
        <v>62</v>
      </c>
      <c r="S113" s="25"/>
      <c r="T113" s="53">
        <v>-62</v>
      </c>
      <c r="U113" s="25"/>
      <c r="V113" s="5"/>
    </row>
    <row r="114" spans="1:22" ht="15.6" x14ac:dyDescent="0.3">
      <c r="A114" s="24">
        <f t="shared" si="0"/>
        <v>9</v>
      </c>
      <c r="B114" s="25" t="s">
        <v>134</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39</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40</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161</v>
      </c>
      <c r="C117" s="25"/>
      <c r="D117" s="25"/>
      <c r="E117" s="25"/>
      <c r="F117" s="25"/>
      <c r="G117" s="25"/>
      <c r="H117" s="25"/>
      <c r="I117" s="25"/>
      <c r="J117" s="25"/>
      <c r="K117" s="25"/>
      <c r="L117" s="25"/>
      <c r="M117" s="25"/>
      <c r="N117" s="25"/>
      <c r="O117" s="25"/>
      <c r="P117" s="25"/>
      <c r="Q117" s="25"/>
      <c r="R117" s="25"/>
      <c r="S117" s="25"/>
      <c r="T117" s="53">
        <v>-133</v>
      </c>
      <c r="U117" s="25"/>
      <c r="V117" s="5"/>
    </row>
    <row r="118" spans="1:22" ht="15.6" x14ac:dyDescent="0.3">
      <c r="A118" s="24">
        <f t="shared" si="0"/>
        <v>13</v>
      </c>
      <c r="B118" s="25" t="s">
        <v>135</v>
      </c>
      <c r="C118" s="25"/>
      <c r="D118" s="25"/>
      <c r="E118" s="25"/>
      <c r="F118" s="25"/>
      <c r="G118" s="25"/>
      <c r="H118" s="25"/>
      <c r="I118" s="25"/>
      <c r="J118" s="25"/>
      <c r="K118" s="25"/>
      <c r="L118" s="25"/>
      <c r="M118" s="25"/>
      <c r="N118" s="25"/>
      <c r="O118" s="25"/>
      <c r="P118" s="25"/>
      <c r="Q118" s="25"/>
      <c r="R118" s="25"/>
      <c r="S118" s="25"/>
      <c r="T118" s="53">
        <f>-T98-SUM(T100:T117)</f>
        <v>-947</v>
      </c>
      <c r="U118" s="25"/>
      <c r="V118" s="5"/>
    </row>
    <row r="119" spans="1:22" ht="15.6" x14ac:dyDescent="0.3">
      <c r="A119" s="24"/>
      <c r="B119" s="119" t="s">
        <v>41</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229</v>
      </c>
      <c r="C120" s="25"/>
      <c r="D120" s="25"/>
      <c r="E120" s="25"/>
      <c r="F120" s="25"/>
      <c r="G120" s="25"/>
      <c r="H120" s="25"/>
      <c r="I120" s="25"/>
      <c r="J120" s="25"/>
      <c r="K120" s="25"/>
      <c r="L120" s="25"/>
      <c r="M120" s="25"/>
      <c r="N120" s="25"/>
      <c r="O120" s="25"/>
      <c r="P120" s="25"/>
      <c r="Q120" s="25"/>
      <c r="R120" s="34">
        <f>-R179</f>
        <v>0</v>
      </c>
      <c r="S120" s="34"/>
      <c r="T120" s="53"/>
      <c r="U120" s="25"/>
      <c r="V120" s="5"/>
    </row>
    <row r="121" spans="1:22" ht="15.6" x14ac:dyDescent="0.3">
      <c r="A121" s="24"/>
      <c r="B121" s="25" t="s">
        <v>230</v>
      </c>
      <c r="C121" s="25"/>
      <c r="D121" s="25"/>
      <c r="E121" s="25"/>
      <c r="F121" s="25"/>
      <c r="G121" s="25"/>
      <c r="H121" s="25"/>
      <c r="I121" s="25"/>
      <c r="J121" s="25"/>
      <c r="K121" s="25"/>
      <c r="L121" s="25"/>
      <c r="M121" s="25"/>
      <c r="N121" s="25"/>
      <c r="O121" s="25"/>
      <c r="P121" s="25"/>
      <c r="Q121" s="25"/>
      <c r="R121" s="34">
        <v>-80</v>
      </c>
      <c r="S121" s="34"/>
      <c r="T121" s="53"/>
      <c r="U121" s="25"/>
      <c r="V121" s="5"/>
    </row>
    <row r="122" spans="1:22" ht="15.6" x14ac:dyDescent="0.3">
      <c r="A122" s="24"/>
      <c r="B122" s="25" t="s">
        <v>42</v>
      </c>
      <c r="C122" s="25"/>
      <c r="D122" s="25"/>
      <c r="E122" s="25"/>
      <c r="F122" s="25"/>
      <c r="G122" s="25"/>
      <c r="H122" s="25"/>
      <c r="I122" s="25"/>
      <c r="J122" s="25"/>
      <c r="K122" s="25"/>
      <c r="L122" s="25"/>
      <c r="M122" s="25"/>
      <c r="N122" s="25"/>
      <c r="O122" s="25"/>
      <c r="P122" s="25"/>
      <c r="Q122" s="25"/>
      <c r="R122" s="34">
        <f>-Q179</f>
        <v>-229</v>
      </c>
      <c r="S122" s="34"/>
      <c r="T122" s="53"/>
      <c r="U122" s="25"/>
      <c r="V122" s="5"/>
    </row>
    <row r="123" spans="1:22" ht="15.6" x14ac:dyDescent="0.3">
      <c r="A123" s="24"/>
      <c r="B123" s="25" t="s">
        <v>235</v>
      </c>
      <c r="C123" s="25"/>
      <c r="D123" s="25"/>
      <c r="E123" s="25"/>
      <c r="F123" s="25"/>
      <c r="G123" s="25"/>
      <c r="H123" s="25"/>
      <c r="I123" s="25"/>
      <c r="J123" s="25"/>
      <c r="K123" s="25"/>
      <c r="L123" s="25"/>
      <c r="M123" s="25"/>
      <c r="N123" s="25"/>
      <c r="O123" s="25"/>
      <c r="P123" s="25"/>
      <c r="Q123" s="25"/>
      <c r="R123" s="34">
        <v>-4705</v>
      </c>
      <c r="S123" s="34"/>
      <c r="T123" s="53"/>
      <c r="U123" s="25"/>
      <c r="V123" s="5"/>
    </row>
    <row r="124" spans="1:22" ht="15.6" x14ac:dyDescent="0.3">
      <c r="A124" s="24"/>
      <c r="B124" s="25" t="s">
        <v>236</v>
      </c>
      <c r="C124" s="25"/>
      <c r="D124" s="25"/>
      <c r="E124" s="25"/>
      <c r="F124" s="25"/>
      <c r="G124" s="25"/>
      <c r="H124" s="25"/>
      <c r="I124" s="25"/>
      <c r="J124" s="25"/>
      <c r="K124" s="25"/>
      <c r="L124" s="25"/>
      <c r="M124" s="25"/>
      <c r="N124" s="25"/>
      <c r="O124" s="25"/>
      <c r="P124" s="25"/>
      <c r="Q124" s="25"/>
      <c r="R124" s="34">
        <v>-3325</v>
      </c>
      <c r="S124" s="34"/>
      <c r="T124" s="53"/>
      <c r="U124" s="25"/>
      <c r="V124" s="5"/>
    </row>
    <row r="125" spans="1:22" ht="15.6" x14ac:dyDescent="0.3">
      <c r="A125" s="24"/>
      <c r="B125" s="25" t="s">
        <v>241</v>
      </c>
      <c r="C125" s="25"/>
      <c r="D125" s="25"/>
      <c r="E125" s="25"/>
      <c r="F125" s="25"/>
      <c r="G125" s="25"/>
      <c r="H125" s="25"/>
      <c r="I125" s="25"/>
      <c r="J125" s="25"/>
      <c r="K125" s="25"/>
      <c r="L125" s="25"/>
      <c r="M125" s="25"/>
      <c r="N125" s="25"/>
      <c r="O125" s="25"/>
      <c r="P125" s="25"/>
      <c r="Q125" s="25"/>
      <c r="R125" s="34">
        <v>-461</v>
      </c>
      <c r="S125" s="34"/>
      <c r="T125" s="53"/>
      <c r="U125" s="25"/>
      <c r="V125" s="5"/>
    </row>
    <row r="126" spans="1:22" ht="15.6" x14ac:dyDescent="0.3">
      <c r="A126" s="24"/>
      <c r="B126" s="25" t="s">
        <v>237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238</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239</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240</v>
      </c>
      <c r="C129" s="25"/>
      <c r="D129" s="25"/>
      <c r="E129" s="25"/>
      <c r="F129" s="25"/>
      <c r="G129" s="25"/>
      <c r="H129" s="25"/>
      <c r="I129" s="25"/>
      <c r="J129" s="25"/>
      <c r="K129" s="25"/>
      <c r="L129" s="25"/>
      <c r="M129" s="25"/>
      <c r="N129" s="25"/>
      <c r="O129" s="25"/>
      <c r="P129" s="25"/>
      <c r="Q129" s="25"/>
      <c r="R129" s="34">
        <v>0</v>
      </c>
      <c r="S129" s="34"/>
      <c r="T129" s="53"/>
      <c r="U129" s="25"/>
      <c r="V129" s="5"/>
    </row>
    <row r="130" spans="1:22" ht="15.6" x14ac:dyDescent="0.3">
      <c r="A130" s="24"/>
      <c r="B130" s="25" t="s">
        <v>43</v>
      </c>
      <c r="C130" s="25"/>
      <c r="D130" s="25"/>
      <c r="E130" s="25"/>
      <c r="F130" s="25"/>
      <c r="G130" s="25"/>
      <c r="H130" s="25"/>
      <c r="I130" s="25"/>
      <c r="J130" s="25"/>
      <c r="K130" s="25"/>
      <c r="L130" s="25"/>
      <c r="M130" s="25"/>
      <c r="N130" s="25"/>
      <c r="O130" s="25"/>
      <c r="P130" s="25"/>
      <c r="Q130" s="25"/>
      <c r="R130" s="34">
        <f>SUM(R120:R129)</f>
        <v>-8800</v>
      </c>
      <c r="S130" s="34"/>
      <c r="T130" s="34">
        <f>SUM(T99:T128)</f>
        <v>-5615</v>
      </c>
      <c r="U130" s="25"/>
      <c r="V130" s="5"/>
    </row>
    <row r="131" spans="1:22" ht="15.6" x14ac:dyDescent="0.3">
      <c r="A131" s="24"/>
      <c r="B131" s="25" t="s">
        <v>44</v>
      </c>
      <c r="C131" s="25"/>
      <c r="D131" s="25"/>
      <c r="E131" s="25"/>
      <c r="F131" s="25"/>
      <c r="G131" s="25"/>
      <c r="H131" s="25"/>
      <c r="I131" s="25"/>
      <c r="J131" s="25"/>
      <c r="K131" s="25"/>
      <c r="L131" s="25"/>
      <c r="M131" s="25"/>
      <c r="N131" s="25"/>
      <c r="O131" s="25"/>
      <c r="P131" s="25"/>
      <c r="Q131" s="25"/>
      <c r="R131" s="34">
        <f>R98+R130+R113</f>
        <v>0</v>
      </c>
      <c r="S131" s="34"/>
      <c r="T131" s="34">
        <f>T98+T130</f>
        <v>0</v>
      </c>
      <c r="U131" s="25"/>
      <c r="V131" s="5"/>
    </row>
    <row r="132" spans="1:22" ht="15.6" x14ac:dyDescent="0.3">
      <c r="A132" s="24"/>
      <c r="B132" s="25"/>
      <c r="C132" s="25"/>
      <c r="D132" s="25"/>
      <c r="E132" s="25"/>
      <c r="F132" s="25"/>
      <c r="G132" s="25"/>
      <c r="H132" s="25"/>
      <c r="I132" s="25"/>
      <c r="J132" s="25"/>
      <c r="K132" s="25"/>
      <c r="L132" s="25"/>
      <c r="M132" s="25"/>
      <c r="N132" s="25"/>
      <c r="O132" s="25"/>
      <c r="P132" s="25"/>
      <c r="Q132" s="25"/>
      <c r="R132" s="34"/>
      <c r="S132" s="34"/>
      <c r="T132" s="34"/>
      <c r="U132" s="25"/>
      <c r="V132" s="5"/>
    </row>
    <row r="133" spans="1:22" ht="15.6" x14ac:dyDescent="0.3">
      <c r="A133" s="6"/>
      <c r="B133" s="8"/>
      <c r="C133" s="8"/>
      <c r="D133" s="8"/>
      <c r="E133" s="8"/>
      <c r="F133" s="8"/>
      <c r="G133" s="8"/>
      <c r="H133" s="8"/>
      <c r="I133" s="8"/>
      <c r="J133" s="8"/>
      <c r="K133" s="8"/>
      <c r="L133" s="8"/>
      <c r="M133" s="8"/>
      <c r="N133" s="8"/>
      <c r="O133" s="8"/>
      <c r="P133" s="8"/>
      <c r="Q133" s="8"/>
      <c r="R133" s="8"/>
      <c r="S133" s="8"/>
      <c r="T133" s="52"/>
      <c r="U133" s="8"/>
      <c r="V133" s="5"/>
    </row>
    <row r="134" spans="1:22" ht="18" thickBot="1" x14ac:dyDescent="0.35">
      <c r="A134" s="102"/>
      <c r="B134" s="103" t="str">
        <f>B61</f>
        <v>PM9 INVESTOR REPORT QUARTER ENDING JANUARY 2009</v>
      </c>
      <c r="C134" s="104"/>
      <c r="D134" s="104"/>
      <c r="E134" s="104"/>
      <c r="F134" s="104"/>
      <c r="G134" s="104"/>
      <c r="H134" s="104"/>
      <c r="I134" s="104"/>
      <c r="J134" s="104"/>
      <c r="K134" s="104"/>
      <c r="L134" s="104"/>
      <c r="M134" s="104"/>
      <c r="N134" s="104"/>
      <c r="O134" s="104"/>
      <c r="P134" s="104"/>
      <c r="Q134" s="104"/>
      <c r="R134" s="104"/>
      <c r="S134" s="104"/>
      <c r="T134" s="107"/>
      <c r="U134" s="106"/>
      <c r="V134" s="5"/>
    </row>
    <row r="135" spans="1:22" ht="15.6" x14ac:dyDescent="0.3">
      <c r="A135" s="2"/>
      <c r="B135" s="60" t="s">
        <v>45</v>
      </c>
      <c r="C135" s="4"/>
      <c r="D135" s="4"/>
      <c r="E135" s="4"/>
      <c r="F135" s="4"/>
      <c r="G135" s="4"/>
      <c r="H135" s="4"/>
      <c r="I135" s="4"/>
      <c r="J135" s="4"/>
      <c r="K135" s="4"/>
      <c r="L135" s="4"/>
      <c r="M135" s="4"/>
      <c r="N135" s="4"/>
      <c r="O135" s="4"/>
      <c r="P135" s="4"/>
      <c r="Q135" s="4"/>
      <c r="R135" s="4"/>
      <c r="S135" s="4"/>
      <c r="T135" s="50"/>
      <c r="U135" s="4"/>
      <c r="V135" s="5"/>
    </row>
    <row r="136" spans="1:22" ht="15.6" x14ac:dyDescent="0.3">
      <c r="A136" s="6"/>
      <c r="B136" s="21"/>
      <c r="C136" s="8"/>
      <c r="D136" s="8"/>
      <c r="E136" s="8"/>
      <c r="F136" s="8"/>
      <c r="G136" s="8"/>
      <c r="H136" s="8"/>
      <c r="I136" s="8"/>
      <c r="J136" s="8"/>
      <c r="K136" s="8"/>
      <c r="L136" s="8"/>
      <c r="M136" s="8"/>
      <c r="N136" s="8"/>
      <c r="O136" s="8"/>
      <c r="P136" s="8"/>
      <c r="Q136" s="8"/>
      <c r="R136" s="8"/>
      <c r="S136" s="8"/>
      <c r="T136" s="52"/>
      <c r="U136" s="8"/>
      <c r="V136" s="5"/>
    </row>
    <row r="137" spans="1:22" ht="15.6" x14ac:dyDescent="0.3">
      <c r="A137" s="6"/>
      <c r="B137" s="120" t="s">
        <v>46</v>
      </c>
      <c r="C137" s="8"/>
      <c r="D137" s="8"/>
      <c r="E137" s="8"/>
      <c r="F137" s="8"/>
      <c r="G137" s="8"/>
      <c r="H137" s="8"/>
      <c r="I137" s="8"/>
      <c r="J137" s="8"/>
      <c r="K137" s="8"/>
      <c r="L137" s="8"/>
      <c r="M137" s="8"/>
      <c r="N137" s="8"/>
      <c r="O137" s="8"/>
      <c r="P137" s="8"/>
      <c r="Q137" s="8"/>
      <c r="R137" s="8"/>
      <c r="S137" s="8"/>
      <c r="T137" s="52"/>
      <c r="U137" s="8"/>
      <c r="V137" s="5"/>
    </row>
    <row r="138" spans="1:22" ht="15.6" x14ac:dyDescent="0.3">
      <c r="A138" s="24"/>
      <c r="B138" s="25" t="s">
        <v>47</v>
      </c>
      <c r="C138" s="25"/>
      <c r="D138" s="25"/>
      <c r="E138" s="25"/>
      <c r="F138" s="25"/>
      <c r="G138" s="25"/>
      <c r="H138" s="25"/>
      <c r="I138" s="25"/>
      <c r="J138" s="25"/>
      <c r="K138" s="25"/>
      <c r="L138" s="25"/>
      <c r="M138" s="25"/>
      <c r="N138" s="25"/>
      <c r="O138" s="25"/>
      <c r="P138" s="25"/>
      <c r="Q138" s="25"/>
      <c r="R138" s="25"/>
      <c r="S138" s="25"/>
      <c r="T138" s="53">
        <f>+T32*0.0176</f>
        <v>12320</v>
      </c>
      <c r="U138" s="25"/>
      <c r="V138" s="5"/>
    </row>
    <row r="139" spans="1:22" ht="15.6" x14ac:dyDescent="0.3">
      <c r="A139" s="24"/>
      <c r="B139" s="25" t="s">
        <v>48</v>
      </c>
      <c r="C139" s="25"/>
      <c r="D139" s="25"/>
      <c r="E139" s="25"/>
      <c r="F139" s="25"/>
      <c r="G139" s="25"/>
      <c r="H139" s="25"/>
      <c r="I139" s="25"/>
      <c r="J139" s="25"/>
      <c r="K139" s="25"/>
      <c r="L139" s="25"/>
      <c r="M139" s="25"/>
      <c r="N139" s="25"/>
      <c r="O139" s="25"/>
      <c r="P139" s="25"/>
      <c r="Q139" s="25"/>
      <c r="R139" s="25"/>
      <c r="S139" s="25"/>
      <c r="T139" s="53">
        <v>12320</v>
      </c>
      <c r="U139" s="25"/>
      <c r="V139" s="5"/>
    </row>
    <row r="140" spans="1:22" ht="15.6" x14ac:dyDescent="0.3">
      <c r="A140" s="24"/>
      <c r="B140" s="25" t="s">
        <v>145</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132</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133</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232</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49</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138</v>
      </c>
      <c r="C145" s="25"/>
      <c r="D145" s="25"/>
      <c r="E145" s="25"/>
      <c r="F145" s="25"/>
      <c r="G145" s="25"/>
      <c r="H145" s="25"/>
      <c r="I145" s="25"/>
      <c r="J145" s="25"/>
      <c r="K145" s="25"/>
      <c r="L145" s="25"/>
      <c r="M145" s="25"/>
      <c r="N145" s="25"/>
      <c r="O145" s="25"/>
      <c r="P145" s="25"/>
      <c r="Q145" s="25"/>
      <c r="R145" s="25"/>
      <c r="S145" s="25"/>
      <c r="T145" s="53">
        <v>0</v>
      </c>
      <c r="U145" s="25"/>
      <c r="V145" s="5"/>
    </row>
    <row r="146" spans="1:23" ht="15.6" x14ac:dyDescent="0.3">
      <c r="A146" s="24"/>
      <c r="B146" s="25" t="s">
        <v>231</v>
      </c>
      <c r="C146" s="25"/>
      <c r="D146" s="25"/>
      <c r="E146" s="25"/>
      <c r="F146" s="25"/>
      <c r="G146" s="25"/>
      <c r="H146" s="25"/>
      <c r="I146" s="25"/>
      <c r="J146" s="25"/>
      <c r="K146" s="25"/>
      <c r="L146" s="25"/>
      <c r="M146" s="25"/>
      <c r="N146" s="25"/>
      <c r="O146" s="25"/>
      <c r="P146" s="25"/>
      <c r="Q146" s="25"/>
      <c r="R146" s="25"/>
      <c r="S146" s="25"/>
      <c r="T146" s="53">
        <v>0</v>
      </c>
      <c r="U146" s="25"/>
      <c r="V146" s="5"/>
      <c r="W146" s="110"/>
    </row>
    <row r="147" spans="1:23" ht="15.6" x14ac:dyDescent="0.3">
      <c r="A147" s="24"/>
      <c r="B147" s="25" t="s">
        <v>50</v>
      </c>
      <c r="C147" s="25"/>
      <c r="D147" s="25"/>
      <c r="E147" s="25"/>
      <c r="F147" s="25"/>
      <c r="G147" s="25"/>
      <c r="H147" s="25"/>
      <c r="I147" s="25"/>
      <c r="J147" s="25"/>
      <c r="K147" s="25"/>
      <c r="L147" s="25"/>
      <c r="M147" s="25"/>
      <c r="N147" s="25"/>
      <c r="O147" s="25"/>
      <c r="P147" s="25"/>
      <c r="Q147" s="25"/>
      <c r="R147" s="25"/>
      <c r="S147" s="25"/>
      <c r="T147" s="53">
        <f>SUM(T139:T146)</f>
        <v>12320</v>
      </c>
      <c r="U147" s="25"/>
      <c r="V147" s="5"/>
    </row>
    <row r="148" spans="1:23" ht="15.6" x14ac:dyDescent="0.3">
      <c r="A148" s="24"/>
      <c r="B148" s="25"/>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141" t="s">
        <v>264</v>
      </c>
      <c r="C149" s="25"/>
      <c r="D149" s="25"/>
      <c r="E149" s="25"/>
      <c r="F149" s="25"/>
      <c r="G149" s="25"/>
      <c r="H149" s="25"/>
      <c r="I149" s="25"/>
      <c r="J149" s="25"/>
      <c r="K149" s="25"/>
      <c r="L149" s="25"/>
      <c r="M149" s="25"/>
      <c r="N149" s="25"/>
      <c r="O149" s="25"/>
      <c r="P149" s="25"/>
      <c r="Q149" s="25"/>
      <c r="R149" s="25"/>
      <c r="S149" s="25"/>
      <c r="T149" s="53"/>
      <c r="U149" s="25"/>
      <c r="V149" s="5"/>
    </row>
    <row r="150" spans="1:23" ht="15.6" x14ac:dyDescent="0.3">
      <c r="A150" s="24"/>
      <c r="B150" s="25" t="s">
        <v>170</v>
      </c>
      <c r="C150" s="25"/>
      <c r="D150" s="25"/>
      <c r="E150" s="25"/>
      <c r="F150" s="25"/>
      <c r="G150" s="25"/>
      <c r="H150" s="25"/>
      <c r="I150" s="25"/>
      <c r="J150" s="25"/>
      <c r="K150" s="25"/>
      <c r="L150" s="25"/>
      <c r="M150" s="25"/>
      <c r="N150" s="25"/>
      <c r="O150" s="25"/>
      <c r="P150" s="25"/>
      <c r="Q150" s="25"/>
      <c r="R150" s="25"/>
      <c r="S150" s="25"/>
      <c r="T150" s="53">
        <v>10000</v>
      </c>
      <c r="U150" s="25"/>
      <c r="V150" s="5"/>
    </row>
    <row r="151" spans="1:23" ht="15.6" x14ac:dyDescent="0.3">
      <c r="A151" s="24"/>
      <c r="B151" s="25" t="s">
        <v>260</v>
      </c>
      <c r="C151" s="25"/>
      <c r="D151" s="25"/>
      <c r="E151" s="25"/>
      <c r="F151" s="25"/>
      <c r="G151" s="25"/>
      <c r="H151" s="25"/>
      <c r="I151" s="25"/>
      <c r="J151" s="25"/>
      <c r="K151" s="25"/>
      <c r="L151" s="25"/>
      <c r="M151" s="25"/>
      <c r="N151" s="25"/>
      <c r="O151" s="25"/>
      <c r="P151" s="25"/>
      <c r="Q151" s="25"/>
      <c r="R151" s="25"/>
      <c r="S151" s="25"/>
      <c r="T151" s="53">
        <v>6000</v>
      </c>
      <c r="U151" s="25"/>
      <c r="V151" s="5"/>
    </row>
    <row r="152" spans="1:23" ht="15.6" x14ac:dyDescent="0.3">
      <c r="A152" s="24"/>
      <c r="B152" s="25" t="s">
        <v>228</v>
      </c>
      <c r="C152" s="25"/>
      <c r="D152" s="25"/>
      <c r="E152" s="25"/>
      <c r="F152" s="25"/>
      <c r="G152" s="25"/>
      <c r="H152" s="25"/>
      <c r="I152" s="25"/>
      <c r="J152" s="25"/>
      <c r="K152" s="25"/>
      <c r="L152" s="25"/>
      <c r="M152" s="25"/>
      <c r="N152" s="25"/>
      <c r="O152" s="25"/>
      <c r="P152" s="25"/>
      <c r="Q152" s="25"/>
      <c r="R152" s="25"/>
      <c r="S152" s="25"/>
      <c r="T152" s="53">
        <v>0</v>
      </c>
      <c r="U152" s="25"/>
      <c r="V152" s="5"/>
    </row>
    <row r="153" spans="1:23" ht="15.6" x14ac:dyDescent="0.3">
      <c r="A153" s="24"/>
      <c r="B153" s="25" t="s">
        <v>266</v>
      </c>
      <c r="C153" s="25"/>
      <c r="D153" s="25"/>
      <c r="E153" s="25"/>
      <c r="F153" s="25"/>
      <c r="G153" s="25"/>
      <c r="H153" s="25"/>
      <c r="I153" s="25"/>
      <c r="J153" s="25"/>
      <c r="K153" s="25"/>
      <c r="L153" s="25"/>
      <c r="M153" s="25"/>
      <c r="N153" s="25"/>
      <c r="O153" s="25"/>
      <c r="P153" s="25"/>
      <c r="Q153" s="25"/>
      <c r="R153" s="25"/>
      <c r="S153" s="25"/>
      <c r="T153" s="53">
        <v>6000</v>
      </c>
      <c r="U153" s="25"/>
      <c r="V153" s="5"/>
    </row>
    <row r="154" spans="1:23" ht="15.6" x14ac:dyDescent="0.3">
      <c r="A154" s="24"/>
      <c r="B154" s="25"/>
      <c r="C154" s="25"/>
      <c r="D154" s="25"/>
      <c r="E154" s="25"/>
      <c r="F154" s="25"/>
      <c r="G154" s="25"/>
      <c r="H154" s="25"/>
      <c r="I154" s="25"/>
      <c r="J154" s="25"/>
      <c r="K154" s="25"/>
      <c r="L154" s="25"/>
      <c r="M154" s="25"/>
      <c r="N154" s="25"/>
      <c r="O154" s="25"/>
      <c r="P154" s="25"/>
      <c r="Q154" s="25"/>
      <c r="R154" s="25"/>
      <c r="S154" s="25"/>
      <c r="T154" s="53"/>
      <c r="U154" s="25"/>
      <c r="V154" s="5"/>
    </row>
    <row r="155" spans="1:23" ht="15.6" x14ac:dyDescent="0.3">
      <c r="A155" s="24"/>
      <c r="B155" s="25"/>
      <c r="C155" s="25"/>
      <c r="D155" s="25"/>
      <c r="E155" s="25"/>
      <c r="F155" s="25"/>
      <c r="G155" s="25"/>
      <c r="H155" s="25"/>
      <c r="I155" s="25"/>
      <c r="J155" s="25"/>
      <c r="K155" s="25"/>
      <c r="L155" s="25"/>
      <c r="M155" s="25"/>
      <c r="N155" s="25"/>
      <c r="O155" s="25"/>
      <c r="P155" s="25"/>
      <c r="Q155" s="25"/>
      <c r="R155" s="25"/>
      <c r="S155" s="25"/>
      <c r="T155" s="61"/>
      <c r="U155" s="25"/>
      <c r="V155" s="5"/>
    </row>
    <row r="156" spans="1:23" ht="15.6" x14ac:dyDescent="0.3">
      <c r="A156" s="6"/>
      <c r="B156" s="120" t="s">
        <v>25</v>
      </c>
      <c r="C156" s="8"/>
      <c r="D156" s="8"/>
      <c r="E156" s="8"/>
      <c r="F156" s="8"/>
      <c r="G156" s="8"/>
      <c r="H156" s="8"/>
      <c r="I156" s="8"/>
      <c r="J156" s="8"/>
      <c r="K156" s="8"/>
      <c r="L156" s="8"/>
      <c r="M156" s="8"/>
      <c r="N156" s="8"/>
      <c r="O156" s="8"/>
      <c r="P156" s="8"/>
      <c r="Q156" s="8"/>
      <c r="R156" s="8"/>
      <c r="S156" s="8"/>
      <c r="T156" s="52"/>
      <c r="U156" s="8"/>
      <c r="V156" s="5"/>
    </row>
    <row r="157" spans="1:23" ht="15.6" x14ac:dyDescent="0.3">
      <c r="A157" s="24"/>
      <c r="B157" s="25" t="s">
        <v>51</v>
      </c>
      <c r="C157" s="25"/>
      <c r="D157" s="25"/>
      <c r="E157" s="25"/>
      <c r="F157" s="25"/>
      <c r="G157" s="25"/>
      <c r="H157" s="25"/>
      <c r="I157" s="25"/>
      <c r="J157" s="25"/>
      <c r="K157" s="25"/>
      <c r="L157" s="25"/>
      <c r="M157" s="25"/>
      <c r="N157" s="25"/>
      <c r="O157" s="25"/>
      <c r="P157" s="25"/>
      <c r="Q157" s="25"/>
      <c r="R157" s="25"/>
      <c r="S157" s="25"/>
      <c r="T157" s="59" t="s">
        <v>127</v>
      </c>
      <c r="U157" s="25"/>
      <c r="V157" s="5"/>
    </row>
    <row r="158" spans="1:23" ht="15.6" x14ac:dyDescent="0.3">
      <c r="A158" s="24"/>
      <c r="B158" s="25" t="s">
        <v>52</v>
      </c>
      <c r="C158" s="160"/>
      <c r="D158" s="160"/>
      <c r="E158" s="160"/>
      <c r="F158" s="160"/>
      <c r="G158" s="160"/>
      <c r="H158" s="160"/>
      <c r="I158" s="160"/>
      <c r="J158" s="160"/>
      <c r="K158" s="160"/>
      <c r="L158" s="160"/>
      <c r="M158" s="160"/>
      <c r="N158" s="160"/>
      <c r="O158" s="160"/>
      <c r="P158" s="160"/>
      <c r="Q158" s="160"/>
      <c r="R158" s="160"/>
      <c r="S158" s="160"/>
      <c r="T158" s="59" t="s">
        <v>127</v>
      </c>
      <c r="U158" s="25"/>
      <c r="V158" s="5"/>
    </row>
    <row r="159" spans="1:23" ht="15.6" x14ac:dyDescent="0.3">
      <c r="A159" s="24"/>
      <c r="B159" s="25" t="s">
        <v>53</v>
      </c>
      <c r="C159" s="25"/>
      <c r="D159" s="25"/>
      <c r="E159" s="25"/>
      <c r="F159" s="25"/>
      <c r="G159" s="25"/>
      <c r="H159" s="25"/>
      <c r="I159" s="25"/>
      <c r="J159" s="25"/>
      <c r="K159" s="25"/>
      <c r="L159" s="25"/>
      <c r="M159" s="25"/>
      <c r="N159" s="25"/>
      <c r="O159" s="25"/>
      <c r="P159" s="25"/>
      <c r="Q159" s="25"/>
      <c r="R159" s="25"/>
      <c r="S159" s="25"/>
      <c r="T159" s="59" t="s">
        <v>127</v>
      </c>
      <c r="U159" s="25"/>
      <c r="V159" s="5"/>
    </row>
    <row r="160" spans="1:23" ht="15.6" x14ac:dyDescent="0.3">
      <c r="A160" s="24"/>
      <c r="B160" s="25" t="s">
        <v>54</v>
      </c>
      <c r="C160" s="25"/>
      <c r="D160" s="25"/>
      <c r="E160" s="25"/>
      <c r="F160" s="25"/>
      <c r="G160" s="25"/>
      <c r="H160" s="25"/>
      <c r="I160" s="25"/>
      <c r="J160" s="25"/>
      <c r="K160" s="25"/>
      <c r="L160" s="25"/>
      <c r="M160" s="25"/>
      <c r="N160" s="25"/>
      <c r="O160" s="25"/>
      <c r="P160" s="25"/>
      <c r="Q160" s="25"/>
      <c r="R160" s="25"/>
      <c r="S160" s="25"/>
      <c r="T160" s="59" t="s">
        <v>127</v>
      </c>
      <c r="U160" s="25"/>
      <c r="V160" s="5"/>
    </row>
    <row r="161" spans="1:22" ht="15.6" x14ac:dyDescent="0.3">
      <c r="A161" s="24"/>
      <c r="B161" s="25"/>
      <c r="C161" s="25"/>
      <c r="D161" s="25"/>
      <c r="E161" s="25"/>
      <c r="F161" s="25"/>
      <c r="G161" s="25"/>
      <c r="H161" s="25"/>
      <c r="I161" s="25"/>
      <c r="J161" s="25"/>
      <c r="K161" s="25"/>
      <c r="L161" s="25"/>
      <c r="M161" s="25"/>
      <c r="N161" s="25"/>
      <c r="O161" s="25"/>
      <c r="P161" s="25"/>
      <c r="Q161" s="25"/>
      <c r="R161" s="25"/>
      <c r="S161" s="25"/>
      <c r="T161" s="61"/>
      <c r="U161" s="25"/>
      <c r="V161" s="5"/>
    </row>
    <row r="162" spans="1:22" ht="15.6" x14ac:dyDescent="0.3">
      <c r="A162" s="6"/>
      <c r="B162" s="120" t="s">
        <v>55</v>
      </c>
      <c r="C162" s="8"/>
      <c r="D162" s="8"/>
      <c r="E162" s="8"/>
      <c r="F162" s="8"/>
      <c r="G162" s="8"/>
      <c r="H162" s="8"/>
      <c r="I162" s="8"/>
      <c r="J162" s="8"/>
      <c r="K162" s="8"/>
      <c r="L162" s="8"/>
      <c r="M162" s="8"/>
      <c r="N162" s="8"/>
      <c r="O162" s="8"/>
      <c r="P162" s="8"/>
      <c r="Q162" s="8"/>
      <c r="R162" s="8"/>
      <c r="S162" s="8"/>
      <c r="T162" s="63"/>
      <c r="U162" s="8"/>
      <c r="V162" s="5"/>
    </row>
    <row r="163" spans="1:22" ht="15.6" x14ac:dyDescent="0.3">
      <c r="A163" s="24"/>
      <c r="B163" s="25" t="s">
        <v>56</v>
      </c>
      <c r="C163" s="25"/>
      <c r="D163" s="25"/>
      <c r="E163" s="25"/>
      <c r="F163" s="25"/>
      <c r="G163" s="25"/>
      <c r="H163" s="25"/>
      <c r="I163" s="25"/>
      <c r="J163" s="25"/>
      <c r="K163" s="25"/>
      <c r="L163" s="25"/>
      <c r="M163" s="25"/>
      <c r="N163" s="25"/>
      <c r="O163" s="25"/>
      <c r="P163" s="25"/>
      <c r="Q163" s="25"/>
      <c r="R163" s="25"/>
      <c r="S163" s="25"/>
      <c r="T163" s="53">
        <v>0</v>
      </c>
      <c r="U163" s="25"/>
      <c r="V163" s="5"/>
    </row>
    <row r="164" spans="1:22" ht="15.6" x14ac:dyDescent="0.3">
      <c r="A164" s="24"/>
      <c r="B164" s="25" t="s">
        <v>57</v>
      </c>
      <c r="C164" s="25"/>
      <c r="D164" s="25"/>
      <c r="E164" s="25"/>
      <c r="F164" s="25"/>
      <c r="G164" s="25"/>
      <c r="H164" s="25"/>
      <c r="I164" s="25"/>
      <c r="J164" s="25"/>
      <c r="K164" s="25"/>
      <c r="L164" s="25"/>
      <c r="M164" s="25"/>
      <c r="N164" s="25"/>
      <c r="O164" s="25"/>
      <c r="P164" s="25"/>
      <c r="Q164" s="25"/>
      <c r="R164" s="25"/>
      <c r="S164" s="25"/>
      <c r="T164" s="53">
        <f>-T113</f>
        <v>62</v>
      </c>
      <c r="U164" s="25"/>
      <c r="V164" s="5"/>
    </row>
    <row r="165" spans="1:22" ht="15.6" x14ac:dyDescent="0.3">
      <c r="A165" s="24"/>
      <c r="B165" s="25" t="s">
        <v>58</v>
      </c>
      <c r="C165" s="25"/>
      <c r="D165" s="25"/>
      <c r="E165" s="25"/>
      <c r="F165" s="25"/>
      <c r="G165" s="25"/>
      <c r="H165" s="25"/>
      <c r="I165" s="25"/>
      <c r="J165" s="25"/>
      <c r="K165" s="25"/>
      <c r="L165" s="25"/>
      <c r="M165" s="25"/>
      <c r="N165" s="25"/>
      <c r="O165" s="25"/>
      <c r="P165" s="25"/>
      <c r="Q165" s="25"/>
      <c r="R165" s="25"/>
      <c r="S165" s="25"/>
      <c r="T165" s="53">
        <f>T164+T163</f>
        <v>62</v>
      </c>
      <c r="U165" s="25"/>
      <c r="V165" s="5"/>
    </row>
    <row r="166" spans="1:22" ht="15.6" x14ac:dyDescent="0.3">
      <c r="A166" s="24"/>
      <c r="B166" s="25" t="s">
        <v>309</v>
      </c>
      <c r="C166" s="25"/>
      <c r="D166" s="25"/>
      <c r="E166" s="25"/>
      <c r="F166" s="25"/>
      <c r="G166" s="25"/>
      <c r="H166" s="25"/>
      <c r="I166" s="25"/>
      <c r="J166" s="25"/>
      <c r="K166" s="25"/>
      <c r="L166" s="25"/>
      <c r="M166" s="25"/>
      <c r="N166" s="25"/>
      <c r="O166" s="25"/>
      <c r="P166" s="25"/>
      <c r="Q166" s="25"/>
      <c r="R166" s="25"/>
      <c r="S166" s="25"/>
      <c r="T166" s="53">
        <f>T113</f>
        <v>-62</v>
      </c>
      <c r="U166" s="25"/>
      <c r="V166" s="5"/>
    </row>
    <row r="167" spans="1:22" ht="15.6" x14ac:dyDescent="0.3">
      <c r="A167" s="24"/>
      <c r="B167" s="25" t="s">
        <v>59</v>
      </c>
      <c r="C167" s="25"/>
      <c r="D167" s="25"/>
      <c r="E167" s="25"/>
      <c r="F167" s="25"/>
      <c r="G167" s="25"/>
      <c r="H167" s="25"/>
      <c r="I167" s="25"/>
      <c r="J167" s="25"/>
      <c r="K167" s="25"/>
      <c r="L167" s="25"/>
      <c r="M167" s="25"/>
      <c r="N167" s="25"/>
      <c r="O167" s="25"/>
      <c r="P167" s="25"/>
      <c r="Q167" s="25"/>
      <c r="R167" s="25"/>
      <c r="S167" s="25"/>
      <c r="T167" s="53">
        <f>T165+T166</f>
        <v>0</v>
      </c>
      <c r="U167" s="25"/>
      <c r="V167" s="5"/>
    </row>
    <row r="168" spans="1:22" ht="16.2" thickBot="1" x14ac:dyDescent="0.35">
      <c r="A168" s="24"/>
      <c r="B168" s="25"/>
      <c r="C168" s="25"/>
      <c r="D168" s="25"/>
      <c r="E168" s="25"/>
      <c r="F168" s="25"/>
      <c r="G168" s="25"/>
      <c r="H168" s="25"/>
      <c r="I168" s="25"/>
      <c r="J168" s="25"/>
      <c r="K168" s="25"/>
      <c r="L168" s="25"/>
      <c r="M168" s="25"/>
      <c r="N168" s="25"/>
      <c r="O168" s="25"/>
      <c r="P168" s="25"/>
      <c r="Q168" s="25"/>
      <c r="R168" s="25"/>
      <c r="S168" s="25"/>
      <c r="T168" s="61"/>
      <c r="U168" s="25"/>
      <c r="V168" s="5"/>
    </row>
    <row r="169" spans="1:22" ht="15.6" x14ac:dyDescent="0.3">
      <c r="A169" s="2"/>
      <c r="B169" s="4"/>
      <c r="C169" s="4"/>
      <c r="D169" s="4"/>
      <c r="E169" s="4"/>
      <c r="F169" s="4"/>
      <c r="G169" s="4"/>
      <c r="H169" s="4"/>
      <c r="I169" s="4"/>
      <c r="J169" s="4"/>
      <c r="K169" s="4"/>
      <c r="L169" s="4"/>
      <c r="M169" s="4"/>
      <c r="N169" s="4"/>
      <c r="O169" s="4"/>
      <c r="P169" s="4"/>
      <c r="Q169" s="4"/>
      <c r="R169" s="4"/>
      <c r="S169" s="4"/>
      <c r="T169" s="50"/>
      <c r="U169" s="4"/>
      <c r="V169" s="5"/>
    </row>
    <row r="170" spans="1:22" ht="15.6" x14ac:dyDescent="0.3">
      <c r="A170" s="6"/>
      <c r="B170" s="120" t="s">
        <v>60</v>
      </c>
      <c r="C170" s="8"/>
      <c r="D170" s="8"/>
      <c r="E170" s="8"/>
      <c r="F170" s="8"/>
      <c r="G170" s="8"/>
      <c r="H170" s="8"/>
      <c r="I170" s="8"/>
      <c r="J170" s="8"/>
      <c r="K170" s="8"/>
      <c r="L170" s="8"/>
      <c r="M170" s="8"/>
      <c r="N170" s="8"/>
      <c r="O170" s="8"/>
      <c r="P170" s="8"/>
      <c r="Q170" s="8"/>
      <c r="R170" s="8"/>
      <c r="S170" s="8"/>
      <c r="T170" s="52"/>
      <c r="U170" s="8"/>
      <c r="V170" s="5"/>
    </row>
    <row r="171" spans="1:22" ht="15.6" x14ac:dyDescent="0.3">
      <c r="A171" s="6"/>
      <c r="B171" s="21"/>
      <c r="C171" s="8"/>
      <c r="D171" s="8"/>
      <c r="E171" s="8"/>
      <c r="F171" s="8"/>
      <c r="G171" s="8"/>
      <c r="H171" s="8"/>
      <c r="I171" s="8"/>
      <c r="J171" s="8"/>
      <c r="K171" s="8"/>
      <c r="L171" s="8"/>
      <c r="M171" s="8"/>
      <c r="N171" s="8"/>
      <c r="O171" s="8"/>
      <c r="P171" s="8"/>
      <c r="Q171" s="8"/>
      <c r="R171" s="8"/>
      <c r="S171" s="8"/>
      <c r="T171" s="52"/>
      <c r="U171" s="8"/>
      <c r="V171" s="5"/>
    </row>
    <row r="172" spans="1:22" ht="15.6" x14ac:dyDescent="0.3">
      <c r="A172" s="24"/>
      <c r="B172" s="25" t="s">
        <v>61</v>
      </c>
      <c r="C172" s="25"/>
      <c r="D172" s="25"/>
      <c r="E172" s="25"/>
      <c r="F172" s="25"/>
      <c r="G172" s="25"/>
      <c r="H172" s="25"/>
      <c r="I172" s="25"/>
      <c r="J172" s="25"/>
      <c r="K172" s="25"/>
      <c r="L172" s="25"/>
      <c r="M172" s="25"/>
      <c r="N172" s="25"/>
      <c r="O172" s="25"/>
      <c r="P172" s="25"/>
      <c r="Q172" s="25"/>
      <c r="R172" s="25"/>
      <c r="S172" s="25"/>
      <c r="T172" s="53">
        <f>T69</f>
        <v>343153</v>
      </c>
      <c r="U172" s="25"/>
      <c r="V172" s="5"/>
    </row>
    <row r="173" spans="1:22" ht="15.6" x14ac:dyDescent="0.3">
      <c r="A173" s="24"/>
      <c r="B173" s="25" t="s">
        <v>62</v>
      </c>
      <c r="C173" s="25"/>
      <c r="D173" s="25"/>
      <c r="E173" s="25"/>
      <c r="F173" s="25"/>
      <c r="G173" s="25"/>
      <c r="H173" s="25"/>
      <c r="I173" s="25"/>
      <c r="J173" s="25"/>
      <c r="K173" s="25"/>
      <c r="L173" s="25"/>
      <c r="M173" s="25"/>
      <c r="N173" s="25"/>
      <c r="O173" s="25"/>
      <c r="P173" s="25"/>
      <c r="Q173" s="25"/>
      <c r="R173" s="25"/>
      <c r="S173" s="25"/>
      <c r="T173" s="53">
        <f>T82</f>
        <v>343153</v>
      </c>
      <c r="U173" s="25"/>
      <c r="V173" s="5"/>
    </row>
    <row r="174" spans="1:22" ht="16.2" thickBot="1" x14ac:dyDescent="0.35">
      <c r="A174" s="24"/>
      <c r="B174" s="25"/>
      <c r="C174" s="25"/>
      <c r="D174" s="25"/>
      <c r="E174" s="25"/>
      <c r="F174" s="25"/>
      <c r="G174" s="25"/>
      <c r="H174" s="25"/>
      <c r="I174" s="25"/>
      <c r="J174" s="25"/>
      <c r="K174" s="25"/>
      <c r="L174" s="25"/>
      <c r="M174" s="25"/>
      <c r="N174" s="25"/>
      <c r="O174" s="25"/>
      <c r="P174" s="25"/>
      <c r="Q174" s="25"/>
      <c r="R174" s="25"/>
      <c r="S174" s="25"/>
      <c r="T174" s="61"/>
      <c r="U174" s="25"/>
      <c r="V174" s="5"/>
    </row>
    <row r="175" spans="1:22" ht="15.6" x14ac:dyDescent="0.3">
      <c r="A175" s="2"/>
      <c r="B175" s="4"/>
      <c r="C175" s="4"/>
      <c r="D175" s="4"/>
      <c r="E175" s="4"/>
      <c r="F175" s="4"/>
      <c r="G175" s="4"/>
      <c r="H175" s="4"/>
      <c r="I175" s="4"/>
      <c r="J175" s="4"/>
      <c r="K175" s="4"/>
      <c r="L175" s="4"/>
      <c r="M175" s="4"/>
      <c r="N175" s="4"/>
      <c r="O175" s="4"/>
      <c r="P175" s="4"/>
      <c r="Q175" s="4"/>
      <c r="R175" s="4"/>
      <c r="S175" s="4"/>
      <c r="T175" s="50"/>
      <c r="U175" s="4"/>
      <c r="V175" s="5"/>
    </row>
    <row r="176" spans="1:22" ht="15.6" x14ac:dyDescent="0.3">
      <c r="A176" s="6"/>
      <c r="B176" s="120" t="s">
        <v>63</v>
      </c>
      <c r="C176" s="118"/>
      <c r="D176" s="118"/>
      <c r="E176" s="118"/>
      <c r="F176" s="118"/>
      <c r="G176" s="118"/>
      <c r="H176" s="121"/>
      <c r="I176" s="121"/>
      <c r="J176" s="121"/>
      <c r="K176" s="121"/>
      <c r="L176" s="121"/>
      <c r="M176" s="121"/>
      <c r="N176" s="121"/>
      <c r="O176" s="121"/>
      <c r="P176" s="121"/>
      <c r="Q176" s="121" t="s">
        <v>107</v>
      </c>
      <c r="R176" s="121" t="s">
        <v>234</v>
      </c>
      <c r="S176" s="112"/>
      <c r="T176" s="122" t="s">
        <v>123</v>
      </c>
      <c r="U176" s="10"/>
      <c r="V176" s="5"/>
    </row>
    <row r="177" spans="1:22" ht="15.6" x14ac:dyDescent="0.3">
      <c r="A177" s="24"/>
      <c r="B177" s="25" t="s">
        <v>64</v>
      </c>
      <c r="C177" s="25"/>
      <c r="D177" s="25"/>
      <c r="E177" s="25"/>
      <c r="F177" s="25"/>
      <c r="G177" s="25"/>
      <c r="H177" s="25"/>
      <c r="I177" s="25"/>
      <c r="J177" s="25"/>
      <c r="K177" s="25"/>
      <c r="L177" s="25"/>
      <c r="M177" s="25"/>
      <c r="N177" s="25"/>
      <c r="O177" s="25"/>
      <c r="P177" s="25"/>
      <c r="Q177" s="53">
        <v>112000</v>
      </c>
      <c r="R177" s="40"/>
      <c r="S177" s="25"/>
      <c r="T177" s="53"/>
      <c r="U177" s="25"/>
      <c r="V177" s="5"/>
    </row>
    <row r="178" spans="1:22" ht="15.6" x14ac:dyDescent="0.3">
      <c r="A178" s="24"/>
      <c r="B178" s="25" t="s">
        <v>65</v>
      </c>
      <c r="C178" s="25"/>
      <c r="D178" s="25"/>
      <c r="E178" s="25"/>
      <c r="F178" s="25"/>
      <c r="G178" s="25"/>
      <c r="H178" s="25"/>
      <c r="I178" s="25"/>
      <c r="J178" s="25"/>
      <c r="K178" s="25"/>
      <c r="L178" s="25"/>
      <c r="M178" s="25"/>
      <c r="N178" s="25"/>
      <c r="O178" s="25"/>
      <c r="P178" s="25"/>
      <c r="Q178" s="53">
        <f>+'Oct 08'!Q180</f>
        <v>42501</v>
      </c>
      <c r="R178" s="53">
        <f>+'Oct 08'!R180</f>
        <v>2399</v>
      </c>
      <c r="S178" s="25"/>
      <c r="T178" s="53">
        <f>Q178+R178</f>
        <v>44900</v>
      </c>
      <c r="U178" s="25"/>
      <c r="V178" s="5"/>
    </row>
    <row r="179" spans="1:22" ht="15.6" x14ac:dyDescent="0.3">
      <c r="A179" s="24"/>
      <c r="B179" s="25" t="s">
        <v>66</v>
      </c>
      <c r="C179" s="25"/>
      <c r="D179" s="25"/>
      <c r="E179" s="25"/>
      <c r="F179" s="25"/>
      <c r="G179" s="25"/>
      <c r="H179" s="25"/>
      <c r="I179" s="25"/>
      <c r="J179" s="25"/>
      <c r="K179" s="25"/>
      <c r="L179" s="25"/>
      <c r="M179" s="25"/>
      <c r="N179" s="25"/>
      <c r="O179" s="25"/>
      <c r="P179" s="25"/>
      <c r="Q179" s="34">
        <f>223+6</f>
        <v>229</v>
      </c>
      <c r="R179" s="34">
        <v>0</v>
      </c>
      <c r="S179" s="25"/>
      <c r="T179" s="53">
        <f>Q179+R179</f>
        <v>229</v>
      </c>
      <c r="U179" s="25"/>
      <c r="V179" s="5"/>
    </row>
    <row r="180" spans="1:22" ht="15.6" x14ac:dyDescent="0.3">
      <c r="A180" s="24"/>
      <c r="B180" s="25" t="s">
        <v>67</v>
      </c>
      <c r="C180" s="25"/>
      <c r="D180" s="25"/>
      <c r="E180" s="25"/>
      <c r="F180" s="25"/>
      <c r="G180" s="25"/>
      <c r="H180" s="25"/>
      <c r="I180" s="25"/>
      <c r="J180" s="25"/>
      <c r="K180" s="25"/>
      <c r="L180" s="25"/>
      <c r="M180" s="25"/>
      <c r="N180" s="25"/>
      <c r="O180" s="25"/>
      <c r="P180" s="25"/>
      <c r="Q180" s="53">
        <f>Q178+Q179</f>
        <v>42730</v>
      </c>
      <c r="R180" s="53">
        <f>R179+R178</f>
        <v>2399</v>
      </c>
      <c r="S180" s="25"/>
      <c r="T180" s="53">
        <f>Q180+R180</f>
        <v>45129</v>
      </c>
      <c r="U180" s="25"/>
      <c r="V180" s="5"/>
    </row>
    <row r="181" spans="1:22" ht="15.6" x14ac:dyDescent="0.3">
      <c r="A181" s="24"/>
      <c r="B181" s="25" t="s">
        <v>68</v>
      </c>
      <c r="C181" s="25"/>
      <c r="D181" s="25"/>
      <c r="E181" s="25"/>
      <c r="F181" s="25"/>
      <c r="G181" s="25"/>
      <c r="H181" s="25"/>
      <c r="I181" s="25"/>
      <c r="J181" s="25"/>
      <c r="K181" s="25"/>
      <c r="L181" s="25"/>
      <c r="M181" s="25"/>
      <c r="N181" s="25"/>
      <c r="O181" s="25"/>
      <c r="P181" s="25"/>
      <c r="Q181" s="53">
        <f>Q177-Q180-R180</f>
        <v>66871</v>
      </c>
      <c r="R181" s="40"/>
      <c r="S181" s="25"/>
      <c r="T181" s="53"/>
      <c r="U181" s="25"/>
      <c r="V181" s="5"/>
    </row>
    <row r="182" spans="1:22" ht="16.2" thickBot="1" x14ac:dyDescent="0.35">
      <c r="A182" s="24"/>
      <c r="B182" s="25"/>
      <c r="C182" s="25"/>
      <c r="D182" s="25"/>
      <c r="E182" s="25"/>
      <c r="F182" s="25"/>
      <c r="G182" s="25"/>
      <c r="H182" s="25"/>
      <c r="I182" s="25"/>
      <c r="J182" s="25"/>
      <c r="K182" s="25"/>
      <c r="L182" s="25"/>
      <c r="M182" s="25"/>
      <c r="N182" s="25"/>
      <c r="O182" s="25"/>
      <c r="P182" s="25"/>
      <c r="Q182" s="25"/>
      <c r="R182" s="25"/>
      <c r="S182" s="25"/>
      <c r="T182" s="61"/>
      <c r="U182" s="25"/>
      <c r="V182" s="5"/>
    </row>
    <row r="183" spans="1:22" ht="15.6" x14ac:dyDescent="0.3">
      <c r="A183" s="2"/>
      <c r="B183" s="4"/>
      <c r="C183" s="4"/>
      <c r="D183" s="4"/>
      <c r="E183" s="4"/>
      <c r="F183" s="4"/>
      <c r="G183" s="4"/>
      <c r="H183" s="4"/>
      <c r="I183" s="4"/>
      <c r="J183" s="4"/>
      <c r="K183" s="4"/>
      <c r="L183" s="4"/>
      <c r="M183" s="4"/>
      <c r="N183" s="4"/>
      <c r="O183" s="4"/>
      <c r="P183" s="4"/>
      <c r="Q183" s="4"/>
      <c r="R183" s="4"/>
      <c r="S183" s="4"/>
      <c r="T183" s="50"/>
      <c r="U183" s="4"/>
      <c r="V183" s="5"/>
    </row>
    <row r="184" spans="1:22" ht="15.6" x14ac:dyDescent="0.3">
      <c r="A184" s="6"/>
      <c r="B184" s="120" t="s">
        <v>69</v>
      </c>
      <c r="C184" s="8"/>
      <c r="D184" s="8"/>
      <c r="E184" s="8"/>
      <c r="F184" s="8"/>
      <c r="G184" s="8"/>
      <c r="H184" s="8"/>
      <c r="I184" s="8"/>
      <c r="J184" s="8"/>
      <c r="K184" s="8"/>
      <c r="L184" s="8"/>
      <c r="M184" s="8"/>
      <c r="N184" s="8"/>
      <c r="O184" s="8"/>
      <c r="P184" s="8"/>
      <c r="Q184" s="8"/>
      <c r="R184" s="8"/>
      <c r="S184" s="8"/>
      <c r="T184" s="65"/>
      <c r="U184" s="8"/>
      <c r="V184" s="5"/>
    </row>
    <row r="185" spans="1:22" ht="15.6" x14ac:dyDescent="0.3">
      <c r="A185" s="24"/>
      <c r="B185" s="25" t="s">
        <v>70</v>
      </c>
      <c r="C185" s="25"/>
      <c r="D185" s="25"/>
      <c r="E185" s="25"/>
      <c r="F185" s="25"/>
      <c r="G185" s="25"/>
      <c r="H185" s="25"/>
      <c r="I185" s="25"/>
      <c r="J185" s="25"/>
      <c r="K185" s="25"/>
      <c r="L185" s="25"/>
      <c r="M185" s="25"/>
      <c r="N185" s="25"/>
      <c r="O185" s="25"/>
      <c r="P185" s="25"/>
      <c r="Q185" s="25"/>
      <c r="R185" s="25"/>
      <c r="S185" s="25"/>
      <c r="T185" s="59">
        <f>(T98+T100+T101+T102+T103+T104)/-(T105+T106+T107)</f>
        <v>1.6733001658374793</v>
      </c>
      <c r="U185" s="25" t="s">
        <v>124</v>
      </c>
      <c r="V185" s="5"/>
    </row>
    <row r="186" spans="1:22" ht="15.6" x14ac:dyDescent="0.3">
      <c r="A186" s="24"/>
      <c r="B186" s="25" t="s">
        <v>71</v>
      </c>
      <c r="C186" s="25"/>
      <c r="D186" s="25"/>
      <c r="E186" s="25"/>
      <c r="F186" s="25"/>
      <c r="G186" s="25"/>
      <c r="H186" s="25"/>
      <c r="I186" s="25"/>
      <c r="J186" s="25"/>
      <c r="K186" s="25"/>
      <c r="L186" s="25"/>
      <c r="M186" s="25"/>
      <c r="N186" s="25"/>
      <c r="O186" s="25"/>
      <c r="P186" s="25"/>
      <c r="Q186" s="25"/>
      <c r="R186" s="25"/>
      <c r="S186" s="25"/>
      <c r="T186" s="66">
        <v>1.4</v>
      </c>
      <c r="U186" s="25" t="s">
        <v>124</v>
      </c>
      <c r="V186" s="5"/>
    </row>
    <row r="187" spans="1:22" ht="15.6" x14ac:dyDescent="0.3">
      <c r="A187" s="24"/>
      <c r="B187" s="25" t="s">
        <v>72</v>
      </c>
      <c r="C187" s="25"/>
      <c r="D187" s="25"/>
      <c r="E187" s="25"/>
      <c r="F187" s="25"/>
      <c r="G187" s="25"/>
      <c r="H187" s="25"/>
      <c r="I187" s="25"/>
      <c r="J187" s="25"/>
      <c r="K187" s="25"/>
      <c r="L187" s="25"/>
      <c r="M187" s="25"/>
      <c r="N187" s="25"/>
      <c r="O187" s="25"/>
      <c r="P187" s="25"/>
      <c r="Q187" s="25"/>
      <c r="R187" s="25"/>
      <c r="S187" s="25"/>
      <c r="T187" s="59">
        <f>(T98+T100+T101+T102+T103+T104+T105+T106+T107)/-(T108+T109)</f>
        <v>6.6123778501628667</v>
      </c>
      <c r="U187" s="25" t="s">
        <v>124</v>
      </c>
      <c r="V187" s="5"/>
    </row>
    <row r="188" spans="1:22" ht="15.6" x14ac:dyDescent="0.3">
      <c r="A188" s="24"/>
      <c r="B188" s="25" t="s">
        <v>73</v>
      </c>
      <c r="C188" s="25"/>
      <c r="D188" s="25"/>
      <c r="E188" s="25"/>
      <c r="F188" s="25"/>
      <c r="G188" s="25"/>
      <c r="H188" s="25"/>
      <c r="I188" s="25"/>
      <c r="J188" s="25"/>
      <c r="K188" s="25"/>
      <c r="L188" s="25"/>
      <c r="M188" s="25"/>
      <c r="N188" s="25"/>
      <c r="O188" s="25"/>
      <c r="P188" s="25"/>
      <c r="Q188" s="25"/>
      <c r="R188" s="25"/>
      <c r="S188" s="25"/>
      <c r="T188" s="67">
        <v>6.62</v>
      </c>
      <c r="U188" s="25" t="s">
        <v>124</v>
      </c>
      <c r="V188" s="5"/>
    </row>
    <row r="189" spans="1:22" ht="15.6" x14ac:dyDescent="0.3">
      <c r="A189" s="24"/>
      <c r="B189" s="25" t="s">
        <v>243</v>
      </c>
      <c r="C189" s="25"/>
      <c r="D189" s="25"/>
      <c r="E189" s="25"/>
      <c r="F189" s="25"/>
      <c r="G189" s="25"/>
      <c r="H189" s="25"/>
      <c r="I189" s="25"/>
      <c r="J189" s="25"/>
      <c r="K189" s="25"/>
      <c r="L189" s="25"/>
      <c r="M189" s="25"/>
      <c r="N189" s="25"/>
      <c r="O189" s="25"/>
      <c r="P189" s="25"/>
      <c r="Q189" s="25"/>
      <c r="R189" s="25"/>
      <c r="S189" s="25"/>
      <c r="T189" s="59">
        <f>(T98+T100+T101+T102+T103+T104+T105+T106+T107+T108+T109)/-(T110+T111)</f>
        <v>3.0069808027923211</v>
      </c>
      <c r="U189" s="25" t="s">
        <v>124</v>
      </c>
      <c r="V189" s="5"/>
    </row>
    <row r="190" spans="1:22" ht="15.6" x14ac:dyDescent="0.3">
      <c r="A190" s="24"/>
      <c r="B190" s="25" t="s">
        <v>244</v>
      </c>
      <c r="C190" s="25"/>
      <c r="D190" s="25"/>
      <c r="E190" s="25"/>
      <c r="F190" s="25"/>
      <c r="G190" s="25"/>
      <c r="H190" s="25"/>
      <c r="I190" s="25"/>
      <c r="J190" s="25"/>
      <c r="K190" s="25"/>
      <c r="L190" s="25"/>
      <c r="M190" s="25"/>
      <c r="N190" s="25"/>
      <c r="O190" s="25"/>
      <c r="P190" s="25"/>
      <c r="Q190" s="25"/>
      <c r="R190" s="25"/>
      <c r="S190" s="25"/>
      <c r="T190" s="67">
        <v>3.04</v>
      </c>
      <c r="U190" s="25" t="s">
        <v>124</v>
      </c>
      <c r="V190" s="5"/>
    </row>
    <row r="191" spans="1:22"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5"/>
    </row>
    <row r="193" spans="1:22" ht="15.6" x14ac:dyDescent="0.3">
      <c r="A193" s="6"/>
      <c r="B193" s="8"/>
      <c r="C193" s="8"/>
      <c r="D193" s="8"/>
      <c r="E193" s="8"/>
      <c r="F193" s="8"/>
      <c r="G193" s="8"/>
      <c r="H193" s="8"/>
      <c r="I193" s="8"/>
      <c r="J193" s="8"/>
      <c r="K193" s="8"/>
      <c r="L193" s="8"/>
      <c r="M193" s="8"/>
      <c r="N193" s="8"/>
      <c r="O193" s="8"/>
      <c r="P193" s="8"/>
      <c r="Q193" s="8"/>
      <c r="R193" s="8"/>
      <c r="S193" s="8"/>
      <c r="T193" s="8"/>
      <c r="U193" s="8"/>
      <c r="V193" s="5"/>
    </row>
    <row r="194" spans="1:22" ht="18" thickBot="1" x14ac:dyDescent="0.35">
      <c r="A194" s="102"/>
      <c r="B194" s="103" t="str">
        <f>B134</f>
        <v>PM9 INVESTOR REPORT QUARTER ENDING JANUARY 2009</v>
      </c>
      <c r="C194" s="162"/>
      <c r="D194" s="162"/>
      <c r="E194" s="162"/>
      <c r="F194" s="162"/>
      <c r="G194" s="162"/>
      <c r="H194" s="162"/>
      <c r="I194" s="162"/>
      <c r="J194" s="162"/>
      <c r="K194" s="162"/>
      <c r="L194" s="162"/>
      <c r="M194" s="162"/>
      <c r="N194" s="162"/>
      <c r="O194" s="162"/>
      <c r="P194" s="162"/>
      <c r="Q194" s="162"/>
      <c r="R194" s="162"/>
      <c r="S194" s="162"/>
      <c r="T194" s="162"/>
      <c r="U194" s="163"/>
      <c r="V194" s="5"/>
    </row>
    <row r="195" spans="1:22" ht="15.6" x14ac:dyDescent="0.3">
      <c r="A195" s="68"/>
      <c r="B195" s="60" t="s">
        <v>74</v>
      </c>
      <c r="C195" s="69"/>
      <c r="D195" s="69"/>
      <c r="E195" s="69"/>
      <c r="F195" s="69"/>
      <c r="G195" s="70"/>
      <c r="H195" s="70"/>
      <c r="I195" s="70"/>
      <c r="J195" s="70"/>
      <c r="K195" s="70"/>
      <c r="L195" s="70"/>
      <c r="M195" s="70"/>
      <c r="N195" s="70"/>
      <c r="O195" s="70"/>
      <c r="P195" s="70"/>
      <c r="Q195" s="70"/>
      <c r="R195" s="71">
        <v>39843</v>
      </c>
      <c r="S195" s="4"/>
      <c r="T195" s="4"/>
      <c r="U195" s="4"/>
      <c r="V195" s="5"/>
    </row>
    <row r="196" spans="1:22" ht="15.6" x14ac:dyDescent="0.3">
      <c r="A196" s="72"/>
      <c r="B196" s="73"/>
      <c r="C196" s="74"/>
      <c r="D196" s="74"/>
      <c r="E196" s="74"/>
      <c r="F196" s="74"/>
      <c r="G196" s="75"/>
      <c r="H196" s="75"/>
      <c r="I196" s="75"/>
      <c r="J196" s="75"/>
      <c r="K196" s="75"/>
      <c r="L196" s="75"/>
      <c r="M196" s="75"/>
      <c r="N196" s="75"/>
      <c r="O196" s="75"/>
      <c r="P196" s="75"/>
      <c r="Q196" s="75"/>
      <c r="R196" s="75"/>
      <c r="S196" s="8"/>
      <c r="T196" s="8"/>
      <c r="U196" s="8"/>
      <c r="V196" s="5"/>
    </row>
    <row r="197" spans="1:22" ht="15.6" x14ac:dyDescent="0.3">
      <c r="A197" s="76"/>
      <c r="B197" s="77" t="s">
        <v>75</v>
      </c>
      <c r="C197" s="78"/>
      <c r="D197" s="78"/>
      <c r="E197" s="78"/>
      <c r="F197" s="78"/>
      <c r="G197" s="64"/>
      <c r="H197" s="64"/>
      <c r="I197" s="64"/>
      <c r="J197" s="64"/>
      <c r="K197" s="64"/>
      <c r="L197" s="64"/>
      <c r="M197" s="64"/>
      <c r="N197" s="64"/>
      <c r="O197" s="64"/>
      <c r="P197" s="64"/>
      <c r="Q197" s="64"/>
      <c r="R197" s="79">
        <v>5.8209999999999998E-2</v>
      </c>
      <c r="S197" s="25"/>
      <c r="T197" s="25"/>
      <c r="U197" s="25"/>
      <c r="V197" s="5"/>
    </row>
    <row r="198" spans="1:22" ht="15.6" x14ac:dyDescent="0.3">
      <c r="A198" s="76"/>
      <c r="B198" s="77" t="s">
        <v>164</v>
      </c>
      <c r="C198" s="78"/>
      <c r="D198" s="78"/>
      <c r="E198" s="78"/>
      <c r="F198" s="78"/>
      <c r="G198" s="64"/>
      <c r="H198" s="64"/>
      <c r="I198" s="64"/>
      <c r="J198" s="64"/>
      <c r="K198" s="64"/>
      <c r="L198" s="64"/>
      <c r="M198" s="64"/>
      <c r="N198" s="64"/>
      <c r="O198" s="64"/>
      <c r="P198" s="64"/>
      <c r="Q198" s="64"/>
      <c r="R198" s="39">
        <f>'Oct 05'!R193</f>
        <v>4.8438496428571419E-2</v>
      </c>
      <c r="S198" s="25"/>
      <c r="T198" s="25"/>
      <c r="U198" s="25"/>
      <c r="V198" s="5"/>
    </row>
    <row r="199" spans="1:22" ht="15.6" x14ac:dyDescent="0.3">
      <c r="A199" s="76"/>
      <c r="B199" s="77" t="s">
        <v>76</v>
      </c>
      <c r="C199" s="78"/>
      <c r="D199" s="78"/>
      <c r="E199" s="78"/>
      <c r="F199" s="78"/>
      <c r="G199" s="64"/>
      <c r="H199" s="64"/>
      <c r="I199" s="64"/>
      <c r="J199" s="64"/>
      <c r="K199" s="64"/>
      <c r="L199" s="64"/>
      <c r="M199" s="64"/>
      <c r="N199" s="64"/>
      <c r="O199" s="64"/>
      <c r="P199" s="64"/>
      <c r="Q199" s="64"/>
      <c r="R199" s="79">
        <f>R197-R198</f>
        <v>9.7715035714285789E-3</v>
      </c>
      <c r="S199" s="25"/>
      <c r="T199" s="25"/>
      <c r="U199" s="25"/>
      <c r="V199" s="5"/>
    </row>
    <row r="200" spans="1:22" ht="15.6" x14ac:dyDescent="0.3">
      <c r="A200" s="76"/>
      <c r="B200" s="77" t="s">
        <v>77</v>
      </c>
      <c r="C200" s="78"/>
      <c r="D200" s="78"/>
      <c r="E200" s="78"/>
      <c r="F200" s="78"/>
      <c r="G200" s="64"/>
      <c r="H200" s="64"/>
      <c r="I200" s="64"/>
      <c r="J200" s="64"/>
      <c r="K200" s="64"/>
      <c r="L200" s="64"/>
      <c r="M200" s="64"/>
      <c r="N200" s="64"/>
      <c r="O200" s="64"/>
      <c r="P200" s="64"/>
      <c r="Q200" s="64"/>
      <c r="R200" s="79">
        <v>4.9820000000000003E-2</v>
      </c>
      <c r="S200" s="25"/>
      <c r="T200" s="25"/>
      <c r="U200" s="25"/>
      <c r="V200" s="5"/>
    </row>
    <row r="201" spans="1:22" ht="15.6" x14ac:dyDescent="0.3">
      <c r="A201" s="76"/>
      <c r="B201" s="77" t="s">
        <v>257</v>
      </c>
      <c r="C201" s="78"/>
      <c r="D201" s="78"/>
      <c r="E201" s="78"/>
      <c r="F201" s="78"/>
      <c r="G201" s="64"/>
      <c r="H201" s="64"/>
      <c r="I201" s="64"/>
      <c r="J201" s="64"/>
      <c r="K201" s="64"/>
      <c r="L201" s="64"/>
      <c r="M201" s="64"/>
      <c r="N201" s="64"/>
      <c r="O201" s="64"/>
      <c r="P201" s="64"/>
      <c r="Q201" s="64"/>
      <c r="R201" s="79">
        <f>+T41</f>
        <v>4.3954159951350269E-2</v>
      </c>
      <c r="S201" s="25"/>
      <c r="T201" s="25"/>
      <c r="U201" s="25"/>
      <c r="V201" s="5"/>
    </row>
    <row r="202" spans="1:22" ht="15.6" x14ac:dyDescent="0.3">
      <c r="A202" s="76"/>
      <c r="B202" s="77" t="s">
        <v>78</v>
      </c>
      <c r="C202" s="78"/>
      <c r="D202" s="78"/>
      <c r="E202" s="78"/>
      <c r="F202" s="78"/>
      <c r="G202" s="64"/>
      <c r="H202" s="64"/>
      <c r="I202" s="64"/>
      <c r="J202" s="64"/>
      <c r="K202" s="64"/>
      <c r="L202" s="64"/>
      <c r="M202" s="64"/>
      <c r="N202" s="64"/>
      <c r="O202" s="64"/>
      <c r="P202" s="64"/>
      <c r="Q202" s="64"/>
      <c r="R202" s="79">
        <f>R200-R201</f>
        <v>5.8658400486497342E-3</v>
      </c>
      <c r="S202" s="25"/>
      <c r="T202" s="25"/>
      <c r="U202" s="25"/>
      <c r="V202" s="5"/>
    </row>
    <row r="203" spans="1:22" ht="15.6" x14ac:dyDescent="0.3">
      <c r="A203" s="76"/>
      <c r="B203" s="77" t="s">
        <v>268</v>
      </c>
      <c r="C203" s="78"/>
      <c r="D203" s="78"/>
      <c r="E203" s="78"/>
      <c r="F203" s="78"/>
      <c r="G203" s="64"/>
      <c r="H203" s="64"/>
      <c r="I203" s="64"/>
      <c r="J203" s="64"/>
      <c r="K203" s="64"/>
      <c r="L203" s="64"/>
      <c r="M203" s="64"/>
      <c r="N203" s="64"/>
      <c r="O203" s="64"/>
      <c r="P203" s="64"/>
      <c r="Q203" s="64"/>
      <c r="R203" s="79">
        <f>+T98/L69</f>
        <v>1.5967853852191422E-2</v>
      </c>
      <c r="S203" s="25"/>
      <c r="T203" s="25"/>
      <c r="U203" s="25"/>
      <c r="V203" s="5"/>
    </row>
    <row r="204" spans="1:22" ht="15.6" x14ac:dyDescent="0.3">
      <c r="A204" s="76"/>
      <c r="B204" s="77" t="s">
        <v>249</v>
      </c>
      <c r="C204" s="78"/>
      <c r="D204" s="78"/>
      <c r="E204" s="78"/>
      <c r="F204" s="78"/>
      <c r="G204" s="64"/>
      <c r="H204" s="64"/>
      <c r="I204" s="64"/>
      <c r="J204" s="64"/>
      <c r="K204" s="64"/>
      <c r="L204" s="64"/>
      <c r="M204" s="64"/>
      <c r="N204" s="64"/>
      <c r="O204" s="64"/>
      <c r="P204" s="64"/>
      <c r="Q204" s="64"/>
      <c r="R204" s="132">
        <v>51622</v>
      </c>
      <c r="S204" s="25"/>
      <c r="T204" s="25"/>
      <c r="U204" s="25"/>
      <c r="V204" s="5"/>
    </row>
    <row r="205" spans="1:22" ht="15.6" x14ac:dyDescent="0.3">
      <c r="A205" s="76"/>
      <c r="B205" s="77" t="s">
        <v>250</v>
      </c>
      <c r="C205" s="78"/>
      <c r="D205" s="78"/>
      <c r="E205" s="78"/>
      <c r="F205" s="78"/>
      <c r="G205" s="64"/>
      <c r="H205" s="64"/>
      <c r="I205" s="64"/>
      <c r="J205" s="64"/>
      <c r="K205" s="64"/>
      <c r="L205" s="64"/>
      <c r="M205" s="64"/>
      <c r="N205" s="64"/>
      <c r="O205" s="64"/>
      <c r="P205" s="64"/>
      <c r="Q205" s="64"/>
      <c r="R205" s="132">
        <v>51622</v>
      </c>
      <c r="S205" s="25"/>
      <c r="T205" s="25"/>
      <c r="U205" s="25"/>
      <c r="V205" s="5"/>
    </row>
    <row r="206" spans="1:22" ht="15.6" x14ac:dyDescent="0.3">
      <c r="A206" s="76"/>
      <c r="B206" s="77" t="s">
        <v>251</v>
      </c>
      <c r="C206" s="78"/>
      <c r="D206" s="78"/>
      <c r="E206" s="78"/>
      <c r="F206" s="78"/>
      <c r="G206" s="64"/>
      <c r="H206" s="64"/>
      <c r="I206" s="64"/>
      <c r="J206" s="64"/>
      <c r="K206" s="64"/>
      <c r="L206" s="64"/>
      <c r="M206" s="64"/>
      <c r="N206" s="64"/>
      <c r="O206" s="64"/>
      <c r="P206" s="64"/>
      <c r="Q206" s="64"/>
      <c r="R206" s="132">
        <v>51622</v>
      </c>
      <c r="S206" s="25"/>
      <c r="T206" s="25"/>
      <c r="U206" s="25"/>
      <c r="V206" s="5"/>
    </row>
    <row r="207" spans="1:22" ht="15.6" x14ac:dyDescent="0.3">
      <c r="A207" s="76"/>
      <c r="B207" s="77" t="s">
        <v>79</v>
      </c>
      <c r="C207" s="78"/>
      <c r="D207" s="78"/>
      <c r="E207" s="78"/>
      <c r="F207" s="78"/>
      <c r="G207" s="64"/>
      <c r="H207" s="64"/>
      <c r="I207" s="64"/>
      <c r="J207" s="64"/>
      <c r="K207" s="64"/>
      <c r="L207" s="64"/>
      <c r="M207" s="64"/>
      <c r="N207" s="64"/>
      <c r="O207" s="64"/>
      <c r="P207" s="64"/>
      <c r="Q207" s="64"/>
      <c r="R207" s="136">
        <v>20.95</v>
      </c>
      <c r="S207" s="25" t="s">
        <v>119</v>
      </c>
      <c r="T207" s="25"/>
      <c r="U207" s="25"/>
      <c r="V207" s="5"/>
    </row>
    <row r="208" spans="1:22" ht="15.6" x14ac:dyDescent="0.3">
      <c r="A208" s="76"/>
      <c r="B208" s="77" t="s">
        <v>80</v>
      </c>
      <c r="C208" s="78"/>
      <c r="D208" s="78"/>
      <c r="E208" s="78"/>
      <c r="F208" s="78"/>
      <c r="G208" s="64"/>
      <c r="H208" s="64"/>
      <c r="I208" s="64"/>
      <c r="J208" s="64"/>
      <c r="K208" s="64"/>
      <c r="L208" s="64"/>
      <c r="M208" s="64"/>
      <c r="N208" s="64"/>
      <c r="O208" s="64"/>
      <c r="P208" s="64"/>
      <c r="Q208" s="64"/>
      <c r="R208" s="136">
        <v>17.52</v>
      </c>
      <c r="S208" s="25" t="s">
        <v>119</v>
      </c>
      <c r="T208" s="25"/>
      <c r="U208" s="25"/>
      <c r="V208" s="5"/>
    </row>
    <row r="209" spans="1:22" ht="15.6" x14ac:dyDescent="0.3">
      <c r="A209" s="76"/>
      <c r="B209" s="77" t="s">
        <v>81</v>
      </c>
      <c r="C209" s="78"/>
      <c r="D209" s="78"/>
      <c r="E209" s="78"/>
      <c r="F209" s="78"/>
      <c r="G209" s="64"/>
      <c r="H209" s="64"/>
      <c r="I209" s="64"/>
      <c r="J209" s="64"/>
      <c r="K209" s="64"/>
      <c r="L209" s="64"/>
      <c r="M209" s="64"/>
      <c r="N209" s="64"/>
      <c r="O209" s="64"/>
      <c r="P209" s="64"/>
      <c r="Q209" s="64"/>
      <c r="R209" s="79">
        <f>+N66/L66</f>
        <v>2.5050903754933969E-2</v>
      </c>
      <c r="S209" s="25"/>
      <c r="T209" s="25"/>
      <c r="U209" s="25"/>
      <c r="V209" s="5"/>
    </row>
    <row r="210" spans="1:22" ht="15.6" x14ac:dyDescent="0.3">
      <c r="A210" s="76"/>
      <c r="B210" s="77" t="s">
        <v>82</v>
      </c>
      <c r="C210" s="78"/>
      <c r="D210" s="78"/>
      <c r="E210" s="78"/>
      <c r="F210" s="78"/>
      <c r="G210" s="64"/>
      <c r="H210" s="64"/>
      <c r="I210" s="64"/>
      <c r="J210" s="64"/>
      <c r="K210" s="64"/>
      <c r="L210" s="64"/>
      <c r="M210" s="64"/>
      <c r="N210" s="64"/>
      <c r="O210" s="64"/>
      <c r="P210" s="64"/>
      <c r="Q210" s="64"/>
      <c r="R210" s="79">
        <v>0.20119999999999999</v>
      </c>
      <c r="S210" s="25"/>
      <c r="T210" s="25"/>
      <c r="U210" s="25"/>
      <c r="V210" s="5"/>
    </row>
    <row r="211" spans="1:22" ht="15.6" x14ac:dyDescent="0.3">
      <c r="A211" s="76"/>
      <c r="B211" s="77"/>
      <c r="C211" s="77"/>
      <c r="D211" s="77"/>
      <c r="E211" s="77"/>
      <c r="F211" s="77"/>
      <c r="G211" s="25"/>
      <c r="H211" s="25"/>
      <c r="I211" s="25"/>
      <c r="J211" s="25"/>
      <c r="K211" s="25"/>
      <c r="L211" s="25"/>
      <c r="M211" s="25"/>
      <c r="N211" s="25"/>
      <c r="O211" s="25"/>
      <c r="P211" s="25"/>
      <c r="Q211" s="25"/>
      <c r="R211" s="61"/>
      <c r="S211" s="25"/>
      <c r="T211" s="80"/>
      <c r="U211" s="25"/>
      <c r="V211" s="5"/>
    </row>
    <row r="212" spans="1:22" ht="15.6" x14ac:dyDescent="0.3">
      <c r="A212" s="81"/>
      <c r="B212" s="14" t="s">
        <v>83</v>
      </c>
      <c r="C212" s="82"/>
      <c r="D212" s="82"/>
      <c r="E212" s="82"/>
      <c r="F212" s="83"/>
      <c r="G212" s="82"/>
      <c r="H212" s="17"/>
      <c r="I212" s="17"/>
      <c r="J212" s="17"/>
      <c r="K212" s="17"/>
      <c r="L212" s="17"/>
      <c r="M212" s="17"/>
      <c r="N212" s="17"/>
      <c r="O212" s="17"/>
      <c r="P212" s="17"/>
      <c r="Q212" s="17" t="s">
        <v>108</v>
      </c>
      <c r="R212" s="84" t="s">
        <v>115</v>
      </c>
      <c r="S212" s="8"/>
      <c r="T212" s="8"/>
      <c r="U212" s="8"/>
      <c r="V212" s="5"/>
    </row>
    <row r="213" spans="1:22" ht="15.6" x14ac:dyDescent="0.3">
      <c r="A213" s="85"/>
      <c r="B213" s="77" t="s">
        <v>84</v>
      </c>
      <c r="C213" s="54"/>
      <c r="D213" s="54"/>
      <c r="E213" s="54"/>
      <c r="F213" s="25"/>
      <c r="G213" s="25"/>
      <c r="H213" s="30"/>
      <c r="I213" s="30"/>
      <c r="J213" s="30"/>
      <c r="K213" s="30"/>
      <c r="L213" s="30"/>
      <c r="M213" s="30"/>
      <c r="N213" s="30"/>
      <c r="O213" s="30"/>
      <c r="P213" s="30"/>
      <c r="Q213" s="30">
        <v>1</v>
      </c>
      <c r="R213" s="86">
        <v>52</v>
      </c>
      <c r="S213" s="25"/>
      <c r="T213" s="80"/>
      <c r="U213" s="87"/>
      <c r="V213" s="5"/>
    </row>
    <row r="214" spans="1:22" ht="15.6" x14ac:dyDescent="0.3">
      <c r="A214" s="85"/>
      <c r="B214" s="77" t="s">
        <v>156</v>
      </c>
      <c r="C214" s="54"/>
      <c r="D214" s="54"/>
      <c r="E214" s="54"/>
      <c r="F214" s="25"/>
      <c r="G214" s="25"/>
      <c r="H214" s="30"/>
      <c r="I214" s="30"/>
      <c r="J214" s="30"/>
      <c r="K214" s="30"/>
      <c r="L214" s="30"/>
      <c r="M214" s="30"/>
      <c r="N214" s="30"/>
      <c r="O214" s="30"/>
      <c r="P214" s="30"/>
      <c r="Q214" s="156">
        <f>+P253</f>
        <v>103</v>
      </c>
      <c r="R214" s="86">
        <f>+R253</f>
        <v>15741</v>
      </c>
      <c r="S214" s="25"/>
      <c r="T214" s="80"/>
      <c r="U214" s="87"/>
      <c r="V214" s="5"/>
    </row>
    <row r="215" spans="1:22" ht="15.6" x14ac:dyDescent="0.3">
      <c r="A215" s="85"/>
      <c r="B215" s="77" t="s">
        <v>85</v>
      </c>
      <c r="C215" s="54"/>
      <c r="D215" s="54"/>
      <c r="E215" s="54"/>
      <c r="F215" s="25"/>
      <c r="G215" s="25"/>
      <c r="H215" s="30"/>
      <c r="I215" s="30"/>
      <c r="J215" s="30"/>
      <c r="K215" s="30"/>
      <c r="L215" s="30"/>
      <c r="M215" s="30"/>
      <c r="N215" s="30"/>
      <c r="O215" s="30"/>
      <c r="P215" s="30"/>
      <c r="Q215" s="30">
        <v>0</v>
      </c>
      <c r="R215" s="86">
        <v>0</v>
      </c>
      <c r="S215" s="25"/>
      <c r="T215" s="80"/>
      <c r="U215" s="87"/>
      <c r="V215" s="5"/>
    </row>
    <row r="216" spans="1:22" ht="15.6" x14ac:dyDescent="0.3">
      <c r="A216" s="85"/>
      <c r="B216" s="123" t="s">
        <v>86</v>
      </c>
      <c r="C216" s="54"/>
      <c r="D216" s="54"/>
      <c r="E216" s="54"/>
      <c r="F216" s="25"/>
      <c r="G216" s="25"/>
      <c r="H216" s="25"/>
      <c r="I216" s="25"/>
      <c r="J216" s="25"/>
      <c r="K216" s="25"/>
      <c r="L216" s="25"/>
      <c r="M216" s="25"/>
      <c r="N216" s="25"/>
      <c r="O216" s="25"/>
      <c r="P216" s="25"/>
      <c r="Q216" s="25"/>
      <c r="R216" s="86">
        <v>0</v>
      </c>
      <c r="S216" s="25"/>
      <c r="T216" s="80"/>
      <c r="U216" s="87"/>
      <c r="V216" s="5"/>
    </row>
    <row r="217" spans="1:22" ht="15.6" x14ac:dyDescent="0.3">
      <c r="A217" s="85"/>
      <c r="B217" s="123" t="s">
        <v>87</v>
      </c>
      <c r="C217" s="54"/>
      <c r="D217" s="54"/>
      <c r="E217" s="54"/>
      <c r="F217" s="25"/>
      <c r="G217" s="25"/>
      <c r="H217" s="25"/>
      <c r="I217" s="25"/>
      <c r="J217" s="25"/>
      <c r="K217" s="25"/>
      <c r="L217" s="25"/>
      <c r="M217" s="25"/>
      <c r="N217" s="25"/>
      <c r="O217" s="25"/>
      <c r="P217" s="25"/>
      <c r="Q217" s="25"/>
      <c r="R217" s="62" t="s">
        <v>116</v>
      </c>
      <c r="S217" s="25"/>
      <c r="T217" s="80"/>
      <c r="U217" s="87"/>
      <c r="V217" s="5"/>
    </row>
    <row r="218" spans="1:22" ht="15.6" x14ac:dyDescent="0.3">
      <c r="A218" s="88"/>
      <c r="B218" s="123" t="s">
        <v>88</v>
      </c>
      <c r="C218" s="77"/>
      <c r="D218" s="77"/>
      <c r="E218" s="77"/>
      <c r="F218" s="77"/>
      <c r="G218" s="25"/>
      <c r="H218" s="25"/>
      <c r="I218" s="25"/>
      <c r="J218" s="25"/>
      <c r="K218" s="25"/>
      <c r="L218" s="25"/>
      <c r="M218" s="25"/>
      <c r="N218" s="25"/>
      <c r="O218" s="25"/>
      <c r="P218" s="25"/>
      <c r="Q218" s="25"/>
      <c r="R218" s="86"/>
      <c r="S218" s="25"/>
      <c r="T218" s="80"/>
      <c r="U218" s="89"/>
      <c r="V218" s="5"/>
    </row>
    <row r="219" spans="1:22" ht="15.6" x14ac:dyDescent="0.3">
      <c r="A219" s="88"/>
      <c r="B219" s="134" t="s">
        <v>89</v>
      </c>
      <c r="C219" s="77"/>
      <c r="D219" s="77"/>
      <c r="E219" s="77"/>
      <c r="F219" s="77"/>
      <c r="G219" s="25"/>
      <c r="H219" s="25"/>
      <c r="I219" s="25"/>
      <c r="J219" s="25"/>
      <c r="K219" s="25"/>
      <c r="L219" s="25"/>
      <c r="M219" s="25"/>
      <c r="N219" s="25"/>
      <c r="O219" s="25"/>
      <c r="P219" s="25"/>
      <c r="Q219" s="30"/>
      <c r="R219" s="86">
        <f>T164</f>
        <v>62</v>
      </c>
      <c r="S219" s="25"/>
      <c r="T219" s="80"/>
      <c r="U219" s="89"/>
      <c r="V219" s="5"/>
    </row>
    <row r="220" spans="1:22" ht="15.6" x14ac:dyDescent="0.3">
      <c r="A220" s="85"/>
      <c r="B220" s="77" t="s">
        <v>90</v>
      </c>
      <c r="C220" s="54"/>
      <c r="D220" s="54"/>
      <c r="E220" s="54"/>
      <c r="F220" s="54"/>
      <c r="G220" s="25"/>
      <c r="H220" s="25"/>
      <c r="I220" s="25"/>
      <c r="J220" s="25"/>
      <c r="K220" s="25"/>
      <c r="L220" s="25"/>
      <c r="M220" s="25"/>
      <c r="N220" s="25"/>
      <c r="O220" s="25"/>
      <c r="P220" s="25"/>
      <c r="Q220" s="30"/>
      <c r="R220" s="86">
        <f>'Oct 08'!R220+'Jan 09'!R219</f>
        <v>567</v>
      </c>
      <c r="S220" s="25"/>
      <c r="T220" s="80"/>
      <c r="U220" s="89"/>
      <c r="V220" s="5"/>
    </row>
    <row r="221" spans="1:22" ht="15.6" x14ac:dyDescent="0.3">
      <c r="A221" s="88"/>
      <c r="B221" s="123" t="s">
        <v>288</v>
      </c>
      <c r="C221" s="77"/>
      <c r="D221" s="77"/>
      <c r="E221" s="77"/>
      <c r="F221" s="77"/>
      <c r="G221" s="25"/>
      <c r="H221" s="25"/>
      <c r="I221" s="25"/>
      <c r="J221" s="25"/>
      <c r="K221" s="25"/>
      <c r="L221" s="25"/>
      <c r="M221" s="25"/>
      <c r="N221" s="25"/>
      <c r="O221" s="25"/>
      <c r="P221" s="25"/>
      <c r="Q221" s="30"/>
      <c r="R221" s="86"/>
      <c r="S221" s="25"/>
      <c r="T221" s="80"/>
      <c r="U221" s="89"/>
      <c r="V221" s="5"/>
    </row>
    <row r="222" spans="1:22" ht="15.6" x14ac:dyDescent="0.3">
      <c r="A222" s="88"/>
      <c r="B222" s="77" t="s">
        <v>286</v>
      </c>
      <c r="C222" s="77"/>
      <c r="D222" s="77"/>
      <c r="E222" s="77"/>
      <c r="F222" s="77"/>
      <c r="G222" s="25"/>
      <c r="H222" s="25"/>
      <c r="I222" s="25"/>
      <c r="J222" s="25"/>
      <c r="K222" s="25"/>
      <c r="L222" s="25"/>
      <c r="M222" s="25"/>
      <c r="N222" s="25"/>
      <c r="O222" s="25"/>
      <c r="P222" s="25"/>
      <c r="Q222" s="30">
        <v>0</v>
      </c>
      <c r="R222" s="86">
        <v>0</v>
      </c>
      <c r="S222" s="25"/>
      <c r="T222" s="80"/>
      <c r="U222" s="89"/>
      <c r="V222" s="5"/>
    </row>
    <row r="223" spans="1:22" ht="15.6" x14ac:dyDescent="0.3">
      <c r="A223" s="85"/>
      <c r="B223" s="77" t="s">
        <v>92</v>
      </c>
      <c r="C223" s="90"/>
      <c r="D223" s="90"/>
      <c r="E223" s="90"/>
      <c r="F223" s="91"/>
      <c r="G223" s="25"/>
      <c r="H223" s="25"/>
      <c r="I223" s="25"/>
      <c r="J223" s="25"/>
      <c r="K223" s="25"/>
      <c r="L223" s="25"/>
      <c r="M223" s="25"/>
      <c r="N223" s="25"/>
      <c r="O223" s="25"/>
      <c r="P223" s="25"/>
      <c r="Q223" s="30"/>
      <c r="R223" s="62">
        <v>0</v>
      </c>
      <c r="S223" s="25"/>
      <c r="T223" s="80"/>
      <c r="U223" s="89"/>
      <c r="V223" s="5"/>
    </row>
    <row r="224" spans="1:22" ht="15.6" x14ac:dyDescent="0.3">
      <c r="A224" s="85"/>
      <c r="B224" s="77" t="s">
        <v>93</v>
      </c>
      <c r="C224" s="90"/>
      <c r="D224" s="90"/>
      <c r="E224" s="90"/>
      <c r="F224" s="91"/>
      <c r="G224" s="25"/>
      <c r="H224" s="25"/>
      <c r="I224" s="25"/>
      <c r="J224" s="25"/>
      <c r="K224" s="25"/>
      <c r="L224" s="25"/>
      <c r="M224" s="25"/>
      <c r="N224" s="25"/>
      <c r="O224" s="25"/>
      <c r="P224" s="25"/>
      <c r="Q224" s="30"/>
      <c r="R224" s="62">
        <v>0</v>
      </c>
      <c r="S224" s="25"/>
      <c r="T224" s="80"/>
      <c r="U224" s="89"/>
      <c r="V224" s="5"/>
    </row>
    <row r="225" spans="1:23" ht="15.6" x14ac:dyDescent="0.3">
      <c r="A225" s="85"/>
      <c r="B225" s="123" t="s">
        <v>258</v>
      </c>
      <c r="C225" s="90"/>
      <c r="D225" s="90"/>
      <c r="E225" s="90"/>
      <c r="F225" s="91"/>
      <c r="G225" s="25"/>
      <c r="H225" s="25"/>
      <c r="I225" s="25"/>
      <c r="J225" s="25"/>
      <c r="K225" s="25"/>
      <c r="L225" s="25"/>
      <c r="M225" s="25"/>
      <c r="N225" s="25"/>
      <c r="O225" s="25"/>
      <c r="P225" s="25"/>
      <c r="Q225" s="30"/>
      <c r="R225" s="92"/>
      <c r="S225" s="25"/>
      <c r="T225" s="80"/>
      <c r="U225" s="89"/>
      <c r="V225" s="5"/>
    </row>
    <row r="226" spans="1:23" ht="15.6" x14ac:dyDescent="0.3">
      <c r="A226" s="85"/>
      <c r="B226" s="77" t="s">
        <v>286</v>
      </c>
      <c r="C226" s="90"/>
      <c r="D226" s="90"/>
      <c r="E226" s="90"/>
      <c r="F226" s="91"/>
      <c r="G226" s="25"/>
      <c r="H226" s="25"/>
      <c r="I226" s="25"/>
      <c r="J226" s="25"/>
      <c r="K226" s="25"/>
      <c r="L226" s="25"/>
      <c r="M226" s="25"/>
      <c r="N226" s="25"/>
      <c r="O226" s="25"/>
      <c r="P226" s="25"/>
      <c r="Q226" s="30">
        <v>3</v>
      </c>
      <c r="R226" s="86">
        <v>295</v>
      </c>
      <c r="S226" s="25"/>
      <c r="T226" s="80"/>
      <c r="U226" s="89"/>
      <c r="V226" s="5"/>
    </row>
    <row r="227" spans="1:23" ht="15.6" x14ac:dyDescent="0.3">
      <c r="A227" s="85"/>
      <c r="B227" s="77" t="s">
        <v>259</v>
      </c>
      <c r="C227" s="90"/>
      <c r="D227" s="90"/>
      <c r="E227" s="90"/>
      <c r="F227" s="91"/>
      <c r="G227" s="25"/>
      <c r="H227" s="25"/>
      <c r="I227" s="25"/>
      <c r="J227" s="25"/>
      <c r="K227" s="25"/>
      <c r="L227" s="25"/>
      <c r="M227" s="25"/>
      <c r="N227" s="25"/>
      <c r="O227" s="25"/>
      <c r="P227" s="25"/>
      <c r="Q227" s="25"/>
      <c r="R227" s="62">
        <v>8.0299999999999994</v>
      </c>
      <c r="S227" s="25"/>
      <c r="T227" s="80"/>
      <c r="U227" s="89"/>
      <c r="V227" s="5"/>
    </row>
    <row r="228" spans="1:23" ht="15.6" x14ac:dyDescent="0.3">
      <c r="A228" s="85"/>
      <c r="B228" s="77"/>
      <c r="C228" s="90"/>
      <c r="D228" s="90"/>
      <c r="E228" s="90"/>
      <c r="F228" s="91"/>
      <c r="G228" s="25"/>
      <c r="H228" s="25"/>
      <c r="I228" s="25"/>
      <c r="J228" s="25"/>
      <c r="K228" s="25"/>
      <c r="L228" s="25"/>
      <c r="M228" s="25"/>
      <c r="N228" s="25"/>
      <c r="O228" s="25"/>
      <c r="P228" s="25"/>
      <c r="Q228" s="25"/>
      <c r="R228" s="92"/>
      <c r="S228" s="25"/>
      <c r="T228" s="80"/>
      <c r="U228" s="89"/>
      <c r="V228" s="5"/>
    </row>
    <row r="229" spans="1:23" ht="17.399999999999999" x14ac:dyDescent="0.3">
      <c r="A229" s="85"/>
      <c r="B229" s="153" t="s">
        <v>208</v>
      </c>
      <c r="C229" s="90"/>
      <c r="D229" s="90"/>
      <c r="E229" s="90"/>
      <c r="F229" s="91"/>
      <c r="G229" s="25"/>
      <c r="H229" s="25"/>
      <c r="I229" s="25"/>
      <c r="J229" s="25"/>
      <c r="K229" s="25"/>
      <c r="L229" s="25"/>
      <c r="M229" s="25"/>
      <c r="N229" s="154" t="s">
        <v>207</v>
      </c>
      <c r="O229" s="25"/>
      <c r="P229" s="25"/>
      <c r="Q229" s="25"/>
      <c r="R229" s="92"/>
      <c r="S229" s="25"/>
      <c r="T229" s="80"/>
      <c r="U229" s="89"/>
      <c r="V229" s="5"/>
    </row>
    <row r="230" spans="1:23" ht="15.6" x14ac:dyDescent="0.3">
      <c r="A230" s="85"/>
      <c r="B230" s="77"/>
      <c r="C230" s="90"/>
      <c r="D230" s="90"/>
      <c r="E230" s="90"/>
      <c r="F230" s="91"/>
      <c r="G230" s="25"/>
      <c r="H230" s="25"/>
      <c r="I230" s="25"/>
      <c r="J230" s="25"/>
      <c r="K230" s="25"/>
      <c r="L230" s="25"/>
      <c r="M230" s="25"/>
      <c r="N230" s="25"/>
      <c r="O230" s="25"/>
      <c r="P230" s="25"/>
      <c r="Q230" s="25"/>
      <c r="R230" s="92"/>
      <c r="S230" s="25"/>
      <c r="T230" s="80"/>
      <c r="U230" s="89"/>
      <c r="V230" s="5"/>
    </row>
    <row r="231" spans="1:23" ht="15.6" x14ac:dyDescent="0.3">
      <c r="A231" s="6"/>
      <c r="B231" s="14" t="s">
        <v>177</v>
      </c>
      <c r="C231" s="82"/>
      <c r="D231" s="82"/>
      <c r="E231" s="82"/>
      <c r="F231" s="83"/>
      <c r="G231" s="82"/>
      <c r="H231" s="17"/>
      <c r="I231" s="17"/>
      <c r="J231" s="17"/>
      <c r="K231" s="17"/>
      <c r="L231" s="17"/>
      <c r="M231" s="17"/>
      <c r="N231" s="17"/>
      <c r="O231" s="17"/>
      <c r="P231" s="84" t="s">
        <v>108</v>
      </c>
      <c r="Q231" s="17" t="s">
        <v>109</v>
      </c>
      <c r="R231" s="84" t="s">
        <v>117</v>
      </c>
      <c r="S231" s="17" t="s">
        <v>109</v>
      </c>
      <c r="T231" s="8"/>
      <c r="U231" s="93"/>
      <c r="V231" s="5"/>
    </row>
    <row r="232" spans="1:23" ht="15.6" x14ac:dyDescent="0.3">
      <c r="A232" s="24"/>
      <c r="B232" s="54" t="s">
        <v>94</v>
      </c>
      <c r="C232" s="94"/>
      <c r="D232" s="94"/>
      <c r="E232" s="94"/>
      <c r="F232" s="25"/>
      <c r="G232" s="94"/>
      <c r="H232" s="94"/>
      <c r="I232" s="94"/>
      <c r="J232" s="94"/>
      <c r="K232" s="94"/>
      <c r="L232" s="94"/>
      <c r="M232" s="94"/>
      <c r="N232" s="94"/>
      <c r="O232" s="94"/>
      <c r="P232" s="54">
        <v>2716</v>
      </c>
      <c r="Q232" s="95">
        <f t="shared" ref="Q232:Q239" si="1">P232/$P$241</f>
        <v>0.97662711254944268</v>
      </c>
      <c r="R232" s="53">
        <v>320613</v>
      </c>
      <c r="S232" s="135">
        <f t="shared" ref="S232:S239" si="2">R232/$R$241</f>
        <v>0.97923411481558409</v>
      </c>
      <c r="T232" s="80"/>
      <c r="U232" s="89"/>
      <c r="V232" s="5"/>
    </row>
    <row r="233" spans="1:23" ht="15.6" x14ac:dyDescent="0.3">
      <c r="A233" s="24"/>
      <c r="B233" s="54" t="s">
        <v>95</v>
      </c>
      <c r="C233" s="94"/>
      <c r="D233" s="94"/>
      <c r="E233" s="94"/>
      <c r="F233" s="25"/>
      <c r="G233" s="95"/>
      <c r="H233" s="94"/>
      <c r="I233" s="94"/>
      <c r="J233" s="94"/>
      <c r="K233" s="94"/>
      <c r="L233" s="94"/>
      <c r="M233" s="94"/>
      <c r="N233" s="94"/>
      <c r="O233" s="94"/>
      <c r="P233" s="54">
        <v>39</v>
      </c>
      <c r="Q233" s="95">
        <f t="shared" si="1"/>
        <v>1.4023732470334413E-2</v>
      </c>
      <c r="R233" s="53">
        <v>3627</v>
      </c>
      <c r="S233" s="135">
        <f t="shared" si="2"/>
        <v>1.1077785786715208E-2</v>
      </c>
      <c r="T233" s="80"/>
      <c r="U233" s="89"/>
      <c r="V233" s="5"/>
      <c r="W233" s="110"/>
    </row>
    <row r="234" spans="1:23" ht="15.6" x14ac:dyDescent="0.3">
      <c r="A234" s="24"/>
      <c r="B234" s="54" t="s">
        <v>96</v>
      </c>
      <c r="C234" s="94"/>
      <c r="D234" s="94"/>
      <c r="E234" s="94"/>
      <c r="F234" s="25"/>
      <c r="G234" s="95"/>
      <c r="H234" s="94"/>
      <c r="I234" s="94"/>
      <c r="J234" s="94"/>
      <c r="K234" s="94"/>
      <c r="L234" s="94"/>
      <c r="M234" s="94"/>
      <c r="N234" s="94"/>
      <c r="O234" s="94"/>
      <c r="P234" s="54">
        <v>14</v>
      </c>
      <c r="Q234" s="95">
        <f t="shared" si="1"/>
        <v>5.0341603739661994E-3</v>
      </c>
      <c r="R234" s="53">
        <v>1664</v>
      </c>
      <c r="S234" s="135">
        <f t="shared" si="2"/>
        <v>5.0822816512528556E-3</v>
      </c>
      <c r="T234" s="80"/>
      <c r="U234" s="89"/>
      <c r="V234" s="5"/>
    </row>
    <row r="235" spans="1:23" ht="15.6" x14ac:dyDescent="0.3">
      <c r="A235" s="24"/>
      <c r="B235" s="54" t="s">
        <v>171</v>
      </c>
      <c r="C235" s="94"/>
      <c r="D235" s="94"/>
      <c r="E235" s="94"/>
      <c r="F235" s="25"/>
      <c r="G235" s="95"/>
      <c r="H235" s="94"/>
      <c r="I235" s="94"/>
      <c r="J235" s="94"/>
      <c r="K235" s="94"/>
      <c r="L235" s="94"/>
      <c r="M235" s="94"/>
      <c r="N235" s="94"/>
      <c r="O235" s="94"/>
      <c r="P235" s="54">
        <v>6</v>
      </c>
      <c r="Q235" s="95">
        <f t="shared" si="1"/>
        <v>2.1574973031283709E-3</v>
      </c>
      <c r="R235" s="53">
        <v>769</v>
      </c>
      <c r="S235" s="135">
        <f t="shared" si="2"/>
        <v>2.3487227102244267E-3</v>
      </c>
      <c r="T235" s="80"/>
      <c r="U235" s="89"/>
      <c r="V235" s="5"/>
      <c r="W235" s="110"/>
    </row>
    <row r="236" spans="1:23" ht="15.6" x14ac:dyDescent="0.3">
      <c r="A236" s="24"/>
      <c r="B236" s="54" t="s">
        <v>172</v>
      </c>
      <c r="C236" s="94"/>
      <c r="D236" s="94"/>
      <c r="E236" s="94"/>
      <c r="F236" s="25"/>
      <c r="G236" s="95"/>
      <c r="H236" s="94"/>
      <c r="I236" s="94"/>
      <c r="J236" s="94"/>
      <c r="K236" s="94"/>
      <c r="L236" s="94"/>
      <c r="M236" s="94"/>
      <c r="N236" s="94"/>
      <c r="O236" s="94"/>
      <c r="P236" s="54">
        <v>3</v>
      </c>
      <c r="Q236" s="95">
        <f t="shared" si="1"/>
        <v>1.0787486515641855E-3</v>
      </c>
      <c r="R236" s="53">
        <v>442</v>
      </c>
      <c r="S236" s="135">
        <f t="shared" si="2"/>
        <v>1.3499810636140397E-3</v>
      </c>
      <c r="T236" s="80"/>
      <c r="U236" s="89"/>
      <c r="V236" s="5"/>
    </row>
    <row r="237" spans="1:23" ht="15.6" x14ac:dyDescent="0.3">
      <c r="A237" s="24"/>
      <c r="B237" s="54" t="s">
        <v>173</v>
      </c>
      <c r="C237" s="94"/>
      <c r="D237" s="94"/>
      <c r="E237" s="94"/>
      <c r="F237" s="25"/>
      <c r="G237" s="95"/>
      <c r="H237" s="94"/>
      <c r="I237" s="94"/>
      <c r="J237" s="94"/>
      <c r="K237" s="94"/>
      <c r="L237" s="94"/>
      <c r="M237" s="94"/>
      <c r="N237" s="94"/>
      <c r="O237" s="94"/>
      <c r="P237" s="54">
        <v>0</v>
      </c>
      <c r="Q237" s="95">
        <f t="shared" si="1"/>
        <v>0</v>
      </c>
      <c r="R237" s="53">
        <v>0</v>
      </c>
      <c r="S237" s="135">
        <f t="shared" si="2"/>
        <v>0</v>
      </c>
      <c r="T237" s="80"/>
      <c r="U237" s="89"/>
      <c r="V237" s="5"/>
      <c r="W237" s="110"/>
    </row>
    <row r="238" spans="1:23" ht="15.6" x14ac:dyDescent="0.3">
      <c r="A238" s="24"/>
      <c r="B238" s="54" t="s">
        <v>174</v>
      </c>
      <c r="C238" s="94"/>
      <c r="D238" s="94"/>
      <c r="E238" s="94"/>
      <c r="F238" s="25"/>
      <c r="G238" s="95"/>
      <c r="H238" s="94"/>
      <c r="I238" s="94"/>
      <c r="J238" s="94"/>
      <c r="K238" s="94"/>
      <c r="L238" s="94"/>
      <c r="M238" s="94"/>
      <c r="N238" s="94"/>
      <c r="O238" s="94"/>
      <c r="P238" s="54">
        <v>3</v>
      </c>
      <c r="Q238" s="95">
        <f t="shared" si="1"/>
        <v>1.0787486515641855E-3</v>
      </c>
      <c r="R238" s="53">
        <v>297</v>
      </c>
      <c r="S238" s="135">
        <f t="shared" si="2"/>
        <v>9.0711397260943394E-4</v>
      </c>
      <c r="T238" s="80"/>
      <c r="U238" s="89"/>
      <c r="V238" s="5"/>
    </row>
    <row r="239" spans="1:23" ht="15.6" x14ac:dyDescent="0.3">
      <c r="A239" s="24"/>
      <c r="B239" s="54" t="s">
        <v>175</v>
      </c>
      <c r="C239" s="94"/>
      <c r="D239" s="94"/>
      <c r="E239" s="94"/>
      <c r="F239" s="25"/>
      <c r="G239" s="95"/>
      <c r="H239" s="94"/>
      <c r="I239" s="94"/>
      <c r="J239" s="94"/>
      <c r="K239" s="94"/>
      <c r="L239" s="94"/>
      <c r="M239" s="94"/>
      <c r="N239" s="94"/>
      <c r="O239" s="94"/>
      <c r="P239" s="54">
        <v>0</v>
      </c>
      <c r="Q239" s="95">
        <f t="shared" si="1"/>
        <v>0</v>
      </c>
      <c r="R239" s="53">
        <v>0</v>
      </c>
      <c r="S239" s="135">
        <f t="shared" si="2"/>
        <v>0</v>
      </c>
      <c r="T239" s="80"/>
      <c r="U239" s="89"/>
      <c r="V239" s="5"/>
      <c r="W239" s="110"/>
    </row>
    <row r="240" spans="1:23" ht="15.6" x14ac:dyDescent="0.3">
      <c r="A240" s="24"/>
      <c r="B240" s="54"/>
      <c r="C240" s="94"/>
      <c r="D240" s="94"/>
      <c r="E240" s="94"/>
      <c r="F240" s="25"/>
      <c r="G240" s="95"/>
      <c r="H240" s="94"/>
      <c r="I240" s="94"/>
      <c r="J240" s="94"/>
      <c r="K240" s="94"/>
      <c r="L240" s="94"/>
      <c r="M240" s="94"/>
      <c r="N240" s="94"/>
      <c r="O240" s="94"/>
      <c r="P240" s="54"/>
      <c r="Q240" s="95"/>
      <c r="R240" s="53"/>
      <c r="S240" s="135"/>
      <c r="T240" s="80"/>
      <c r="U240" s="89"/>
      <c r="V240" s="5"/>
    </row>
    <row r="241" spans="1:22" ht="15.6" x14ac:dyDescent="0.3">
      <c r="A241" s="24"/>
      <c r="B241" s="25"/>
      <c r="C241" s="25"/>
      <c r="D241" s="25"/>
      <c r="E241" s="25"/>
      <c r="F241" s="25"/>
      <c r="G241" s="25"/>
      <c r="H241" s="96"/>
      <c r="I241" s="96"/>
      <c r="J241" s="96"/>
      <c r="K241" s="96"/>
      <c r="L241" s="96"/>
      <c r="M241" s="96"/>
      <c r="N241" s="96"/>
      <c r="O241" s="96"/>
      <c r="P241" s="34">
        <f>SUM(P232:P240)</f>
        <v>2781</v>
      </c>
      <c r="Q241" s="135">
        <f>SUM(Q232:Q240)</f>
        <v>1</v>
      </c>
      <c r="R241" s="53">
        <f>SUM(R232:R240)</f>
        <v>327412</v>
      </c>
      <c r="S241" s="135">
        <f>SUM(S232:S240)</f>
        <v>1.0000000000000002</v>
      </c>
      <c r="T241" s="25"/>
      <c r="U241" s="25"/>
      <c r="V241" s="5"/>
    </row>
    <row r="242" spans="1:22" ht="15.6" x14ac:dyDescent="0.3">
      <c r="A242" s="24"/>
      <c r="B242" s="25"/>
      <c r="C242" s="25"/>
      <c r="D242" s="25"/>
      <c r="E242" s="25"/>
      <c r="F242" s="25"/>
      <c r="G242" s="25"/>
      <c r="H242" s="96"/>
      <c r="I242" s="96"/>
      <c r="J242" s="96"/>
      <c r="K242" s="96"/>
      <c r="L242" s="96"/>
      <c r="M242" s="96"/>
      <c r="N242" s="96"/>
      <c r="O242" s="96"/>
      <c r="P242" s="34"/>
      <c r="Q242" s="135"/>
      <c r="R242" s="53"/>
      <c r="S242" s="135"/>
      <c r="T242" s="25"/>
      <c r="U242" s="25"/>
      <c r="V242" s="5"/>
    </row>
    <row r="243" spans="1:22" ht="15.6" x14ac:dyDescent="0.3">
      <c r="A243" s="144"/>
      <c r="B243" s="14" t="s">
        <v>279</v>
      </c>
      <c r="C243" s="82"/>
      <c r="D243" s="82"/>
      <c r="E243" s="82"/>
      <c r="F243" s="83"/>
      <c r="G243" s="82"/>
      <c r="H243" s="17"/>
      <c r="I243" s="17"/>
      <c r="J243" s="17"/>
      <c r="K243" s="17"/>
      <c r="L243" s="17"/>
      <c r="M243" s="17"/>
      <c r="N243" s="17"/>
      <c r="O243" s="17"/>
      <c r="P243" s="84" t="s">
        <v>108</v>
      </c>
      <c r="Q243" s="17" t="s">
        <v>109</v>
      </c>
      <c r="R243" s="84" t="s">
        <v>117</v>
      </c>
      <c r="S243" s="17" t="s">
        <v>109</v>
      </c>
      <c r="T243" s="142"/>
      <c r="U243" s="143"/>
      <c r="V243" s="5"/>
    </row>
    <row r="244" spans="1:22" ht="15.6" x14ac:dyDescent="0.3">
      <c r="A244" s="24"/>
      <c r="B244" s="54" t="s">
        <v>94</v>
      </c>
      <c r="C244" s="94"/>
      <c r="D244" s="94"/>
      <c r="E244" s="94"/>
      <c r="F244" s="25"/>
      <c r="G244" s="94"/>
      <c r="H244" s="94"/>
      <c r="I244" s="94"/>
      <c r="J244" s="94"/>
      <c r="K244" s="94"/>
      <c r="L244" s="94"/>
      <c r="M244" s="94"/>
      <c r="N244" s="94"/>
      <c r="O244" s="94"/>
      <c r="P244" s="54">
        <v>29</v>
      </c>
      <c r="Q244" s="95">
        <f t="shared" ref="Q244:Q251" si="3">P244/$P$253</f>
        <v>0.28155339805825241</v>
      </c>
      <c r="R244" s="53">
        <v>4761</v>
      </c>
      <c r="S244" s="135">
        <f t="shared" ref="S244:S251" si="4">R244/$R$253</f>
        <v>0.30245854774156661</v>
      </c>
      <c r="T244" s="25"/>
      <c r="U244" s="25"/>
      <c r="V244" s="5"/>
    </row>
    <row r="245" spans="1:22" ht="15.6" x14ac:dyDescent="0.3">
      <c r="A245" s="24"/>
      <c r="B245" s="54" t="s">
        <v>95</v>
      </c>
      <c r="C245" s="94"/>
      <c r="D245" s="94"/>
      <c r="E245" s="94"/>
      <c r="F245" s="25"/>
      <c r="G245" s="95"/>
      <c r="H245" s="94"/>
      <c r="I245" s="94"/>
      <c r="J245" s="94"/>
      <c r="K245" s="94"/>
      <c r="L245" s="94"/>
      <c r="M245" s="94"/>
      <c r="N245" s="94"/>
      <c r="O245" s="94"/>
      <c r="P245" s="54">
        <v>29</v>
      </c>
      <c r="Q245" s="95">
        <f t="shared" si="3"/>
        <v>0.28155339805825241</v>
      </c>
      <c r="R245" s="53">
        <v>4218</v>
      </c>
      <c r="S245" s="135">
        <f t="shared" si="4"/>
        <v>0.26796264532113589</v>
      </c>
      <c r="T245" s="25"/>
      <c r="U245" s="25"/>
      <c r="V245" s="5"/>
    </row>
    <row r="246" spans="1:22" ht="15.6" x14ac:dyDescent="0.3">
      <c r="A246" s="24"/>
      <c r="B246" s="54" t="s">
        <v>96</v>
      </c>
      <c r="C246" s="94"/>
      <c r="D246" s="94"/>
      <c r="E246" s="94"/>
      <c r="F246" s="25"/>
      <c r="G246" s="95"/>
      <c r="H246" s="94"/>
      <c r="I246" s="94"/>
      <c r="J246" s="94"/>
      <c r="K246" s="94"/>
      <c r="L246" s="94"/>
      <c r="M246" s="94"/>
      <c r="N246" s="94"/>
      <c r="O246" s="94"/>
      <c r="P246" s="54">
        <v>4</v>
      </c>
      <c r="Q246" s="95">
        <f t="shared" si="3"/>
        <v>3.8834951456310676E-2</v>
      </c>
      <c r="R246" s="53">
        <v>485</v>
      </c>
      <c r="S246" s="135">
        <f t="shared" si="4"/>
        <v>3.0811257226351568E-2</v>
      </c>
      <c r="T246" s="25"/>
      <c r="U246" s="25"/>
      <c r="V246" s="5"/>
    </row>
    <row r="247" spans="1:22" ht="15.6" x14ac:dyDescent="0.3">
      <c r="A247" s="24"/>
      <c r="B247" s="54" t="s">
        <v>171</v>
      </c>
      <c r="C247" s="94"/>
      <c r="D247" s="94"/>
      <c r="E247" s="94"/>
      <c r="F247" s="25"/>
      <c r="G247" s="95"/>
      <c r="H247" s="94"/>
      <c r="I247" s="94"/>
      <c r="J247" s="94"/>
      <c r="K247" s="94"/>
      <c r="L247" s="94"/>
      <c r="M247" s="94"/>
      <c r="N247" s="94"/>
      <c r="O247" s="94"/>
      <c r="P247" s="54">
        <v>2</v>
      </c>
      <c r="Q247" s="95">
        <f t="shared" si="3"/>
        <v>1.9417475728155338E-2</v>
      </c>
      <c r="R247" s="53">
        <v>383</v>
      </c>
      <c r="S247" s="135">
        <f t="shared" si="4"/>
        <v>2.4331363954005463E-2</v>
      </c>
      <c r="T247" s="25"/>
      <c r="U247" s="25"/>
      <c r="V247" s="5"/>
    </row>
    <row r="248" spans="1:22" ht="15.6" x14ac:dyDescent="0.3">
      <c r="A248" s="24"/>
      <c r="B248" s="54" t="s">
        <v>172</v>
      </c>
      <c r="C248" s="94"/>
      <c r="D248" s="94"/>
      <c r="E248" s="94"/>
      <c r="F248" s="25"/>
      <c r="G248" s="95"/>
      <c r="H248" s="94"/>
      <c r="I248" s="94"/>
      <c r="J248" s="94"/>
      <c r="K248" s="94"/>
      <c r="L248" s="94"/>
      <c r="M248" s="94"/>
      <c r="N248" s="94"/>
      <c r="O248" s="94"/>
      <c r="P248" s="54">
        <v>5</v>
      </c>
      <c r="Q248" s="95">
        <f t="shared" si="3"/>
        <v>4.8543689320388349E-2</v>
      </c>
      <c r="R248" s="53">
        <v>715</v>
      </c>
      <c r="S248" s="135">
        <f t="shared" si="4"/>
        <v>4.5422781271837874E-2</v>
      </c>
      <c r="T248" s="25"/>
      <c r="U248" s="25"/>
      <c r="V248" s="5"/>
    </row>
    <row r="249" spans="1:22" ht="15.6" x14ac:dyDescent="0.3">
      <c r="A249" s="24"/>
      <c r="B249" s="54" t="s">
        <v>173</v>
      </c>
      <c r="C249" s="94"/>
      <c r="D249" s="94"/>
      <c r="E249" s="94"/>
      <c r="F249" s="25"/>
      <c r="G249" s="95"/>
      <c r="H249" s="94"/>
      <c r="I249" s="94"/>
      <c r="J249" s="94"/>
      <c r="K249" s="94"/>
      <c r="L249" s="94"/>
      <c r="M249" s="94"/>
      <c r="N249" s="94"/>
      <c r="O249" s="94"/>
      <c r="P249" s="54">
        <v>0</v>
      </c>
      <c r="Q249" s="95">
        <f t="shared" si="3"/>
        <v>0</v>
      </c>
      <c r="R249" s="53">
        <v>0</v>
      </c>
      <c r="S249" s="135">
        <f t="shared" si="4"/>
        <v>0</v>
      </c>
      <c r="T249" s="25"/>
      <c r="U249" s="25"/>
      <c r="V249" s="5"/>
    </row>
    <row r="250" spans="1:22" ht="15.6" x14ac:dyDescent="0.3">
      <c r="A250" s="24"/>
      <c r="B250" s="54" t="s">
        <v>174</v>
      </c>
      <c r="C250" s="94"/>
      <c r="D250" s="94"/>
      <c r="E250" s="94"/>
      <c r="F250" s="25"/>
      <c r="G250" s="95"/>
      <c r="H250" s="94"/>
      <c r="I250" s="94"/>
      <c r="J250" s="94"/>
      <c r="K250" s="94"/>
      <c r="L250" s="94"/>
      <c r="M250" s="94"/>
      <c r="N250" s="94"/>
      <c r="O250" s="94"/>
      <c r="P250" s="54">
        <v>12</v>
      </c>
      <c r="Q250" s="95">
        <f t="shared" si="3"/>
        <v>0.11650485436893204</v>
      </c>
      <c r="R250" s="53">
        <v>2317</v>
      </c>
      <c r="S250" s="135">
        <f t="shared" si="4"/>
        <v>0.14719522266692078</v>
      </c>
      <c r="T250" s="25"/>
      <c r="U250" s="25"/>
      <c r="V250" s="5"/>
    </row>
    <row r="251" spans="1:22" ht="15.6" x14ac:dyDescent="0.3">
      <c r="A251" s="24"/>
      <c r="B251" s="54" t="s">
        <v>175</v>
      </c>
      <c r="C251" s="94"/>
      <c r="D251" s="94"/>
      <c r="E251" s="94"/>
      <c r="F251" s="25"/>
      <c r="G251" s="95"/>
      <c r="H251" s="94"/>
      <c r="I251" s="94"/>
      <c r="J251" s="94"/>
      <c r="K251" s="94"/>
      <c r="L251" s="94"/>
      <c r="M251" s="94"/>
      <c r="N251" s="94"/>
      <c r="O251" s="94"/>
      <c r="P251" s="54">
        <v>22</v>
      </c>
      <c r="Q251" s="95">
        <f t="shared" si="3"/>
        <v>0.21359223300970873</v>
      </c>
      <c r="R251" s="53">
        <v>2862</v>
      </c>
      <c r="S251" s="135">
        <f t="shared" si="4"/>
        <v>0.18181818181818182</v>
      </c>
      <c r="T251" s="25"/>
      <c r="U251" s="25"/>
      <c r="V251" s="5"/>
    </row>
    <row r="252" spans="1:22" ht="15.6" x14ac:dyDescent="0.3">
      <c r="A252" s="24"/>
      <c r="B252" s="54"/>
      <c r="C252" s="94"/>
      <c r="D252" s="94"/>
      <c r="E252" s="94"/>
      <c r="F252" s="25"/>
      <c r="G252" s="95"/>
      <c r="H252" s="94"/>
      <c r="I252" s="94"/>
      <c r="J252" s="94"/>
      <c r="K252" s="94"/>
      <c r="L252" s="94"/>
      <c r="M252" s="94"/>
      <c r="N252" s="94"/>
      <c r="O252" s="94"/>
      <c r="P252" s="54"/>
      <c r="Q252" s="95"/>
      <c r="R252" s="53"/>
      <c r="S252" s="135"/>
      <c r="T252" s="25"/>
      <c r="U252" s="25"/>
      <c r="V252" s="5"/>
    </row>
    <row r="253" spans="1:22" ht="15.6" x14ac:dyDescent="0.3">
      <c r="A253" s="24"/>
      <c r="B253" s="25"/>
      <c r="C253" s="25"/>
      <c r="D253" s="25"/>
      <c r="E253" s="25"/>
      <c r="F253" s="25"/>
      <c r="G253" s="25"/>
      <c r="H253" s="96"/>
      <c r="I253" s="96"/>
      <c r="J253" s="96"/>
      <c r="K253" s="96"/>
      <c r="L253" s="96"/>
      <c r="M253" s="96"/>
      <c r="N253" s="96"/>
      <c r="O253" s="96"/>
      <c r="P253" s="34">
        <f>SUM(P244:P252)</f>
        <v>103</v>
      </c>
      <c r="Q253" s="135">
        <f>SUM(Q244:Q252)</f>
        <v>0.99999999999999989</v>
      </c>
      <c r="R253" s="53">
        <f>SUM(R244:R252)</f>
        <v>15741</v>
      </c>
      <c r="S253" s="135">
        <f>SUM(S244:S252)</f>
        <v>1</v>
      </c>
      <c r="T253" s="25"/>
      <c r="U253" s="25"/>
      <c r="V253" s="5"/>
    </row>
    <row r="254" spans="1:22" ht="15.6" x14ac:dyDescent="0.3">
      <c r="A254" s="24"/>
      <c r="B254" s="25"/>
      <c r="C254" s="25"/>
      <c r="D254" s="25"/>
      <c r="E254" s="25"/>
      <c r="F254" s="25"/>
      <c r="G254" s="25"/>
      <c r="H254" s="96"/>
      <c r="I254" s="96"/>
      <c r="J254" s="96"/>
      <c r="K254" s="96"/>
      <c r="L254" s="96"/>
      <c r="M254" s="96"/>
      <c r="N254" s="96"/>
      <c r="O254" s="96"/>
      <c r="P254" s="34"/>
      <c r="Q254" s="135"/>
      <c r="R254" s="53"/>
      <c r="S254" s="135"/>
      <c r="T254" s="25"/>
      <c r="U254" s="25"/>
      <c r="V254" s="5"/>
    </row>
    <row r="255" spans="1:22" ht="15.6" x14ac:dyDescent="0.3">
      <c r="A255" s="144"/>
      <c r="B255" s="14" t="s">
        <v>179</v>
      </c>
      <c r="C255" s="142"/>
      <c r="D255" s="142"/>
      <c r="E255" s="142"/>
      <c r="F255" s="142"/>
      <c r="G255" s="142"/>
      <c r="H255" s="149"/>
      <c r="I255" s="149"/>
      <c r="J255" s="149"/>
      <c r="K255" s="149"/>
      <c r="L255" s="149"/>
      <c r="M255" s="149"/>
      <c r="N255" s="149"/>
      <c r="O255" s="149"/>
      <c r="P255" s="84" t="s">
        <v>108</v>
      </c>
      <c r="Q255" s="17" t="s">
        <v>109</v>
      </c>
      <c r="R255" s="84" t="s">
        <v>117</v>
      </c>
      <c r="S255" s="17" t="s">
        <v>109</v>
      </c>
      <c r="T255" s="142"/>
      <c r="U255" s="143"/>
      <c r="V255" s="5"/>
    </row>
    <row r="256" spans="1:22" ht="15.6" x14ac:dyDescent="0.3">
      <c r="A256" s="24"/>
      <c r="B256" s="54" t="s">
        <v>94</v>
      </c>
      <c r="C256" s="25"/>
      <c r="D256" s="25"/>
      <c r="E256" s="25"/>
      <c r="F256" s="25"/>
      <c r="G256" s="25"/>
      <c r="H256" s="96"/>
      <c r="I256" s="96"/>
      <c r="J256" s="96"/>
      <c r="K256" s="96"/>
      <c r="L256" s="96"/>
      <c r="M256" s="96"/>
      <c r="N256" s="96"/>
      <c r="O256" s="96"/>
      <c r="P256" s="54">
        <v>0</v>
      </c>
      <c r="Q256" s="95">
        <v>0</v>
      </c>
      <c r="R256" s="53">
        <v>0</v>
      </c>
      <c r="S256" s="135">
        <v>0</v>
      </c>
      <c r="T256" s="25"/>
      <c r="U256" s="25"/>
      <c r="V256" s="5"/>
    </row>
    <row r="257" spans="1:22" ht="15.6" x14ac:dyDescent="0.3">
      <c r="A257" s="24"/>
      <c r="B257" s="54" t="s">
        <v>95</v>
      </c>
      <c r="C257" s="25"/>
      <c r="D257" s="25"/>
      <c r="E257" s="25"/>
      <c r="F257" s="25"/>
      <c r="G257" s="25"/>
      <c r="H257" s="96"/>
      <c r="I257" s="96"/>
      <c r="J257" s="96"/>
      <c r="K257" s="96"/>
      <c r="L257" s="96"/>
      <c r="M257" s="96"/>
      <c r="N257" s="96"/>
      <c r="O257" s="96"/>
      <c r="P257" s="54">
        <v>0</v>
      </c>
      <c r="Q257" s="95">
        <v>0</v>
      </c>
      <c r="R257" s="53">
        <v>0</v>
      </c>
      <c r="S257" s="135">
        <v>0</v>
      </c>
      <c r="T257" s="25"/>
      <c r="U257" s="25"/>
      <c r="V257" s="5"/>
    </row>
    <row r="258" spans="1:22" ht="15.6" x14ac:dyDescent="0.3">
      <c r="A258" s="24"/>
      <c r="B258" s="54" t="s">
        <v>96</v>
      </c>
      <c r="C258" s="25"/>
      <c r="D258" s="25"/>
      <c r="E258" s="25"/>
      <c r="F258" s="25"/>
      <c r="G258" s="25"/>
      <c r="H258" s="96"/>
      <c r="I258" s="96"/>
      <c r="J258" s="96"/>
      <c r="K258" s="96"/>
      <c r="L258" s="96"/>
      <c r="M258" s="96"/>
      <c r="N258" s="96"/>
      <c r="O258" s="96"/>
      <c r="P258" s="54">
        <v>0</v>
      </c>
      <c r="Q258" s="95">
        <v>0</v>
      </c>
      <c r="R258" s="53">
        <v>0</v>
      </c>
      <c r="S258" s="135">
        <v>0</v>
      </c>
      <c r="T258" s="25"/>
      <c r="U258" s="25"/>
      <c r="V258" s="5"/>
    </row>
    <row r="259" spans="1:22" ht="15.6" x14ac:dyDescent="0.3">
      <c r="A259" s="24"/>
      <c r="B259" s="54" t="s">
        <v>171</v>
      </c>
      <c r="C259" s="25"/>
      <c r="D259" s="25"/>
      <c r="E259" s="25"/>
      <c r="F259" s="25"/>
      <c r="G259" s="25"/>
      <c r="H259" s="96"/>
      <c r="I259" s="96"/>
      <c r="J259" s="96"/>
      <c r="K259" s="96"/>
      <c r="L259" s="96"/>
      <c r="M259" s="96"/>
      <c r="N259" s="96"/>
      <c r="O259" s="96"/>
      <c r="P259" s="54">
        <v>0</v>
      </c>
      <c r="Q259" s="95">
        <v>0</v>
      </c>
      <c r="R259" s="53">
        <v>0</v>
      </c>
      <c r="S259" s="135">
        <v>0</v>
      </c>
      <c r="T259" s="25"/>
      <c r="U259" s="25"/>
      <c r="V259" s="5"/>
    </row>
    <row r="260" spans="1:22" ht="15.6" x14ac:dyDescent="0.3">
      <c r="A260" s="24"/>
      <c r="B260" s="54" t="s">
        <v>172</v>
      </c>
      <c r="C260" s="25"/>
      <c r="D260" s="25"/>
      <c r="E260" s="25"/>
      <c r="F260" s="25"/>
      <c r="G260" s="25"/>
      <c r="H260" s="96"/>
      <c r="I260" s="96"/>
      <c r="J260" s="96"/>
      <c r="K260" s="96"/>
      <c r="L260" s="96"/>
      <c r="M260" s="96"/>
      <c r="N260" s="96"/>
      <c r="O260" s="96"/>
      <c r="P260" s="54">
        <v>0</v>
      </c>
      <c r="Q260" s="95">
        <v>0</v>
      </c>
      <c r="R260" s="53">
        <v>0</v>
      </c>
      <c r="S260" s="135">
        <v>0</v>
      </c>
      <c r="T260" s="25"/>
      <c r="U260" s="25"/>
      <c r="V260" s="5"/>
    </row>
    <row r="261" spans="1:22" ht="15.6" x14ac:dyDescent="0.3">
      <c r="A261" s="24"/>
      <c r="B261" s="54" t="s">
        <v>173</v>
      </c>
      <c r="C261" s="25"/>
      <c r="D261" s="25"/>
      <c r="E261" s="25"/>
      <c r="F261" s="25"/>
      <c r="G261" s="25"/>
      <c r="H261" s="96"/>
      <c r="I261" s="96"/>
      <c r="J261" s="96"/>
      <c r="K261" s="96"/>
      <c r="L261" s="96"/>
      <c r="M261" s="96"/>
      <c r="N261" s="96"/>
      <c r="O261" s="96"/>
      <c r="P261" s="54">
        <v>0</v>
      </c>
      <c r="Q261" s="95">
        <v>0</v>
      </c>
      <c r="R261" s="53">
        <v>0</v>
      </c>
      <c r="S261" s="135">
        <v>0</v>
      </c>
      <c r="T261" s="25"/>
      <c r="U261" s="25"/>
      <c r="V261" s="5"/>
    </row>
    <row r="262" spans="1:22" ht="15.6" x14ac:dyDescent="0.3">
      <c r="A262" s="24"/>
      <c r="B262" s="54" t="s">
        <v>174</v>
      </c>
      <c r="C262" s="25"/>
      <c r="D262" s="25"/>
      <c r="E262" s="25"/>
      <c r="F262" s="25"/>
      <c r="G262" s="25"/>
      <c r="H262" s="96"/>
      <c r="I262" s="96"/>
      <c r="J262" s="96"/>
      <c r="K262" s="96"/>
      <c r="L262" s="96"/>
      <c r="M262" s="96"/>
      <c r="N262" s="96"/>
      <c r="O262" s="96"/>
      <c r="P262" s="54">
        <v>0</v>
      </c>
      <c r="Q262" s="95">
        <v>0</v>
      </c>
      <c r="R262" s="53">
        <v>0</v>
      </c>
      <c r="S262" s="135">
        <v>0</v>
      </c>
      <c r="T262" s="25"/>
      <c r="U262" s="25"/>
      <c r="V262" s="5"/>
    </row>
    <row r="263" spans="1:22" ht="15.6" x14ac:dyDescent="0.3">
      <c r="A263" s="24"/>
      <c r="B263" s="54" t="s">
        <v>175</v>
      </c>
      <c r="C263" s="25"/>
      <c r="D263" s="25"/>
      <c r="E263" s="25"/>
      <c r="F263" s="25"/>
      <c r="G263" s="25"/>
      <c r="H263" s="96"/>
      <c r="I263" s="96"/>
      <c r="J263" s="96"/>
      <c r="K263" s="96"/>
      <c r="L263" s="96"/>
      <c r="M263" s="96"/>
      <c r="N263" s="96"/>
      <c r="O263" s="96"/>
      <c r="P263" s="54">
        <v>0</v>
      </c>
      <c r="Q263" s="95">
        <v>0</v>
      </c>
      <c r="R263" s="53">
        <v>0</v>
      </c>
      <c r="S263" s="135">
        <v>0</v>
      </c>
      <c r="T263" s="25"/>
      <c r="U263" s="25"/>
      <c r="V263" s="5"/>
    </row>
    <row r="264" spans="1:22" ht="15.6" x14ac:dyDescent="0.3">
      <c r="A264" s="24"/>
      <c r="B264" s="54"/>
      <c r="C264" s="25"/>
      <c r="D264" s="25"/>
      <c r="E264" s="25"/>
      <c r="F264" s="25"/>
      <c r="G264" s="25"/>
      <c r="H264" s="96"/>
      <c r="I264" s="96"/>
      <c r="J264" s="96"/>
      <c r="K264" s="96"/>
      <c r="L264" s="96"/>
      <c r="M264" s="96"/>
      <c r="N264" s="96"/>
      <c r="O264" s="96"/>
      <c r="P264" s="54"/>
      <c r="Q264" s="95"/>
      <c r="R264" s="53"/>
      <c r="S264" s="135"/>
      <c r="T264" s="25"/>
      <c r="U264" s="25"/>
      <c r="V264" s="5"/>
    </row>
    <row r="265" spans="1:22" ht="15.6" x14ac:dyDescent="0.3">
      <c r="A265" s="24"/>
      <c r="B265" s="25" t="s">
        <v>123</v>
      </c>
      <c r="C265" s="25"/>
      <c r="D265" s="25"/>
      <c r="E265" s="25"/>
      <c r="F265" s="25"/>
      <c r="G265" s="25"/>
      <c r="H265" s="96"/>
      <c r="I265" s="96"/>
      <c r="J265" s="96"/>
      <c r="K265" s="96"/>
      <c r="L265" s="96"/>
      <c r="M265" s="96"/>
      <c r="N265" s="96"/>
      <c r="O265" s="96"/>
      <c r="P265" s="34">
        <f>SUM(P256:P263)</f>
        <v>0</v>
      </c>
      <c r="Q265" s="95">
        <f>SUM(Q256:Q263)</f>
        <v>0</v>
      </c>
      <c r="R265" s="53">
        <f>SUM(R256:R263)</f>
        <v>0</v>
      </c>
      <c r="S265" s="135">
        <f>SUM(S256:S263)</f>
        <v>0</v>
      </c>
      <c r="T265" s="25"/>
      <c r="U265" s="25"/>
      <c r="V265" s="5"/>
    </row>
    <row r="266" spans="1:22" ht="15.6" x14ac:dyDescent="0.3">
      <c r="A266" s="24"/>
      <c r="B266" s="25"/>
      <c r="C266" s="25"/>
      <c r="D266" s="25"/>
      <c r="E266" s="25"/>
      <c r="F266" s="25"/>
      <c r="G266" s="25"/>
      <c r="H266" s="96"/>
      <c r="I266" s="96"/>
      <c r="J266" s="96"/>
      <c r="K266" s="96"/>
      <c r="L266" s="96"/>
      <c r="M266" s="96"/>
      <c r="N266" s="96"/>
      <c r="O266" s="96"/>
      <c r="P266" s="34"/>
      <c r="Q266" s="135"/>
      <c r="R266" s="53"/>
      <c r="S266" s="135"/>
      <c r="T266" s="25"/>
      <c r="U266" s="25"/>
      <c r="V266" s="5"/>
    </row>
    <row r="267" spans="1:22" ht="15.6" x14ac:dyDescent="0.3">
      <c r="A267" s="24"/>
      <c r="B267" s="145" t="s">
        <v>180</v>
      </c>
      <c r="C267" s="25"/>
      <c r="D267" s="25"/>
      <c r="E267" s="25"/>
      <c r="F267" s="25"/>
      <c r="G267" s="25"/>
      <c r="H267" s="96"/>
      <c r="I267" s="96"/>
      <c r="J267" s="96"/>
      <c r="K267" s="96"/>
      <c r="L267" s="96"/>
      <c r="M267" s="96"/>
      <c r="N267" s="96"/>
      <c r="O267" s="96"/>
      <c r="P267" s="165">
        <f>+P241+P253+P265</f>
        <v>2884</v>
      </c>
      <c r="Q267" s="147"/>
      <c r="R267" s="148">
        <f>+R265+R253+R241</f>
        <v>343153</v>
      </c>
      <c r="S267" s="147"/>
      <c r="T267" s="25"/>
      <c r="U267" s="25"/>
      <c r="V267" s="5"/>
    </row>
    <row r="268" spans="1:22" ht="15.6" x14ac:dyDescent="0.3">
      <c r="A268" s="24"/>
      <c r="B268" s="25"/>
      <c r="C268" s="25"/>
      <c r="D268" s="25"/>
      <c r="E268" s="25"/>
      <c r="F268" s="25"/>
      <c r="G268" s="25"/>
      <c r="H268" s="96"/>
      <c r="I268" s="96"/>
      <c r="J268" s="96"/>
      <c r="K268" s="96"/>
      <c r="L268" s="96"/>
      <c r="M268" s="96"/>
      <c r="N268" s="96"/>
      <c r="O268" s="96"/>
      <c r="P268" s="96"/>
      <c r="Q268" s="96"/>
      <c r="R268" s="53"/>
      <c r="S268" s="96"/>
      <c r="T268" s="25"/>
      <c r="U268" s="25"/>
      <c r="V268" s="5"/>
    </row>
    <row r="269" spans="1:22" ht="15.6" x14ac:dyDescent="0.3">
      <c r="A269" s="6"/>
      <c r="B269" s="8"/>
      <c r="C269" s="8"/>
      <c r="D269" s="8"/>
      <c r="E269" s="8"/>
      <c r="F269" s="8"/>
      <c r="G269" s="8"/>
      <c r="H269" s="97"/>
      <c r="I269" s="97"/>
      <c r="J269" s="97"/>
      <c r="K269" s="97"/>
      <c r="L269" s="97"/>
      <c r="M269" s="97"/>
      <c r="N269" s="97"/>
      <c r="O269" s="97"/>
      <c r="P269" s="97"/>
      <c r="Q269" s="97"/>
      <c r="R269" s="98"/>
      <c r="S269" s="97"/>
      <c r="T269" s="8"/>
      <c r="U269" s="8"/>
      <c r="V269" s="5"/>
    </row>
    <row r="270" spans="1:22" ht="15.6" x14ac:dyDescent="0.3">
      <c r="A270" s="164"/>
      <c r="B270" s="14" t="s">
        <v>97</v>
      </c>
      <c r="C270" s="15"/>
      <c r="D270" s="15"/>
      <c r="E270" s="15"/>
      <c r="F270" s="17" t="s">
        <v>103</v>
      </c>
      <c r="G270" s="15"/>
      <c r="H270" s="14" t="s">
        <v>105</v>
      </c>
      <c r="I270" s="159"/>
      <c r="J270" s="159"/>
      <c r="K270" s="159"/>
      <c r="L270" s="159"/>
      <c r="M270" s="159"/>
      <c r="N270" s="159"/>
      <c r="O270" s="159"/>
      <c r="P270" s="159"/>
      <c r="Q270" s="159"/>
      <c r="R270" s="159"/>
      <c r="S270" s="159"/>
      <c r="T270" s="159"/>
      <c r="U270" s="159"/>
      <c r="V270" s="5"/>
    </row>
    <row r="271" spans="1:22" ht="15.6" x14ac:dyDescent="0.3">
      <c r="A271" s="164"/>
      <c r="B271" s="159"/>
      <c r="C271" s="8"/>
      <c r="D271" s="8"/>
      <c r="E271" s="8"/>
      <c r="F271" s="8"/>
      <c r="G271" s="8"/>
      <c r="H271" s="8"/>
      <c r="I271" s="159"/>
      <c r="J271" s="159"/>
      <c r="K271" s="159"/>
      <c r="L271" s="159"/>
      <c r="M271" s="159"/>
      <c r="N271" s="159"/>
      <c r="O271" s="159"/>
      <c r="P271" s="159"/>
      <c r="Q271" s="159"/>
      <c r="R271" s="159"/>
      <c r="S271" s="159"/>
      <c r="T271" s="159"/>
      <c r="U271" s="159"/>
      <c r="V271" s="5"/>
    </row>
    <row r="272" spans="1:22" ht="15.6" x14ac:dyDescent="0.3">
      <c r="A272" s="164"/>
      <c r="B272" s="13" t="s">
        <v>98</v>
      </c>
      <c r="C272" s="13"/>
      <c r="D272" s="13"/>
      <c r="E272" s="13"/>
      <c r="F272" s="133" t="s">
        <v>159</v>
      </c>
      <c r="G272" s="13"/>
      <c r="H272" s="13" t="s">
        <v>167</v>
      </c>
      <c r="I272" s="159"/>
      <c r="J272" s="159"/>
      <c r="K272" s="159"/>
      <c r="L272" s="159"/>
      <c r="M272" s="159"/>
      <c r="N272" s="159"/>
      <c r="O272" s="159"/>
      <c r="P272" s="159"/>
      <c r="Q272" s="159"/>
      <c r="R272" s="159"/>
      <c r="S272" s="159"/>
      <c r="T272" s="159"/>
      <c r="U272" s="159"/>
      <c r="V272" s="5"/>
    </row>
    <row r="273" spans="1:22" ht="15.6" x14ac:dyDescent="0.3">
      <c r="A273" s="164"/>
      <c r="B273" s="13" t="s">
        <v>273</v>
      </c>
      <c r="C273" s="13"/>
      <c r="D273" s="13"/>
      <c r="E273" s="13"/>
      <c r="F273" s="133" t="s">
        <v>274</v>
      </c>
      <c r="G273" s="13"/>
      <c r="H273" s="13" t="s">
        <v>275</v>
      </c>
      <c r="I273" s="159"/>
      <c r="J273" s="159"/>
      <c r="K273" s="159"/>
      <c r="L273" s="159"/>
      <c r="M273" s="159"/>
      <c r="N273" s="159"/>
      <c r="O273" s="159"/>
      <c r="P273" s="159"/>
      <c r="Q273" s="159"/>
      <c r="R273" s="159"/>
      <c r="S273" s="159"/>
      <c r="T273" s="159"/>
      <c r="U273" s="159"/>
      <c r="V273" s="5"/>
    </row>
    <row r="274" spans="1:22" ht="15.6" x14ac:dyDescent="0.3">
      <c r="A274" s="164"/>
      <c r="B274" s="13" t="s">
        <v>99</v>
      </c>
      <c r="C274" s="13"/>
      <c r="D274" s="13"/>
      <c r="E274" s="13"/>
      <c r="F274" s="133" t="s">
        <v>158</v>
      </c>
      <c r="G274" s="13"/>
      <c r="H274" s="13" t="s">
        <v>168</v>
      </c>
      <c r="I274" s="159"/>
      <c r="J274" s="159"/>
      <c r="K274" s="159"/>
      <c r="L274" s="159"/>
      <c r="M274" s="159"/>
      <c r="N274" s="159"/>
      <c r="O274" s="159"/>
      <c r="P274" s="159"/>
      <c r="Q274" s="159"/>
      <c r="R274" s="159"/>
      <c r="S274" s="159"/>
      <c r="T274" s="159"/>
      <c r="U274" s="159"/>
      <c r="V274" s="5"/>
    </row>
    <row r="275" spans="1:22" ht="15.6" x14ac:dyDescent="0.3">
      <c r="A275" s="164"/>
      <c r="B275" s="13"/>
      <c r="C275" s="13"/>
      <c r="D275" s="13"/>
      <c r="E275" s="13"/>
      <c r="F275" s="13"/>
      <c r="G275" s="100"/>
      <c r="H275" s="159"/>
      <c r="I275" s="159"/>
      <c r="J275" s="159"/>
      <c r="K275" s="159"/>
      <c r="L275" s="159"/>
      <c r="M275" s="159"/>
      <c r="N275" s="159"/>
      <c r="O275" s="159"/>
      <c r="P275" s="159"/>
      <c r="Q275" s="159"/>
      <c r="R275" s="159"/>
      <c r="S275" s="159"/>
      <c r="T275" s="159"/>
      <c r="U275" s="159"/>
      <c r="V275" s="5"/>
    </row>
    <row r="276" spans="1:22" ht="15.6" x14ac:dyDescent="0.3">
      <c r="A276" s="164"/>
      <c r="B276" s="13"/>
      <c r="C276" s="13"/>
      <c r="D276" s="13"/>
      <c r="E276" s="13"/>
      <c r="F276" s="13"/>
      <c r="G276" s="100"/>
      <c r="H276" s="159"/>
      <c r="I276" s="159"/>
      <c r="J276" s="159"/>
      <c r="K276" s="159"/>
      <c r="L276" s="159"/>
      <c r="M276" s="159"/>
      <c r="N276" s="159"/>
      <c r="O276" s="159"/>
      <c r="P276" s="159"/>
      <c r="Q276" s="159"/>
      <c r="R276" s="159"/>
      <c r="S276" s="159"/>
      <c r="T276" s="159"/>
      <c r="U276" s="159"/>
      <c r="V276" s="5"/>
    </row>
    <row r="277" spans="1:22" ht="18" thickBot="1" x14ac:dyDescent="0.35">
      <c r="A277" s="164"/>
      <c r="B277" s="49" t="str">
        <f>B194</f>
        <v>PM9 INVESTOR REPORT QUARTER ENDING JANUARY 2009</v>
      </c>
      <c r="C277" s="13"/>
      <c r="D277" s="13"/>
      <c r="E277" s="13"/>
      <c r="F277" s="13"/>
      <c r="G277" s="100"/>
      <c r="H277" s="159"/>
      <c r="I277" s="159"/>
      <c r="J277" s="159"/>
      <c r="K277" s="159"/>
      <c r="L277" s="159"/>
      <c r="M277" s="159"/>
      <c r="N277" s="159"/>
      <c r="O277" s="159"/>
      <c r="P277" s="159"/>
      <c r="Q277" s="159"/>
      <c r="R277" s="159"/>
      <c r="S277" s="159"/>
      <c r="T277" s="159"/>
      <c r="U277" s="159"/>
      <c r="V277" s="5"/>
    </row>
    <row r="278" spans="1:22" x14ac:dyDescent="0.25">
      <c r="A278" s="101"/>
      <c r="B278" s="101"/>
      <c r="C278" s="101"/>
      <c r="D278" s="101"/>
      <c r="E278" s="101"/>
      <c r="F278" s="101"/>
      <c r="G278" s="101"/>
      <c r="H278" s="101"/>
      <c r="I278" s="101"/>
      <c r="J278" s="101"/>
      <c r="K278" s="101"/>
      <c r="L278" s="101"/>
      <c r="M278" s="101"/>
      <c r="N278" s="101"/>
      <c r="O278" s="101"/>
      <c r="P278" s="101"/>
      <c r="Q278" s="101"/>
      <c r="R278" s="101"/>
      <c r="S278" s="101"/>
      <c r="T278" s="101"/>
      <c r="U278" s="101"/>
    </row>
  </sheetData>
  <phoneticPr fontId="0" type="noConversion"/>
  <hyperlinks>
    <hyperlink ref="J9" r:id="rId1" xr:uid="{00000000-0004-0000-0D00-000000000000}"/>
    <hyperlink ref="N229" r:id="rId2" xr:uid="{00000000-0004-0000-0D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4" max="14" man="1"/>
    <brk id="194" max="14"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9CB31"/>
  </sheetPr>
  <dimension ref="A1:W278"/>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t="s">
        <v>263</v>
      </c>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0.70799999999999996</v>
      </c>
      <c r="R16" s="17" t="s">
        <v>149</v>
      </c>
      <c r="S16" s="140">
        <v>0.29199999999999998</v>
      </c>
      <c r="T16" s="16"/>
      <c r="U16" s="15"/>
      <c r="V16" s="5"/>
    </row>
    <row r="17" spans="1:22" ht="15.6" x14ac:dyDescent="0.3">
      <c r="A17" s="6"/>
      <c r="B17" s="14" t="s">
        <v>4</v>
      </c>
      <c r="C17" s="15"/>
      <c r="D17" s="15"/>
      <c r="E17" s="15"/>
      <c r="F17" s="15"/>
      <c r="G17" s="15"/>
      <c r="H17" s="15"/>
      <c r="I17" s="15"/>
      <c r="J17" s="15"/>
      <c r="K17" s="15"/>
      <c r="L17" s="15"/>
      <c r="M17" s="15"/>
      <c r="N17" s="15"/>
      <c r="O17" s="15"/>
      <c r="P17" s="15"/>
      <c r="Q17" s="169"/>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39955</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148259.68520000001</v>
      </c>
      <c r="E30" s="32"/>
      <c r="F30" s="125">
        <f>F29*F36</f>
        <v>152116.15099999998</v>
      </c>
      <c r="G30" s="31"/>
      <c r="H30" s="150">
        <f>H29*H36</f>
        <v>25709.741999999998</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146095.52439999999</v>
      </c>
      <c r="E31" s="36"/>
      <c r="F31" s="126">
        <f>F35*F29</f>
        <v>149895.69699999999</v>
      </c>
      <c r="G31" s="35"/>
      <c r="H31" s="155">
        <f>H35*H29</f>
        <v>25334.453999999998</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148259.68520000001</v>
      </c>
      <c r="E33" s="32"/>
      <c r="F33" s="31">
        <f>F32*F36</f>
        <v>104767.32089999999</v>
      </c>
      <c r="G33" s="31"/>
      <c r="H33" s="31">
        <f>H32*H36</f>
        <v>14526.004229999999</v>
      </c>
      <c r="I33" s="31"/>
      <c r="J33" s="31">
        <f>J32*J36</f>
        <v>7000</v>
      </c>
      <c r="K33" s="31"/>
      <c r="L33" s="31">
        <f>L32*L36</f>
        <v>20300</v>
      </c>
      <c r="M33" s="31"/>
      <c r="N33" s="31">
        <f>N32*N36</f>
        <v>3000</v>
      </c>
      <c r="O33" s="31"/>
      <c r="P33" s="31">
        <f>P32*P36</f>
        <v>45300</v>
      </c>
      <c r="Q33" s="31"/>
      <c r="R33" s="31"/>
      <c r="S33" s="161"/>
      <c r="T33" s="31">
        <f>SUM(C33:P33)</f>
        <v>343153.01033000002</v>
      </c>
      <c r="U33" s="34"/>
      <c r="V33" s="5"/>
    </row>
    <row r="34" spans="1:22" ht="15.6" x14ac:dyDescent="0.3">
      <c r="A34" s="28"/>
      <c r="B34" s="29" t="s">
        <v>291</v>
      </c>
      <c r="C34" s="36"/>
      <c r="D34" s="35">
        <f>D35*D32</f>
        <v>146095.52439999999</v>
      </c>
      <c r="E34" s="36"/>
      <c r="F34" s="35">
        <f>F35*F32</f>
        <v>103238.0223</v>
      </c>
      <c r="G34" s="35"/>
      <c r="H34" s="35">
        <f>H35*H32</f>
        <v>14313.966509999998</v>
      </c>
      <c r="I34" s="35"/>
      <c r="J34" s="35">
        <f>J35*J32</f>
        <v>7000</v>
      </c>
      <c r="K34" s="35"/>
      <c r="L34" s="35">
        <f>L35*L32</f>
        <v>20300</v>
      </c>
      <c r="M34" s="35"/>
      <c r="N34" s="35">
        <f>N35*N32</f>
        <v>3000</v>
      </c>
      <c r="O34" s="35"/>
      <c r="P34" s="35">
        <f>P35*P32</f>
        <v>45300</v>
      </c>
      <c r="Q34" s="35"/>
      <c r="R34" s="35"/>
      <c r="S34" s="37"/>
      <c r="T34" s="35">
        <f>SUM(C34:P34)</f>
        <v>339247.51321</v>
      </c>
      <c r="U34" s="34"/>
      <c r="V34" s="5"/>
    </row>
    <row r="35" spans="1:22" ht="15.6" x14ac:dyDescent="0.3">
      <c r="A35" s="28"/>
      <c r="B35" s="123" t="s">
        <v>139</v>
      </c>
      <c r="C35" s="127"/>
      <c r="D35" s="167">
        <v>0.42224139999999999</v>
      </c>
      <c r="E35" s="168"/>
      <c r="F35" s="167">
        <v>0.42224139999999999</v>
      </c>
      <c r="G35" s="167"/>
      <c r="H35" s="167">
        <v>0.42224089999999997</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67">
        <v>0.42849619999999999</v>
      </c>
      <c r="E36" s="168"/>
      <c r="F36" s="167">
        <v>0.42849619999999999</v>
      </c>
      <c r="G36" s="167"/>
      <c r="H36" s="167">
        <v>0.42849569999999998</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2.2425E-2</v>
      </c>
      <c r="E38" s="25"/>
      <c r="F38" s="38">
        <v>2.1229999999999999E-2</v>
      </c>
      <c r="G38" s="39"/>
      <c r="H38" s="38">
        <v>1.4175E-2</v>
      </c>
      <c r="I38" s="39"/>
      <c r="J38" s="38">
        <v>2.3525000000000001E-2</v>
      </c>
      <c r="K38" s="39"/>
      <c r="L38" s="38">
        <v>2.2329999999999999E-2</v>
      </c>
      <c r="M38" s="39"/>
      <c r="N38" s="38">
        <v>2.5825000000000001E-2</v>
      </c>
      <c r="O38" s="39"/>
      <c r="P38" s="38">
        <v>2.4629999999999999E-2</v>
      </c>
      <c r="Q38" s="39"/>
      <c r="R38" s="38"/>
      <c r="S38" s="160"/>
      <c r="T38" s="39"/>
      <c r="U38" s="25"/>
      <c r="V38" s="5"/>
    </row>
    <row r="39" spans="1:22" ht="15.6" x14ac:dyDescent="0.3">
      <c r="A39" s="24"/>
      <c r="B39" s="25" t="s">
        <v>14</v>
      </c>
      <c r="C39" s="25"/>
      <c r="D39" s="38">
        <v>4.32875E-2</v>
      </c>
      <c r="E39" s="25"/>
      <c r="F39" s="38">
        <v>4.4249999999999998E-2</v>
      </c>
      <c r="G39" s="39"/>
      <c r="H39" s="38">
        <v>2.3287499999999999E-2</v>
      </c>
      <c r="I39" s="39"/>
      <c r="J39" s="38">
        <v>4.4387500000000003E-2</v>
      </c>
      <c r="K39" s="39"/>
      <c r="L39" s="38">
        <v>4.5350000000000001E-2</v>
      </c>
      <c r="M39" s="39"/>
      <c r="N39" s="38">
        <v>4.66875E-2</v>
      </c>
      <c r="O39" s="39"/>
      <c r="P39" s="38">
        <v>4.7649999999999998E-2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2.2425E-2</v>
      </c>
      <c r="E41" s="25"/>
      <c r="F41" s="38">
        <v>2.2525E-2</v>
      </c>
      <c r="G41" s="39"/>
      <c r="H41" s="38">
        <v>2.2655000000000002E-2</v>
      </c>
      <c r="I41" s="39"/>
      <c r="J41" s="38">
        <f>+J38</f>
        <v>2.3525000000000001E-2</v>
      </c>
      <c r="K41" s="39"/>
      <c r="L41" s="38">
        <v>2.3820000000000001E-2</v>
      </c>
      <c r="M41" s="39"/>
      <c r="N41" s="38">
        <f>+N38</f>
        <v>2.5825000000000001E-2</v>
      </c>
      <c r="O41" s="39"/>
      <c r="P41" s="38">
        <v>2.6265E-2</v>
      </c>
      <c r="Q41" s="39"/>
      <c r="R41" s="38"/>
      <c r="S41" s="160"/>
      <c r="T41" s="39">
        <f>SUMPRODUCT(D41:P41,D33:P33)/T33</f>
        <v>2.3106877197690563E-2</v>
      </c>
      <c r="U41" s="25"/>
      <c r="V41" s="5"/>
    </row>
    <row r="42" spans="1:22" ht="15.6" x14ac:dyDescent="0.3">
      <c r="A42" s="24"/>
      <c r="B42" s="25" t="s">
        <v>294</v>
      </c>
      <c r="C42" s="25"/>
      <c r="D42" s="38">
        <f>+D39</f>
        <v>4.32875E-2</v>
      </c>
      <c r="E42" s="25"/>
      <c r="F42" s="38">
        <v>4.3387500000000002E-2</v>
      </c>
      <c r="G42" s="39"/>
      <c r="H42" s="38">
        <v>4.3517500000000001E-2</v>
      </c>
      <c r="I42" s="39"/>
      <c r="J42" s="38">
        <f>+J39</f>
        <v>4.4387500000000003E-2</v>
      </c>
      <c r="K42" s="39"/>
      <c r="L42" s="38">
        <v>4.46825E-2</v>
      </c>
      <c r="M42" s="39"/>
      <c r="N42" s="38">
        <f>+N39</f>
        <v>4.66875E-2</v>
      </c>
      <c r="O42" s="39"/>
      <c r="P42" s="38">
        <v>4.7127500000000003E-2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0.28674649375426969</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39948</v>
      </c>
      <c r="U53" s="25"/>
      <c r="V53" s="5"/>
    </row>
    <row r="54" spans="1:23" ht="15.6" x14ac:dyDescent="0.3">
      <c r="A54" s="24"/>
      <c r="B54" s="25" t="s">
        <v>130</v>
      </c>
      <c r="C54" s="25"/>
      <c r="D54" s="25"/>
      <c r="E54" s="25"/>
      <c r="F54" s="25"/>
      <c r="G54" s="25"/>
      <c r="H54" s="58"/>
      <c r="I54" s="58"/>
      <c r="J54" s="58"/>
      <c r="K54" s="58"/>
      <c r="L54" s="58"/>
      <c r="M54" s="58"/>
      <c r="N54" s="58"/>
      <c r="O54" s="58"/>
      <c r="P54" s="25">
        <f>+T54-R54+1</f>
        <v>92</v>
      </c>
      <c r="Q54" s="25"/>
      <c r="R54" s="45">
        <v>39769</v>
      </c>
      <c r="S54" s="46"/>
      <c r="T54" s="45">
        <v>39860</v>
      </c>
      <c r="U54" s="25"/>
      <c r="V54" s="5"/>
    </row>
    <row r="55" spans="1:23" ht="15.6" x14ac:dyDescent="0.3">
      <c r="A55" s="24"/>
      <c r="B55" s="25" t="s">
        <v>131</v>
      </c>
      <c r="C55" s="25"/>
      <c r="D55" s="25"/>
      <c r="E55" s="25"/>
      <c r="F55" s="25"/>
      <c r="G55" s="25"/>
      <c r="H55" s="25"/>
      <c r="I55" s="25"/>
      <c r="J55" s="25"/>
      <c r="K55" s="25"/>
      <c r="L55" s="25"/>
      <c r="M55" s="25"/>
      <c r="N55" s="25"/>
      <c r="O55" s="25"/>
      <c r="P55" s="25">
        <f>+T55-R55+1</f>
        <v>87</v>
      </c>
      <c r="Q55" s="25"/>
      <c r="R55" s="45">
        <v>39861</v>
      </c>
      <c r="S55" s="46"/>
      <c r="T55" s="45">
        <v>39947</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39934</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285</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343153</v>
      </c>
      <c r="M66" s="34"/>
      <c r="N66" s="34">
        <f>3906+388+14-1</f>
        <v>4307</v>
      </c>
      <c r="O66" s="34"/>
      <c r="P66" s="34">
        <f>388+14</f>
        <v>402</v>
      </c>
      <c r="Q66" s="34"/>
      <c r="R66" s="34">
        <v>0</v>
      </c>
      <c r="S66" s="34"/>
      <c r="T66" s="53">
        <f>+L66-N66+P66-R66</f>
        <v>339248</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343153</v>
      </c>
      <c r="M69" s="34"/>
      <c r="N69" s="34">
        <f>SUM(N66:N68)</f>
        <v>4307</v>
      </c>
      <c r="O69" s="34"/>
      <c r="P69" s="34">
        <f>SUM(P66:P68)</f>
        <v>402</v>
      </c>
      <c r="Q69" s="34"/>
      <c r="R69" s="34">
        <f>SUM(R66:R68)</f>
        <v>0</v>
      </c>
      <c r="S69" s="34"/>
      <c r="T69" s="54">
        <f>SUM(T66:T68)</f>
        <v>339248</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2"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2" ht="15.6" x14ac:dyDescent="0.3">
      <c r="A82" s="24"/>
      <c r="B82" s="25" t="s">
        <v>27</v>
      </c>
      <c r="C82" s="34"/>
      <c r="D82" s="34"/>
      <c r="E82" s="34"/>
      <c r="F82" s="54"/>
      <c r="G82" s="34"/>
      <c r="H82" s="54"/>
      <c r="I82" s="54"/>
      <c r="J82" s="54">
        <f>SUM(J69:J81)</f>
        <v>700000</v>
      </c>
      <c r="K82" s="34"/>
      <c r="L82" s="54">
        <f>SUM(L69:L81)</f>
        <v>343153</v>
      </c>
      <c r="M82" s="34"/>
      <c r="N82" s="34"/>
      <c r="O82" s="34"/>
      <c r="P82" s="34"/>
      <c r="Q82" s="34"/>
      <c r="R82" s="54"/>
      <c r="S82" s="34"/>
      <c r="T82" s="54">
        <f>SUM(T69:T81)</f>
        <v>339248</v>
      </c>
      <c r="U82" s="25"/>
      <c r="V82" s="5"/>
    </row>
    <row r="83" spans="1:22"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2" ht="15.6" x14ac:dyDescent="0.3">
      <c r="A84" s="6"/>
      <c r="B84" s="8"/>
      <c r="C84" s="8"/>
      <c r="D84" s="8"/>
      <c r="E84" s="8"/>
      <c r="F84" s="8"/>
      <c r="G84" s="8"/>
      <c r="H84" s="8"/>
      <c r="I84" s="8"/>
      <c r="J84" s="8"/>
      <c r="K84" s="8"/>
      <c r="L84" s="8"/>
      <c r="M84" s="8"/>
      <c r="N84" s="8"/>
      <c r="O84" s="8"/>
      <c r="P84" s="8"/>
      <c r="Q84" s="8"/>
      <c r="R84" s="8"/>
      <c r="S84" s="8"/>
      <c r="T84" s="8"/>
      <c r="U84" s="8"/>
      <c r="V84" s="5"/>
    </row>
    <row r="85" spans="1:22" ht="15.6" x14ac:dyDescent="0.3">
      <c r="A85" s="6"/>
      <c r="B85" s="51" t="s">
        <v>28</v>
      </c>
      <c r="C85" s="14"/>
      <c r="D85" s="14"/>
      <c r="E85" s="14"/>
      <c r="F85" s="14"/>
      <c r="G85" s="14"/>
      <c r="H85" s="17"/>
      <c r="I85" s="17"/>
      <c r="J85" s="158" t="s">
        <v>101</v>
      </c>
      <c r="K85" s="17"/>
      <c r="L85" s="157">
        <f>+R195</f>
        <v>39933</v>
      </c>
      <c r="M85" s="17"/>
      <c r="N85" s="17"/>
      <c r="O85" s="17"/>
      <c r="P85" s="17"/>
      <c r="Q85" s="17"/>
      <c r="R85" s="17" t="s">
        <v>114</v>
      </c>
      <c r="S85" s="17"/>
      <c r="T85" s="17" t="s">
        <v>122</v>
      </c>
      <c r="U85" s="8"/>
      <c r="V85" s="5"/>
    </row>
    <row r="86" spans="1:22"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2" ht="15.6" x14ac:dyDescent="0.3">
      <c r="A87" s="24"/>
      <c r="B87" s="25" t="s">
        <v>30</v>
      </c>
      <c r="C87" s="25"/>
      <c r="D87" s="25"/>
      <c r="E87" s="25"/>
      <c r="F87" s="25"/>
      <c r="G87" s="25"/>
      <c r="H87" s="40"/>
      <c r="I87" s="57"/>
      <c r="J87" s="40"/>
      <c r="K87" s="25"/>
      <c r="L87" s="128"/>
      <c r="M87" s="25"/>
      <c r="N87" s="25"/>
      <c r="O87" s="25"/>
      <c r="P87" s="25"/>
      <c r="Q87" s="25"/>
      <c r="R87" s="34">
        <f>4307-334</f>
        <v>3973</v>
      </c>
      <c r="S87" s="25"/>
      <c r="T87" s="53"/>
      <c r="U87" s="25"/>
      <c r="V87" s="5"/>
    </row>
    <row r="88" spans="1:22" ht="15.6" x14ac:dyDescent="0.3">
      <c r="A88" s="24"/>
      <c r="B88" s="25" t="s">
        <v>254</v>
      </c>
      <c r="C88" s="25"/>
      <c r="D88" s="25"/>
      <c r="E88" s="25"/>
      <c r="F88" s="25"/>
      <c r="G88" s="25"/>
      <c r="H88" s="40"/>
      <c r="I88" s="57"/>
      <c r="J88" s="40"/>
      <c r="K88" s="25"/>
      <c r="L88" s="128"/>
      <c r="M88" s="25"/>
      <c r="N88" s="25"/>
      <c r="O88" s="25"/>
      <c r="P88" s="25"/>
      <c r="Q88" s="25"/>
      <c r="R88" s="34"/>
      <c r="S88" s="25"/>
      <c r="T88" s="53">
        <f>3261+1216-504-101+20+5-5+9</f>
        <v>3901</v>
      </c>
      <c r="U88" s="25"/>
      <c r="V88" s="5"/>
    </row>
    <row r="89" spans="1:22" ht="15.6" x14ac:dyDescent="0.3">
      <c r="A89" s="24"/>
      <c r="B89" s="25" t="s">
        <v>255</v>
      </c>
      <c r="C89" s="25"/>
      <c r="D89" s="25"/>
      <c r="E89" s="25"/>
      <c r="F89" s="25"/>
      <c r="G89" s="25"/>
      <c r="H89" s="40"/>
      <c r="I89" s="57"/>
      <c r="J89" s="40"/>
      <c r="K89" s="25"/>
      <c r="L89" s="128"/>
      <c r="M89" s="25"/>
      <c r="N89" s="25"/>
      <c r="O89" s="25"/>
      <c r="P89" s="25"/>
      <c r="Q89" s="25"/>
      <c r="R89" s="34"/>
      <c r="S89" s="25"/>
      <c r="T89" s="53">
        <f>73+78</f>
        <v>151</v>
      </c>
      <c r="U89" s="25"/>
      <c r="V89" s="5"/>
    </row>
    <row r="90" spans="1:22" ht="15.6" x14ac:dyDescent="0.3">
      <c r="A90" s="24"/>
      <c r="B90" s="25" t="s">
        <v>256</v>
      </c>
      <c r="C90" s="25"/>
      <c r="D90" s="25"/>
      <c r="E90" s="25"/>
      <c r="F90" s="25"/>
      <c r="G90" s="25"/>
      <c r="H90" s="40"/>
      <c r="I90" s="57"/>
      <c r="J90" s="40"/>
      <c r="K90" s="25"/>
      <c r="L90" s="128"/>
      <c r="M90" s="25"/>
      <c r="N90" s="25"/>
      <c r="O90" s="25"/>
      <c r="P90" s="25"/>
      <c r="Q90" s="25"/>
      <c r="R90" s="34"/>
      <c r="S90" s="25"/>
      <c r="T90" s="53">
        <v>161</v>
      </c>
      <c r="U90" s="25"/>
      <c r="V90" s="5"/>
    </row>
    <row r="91" spans="1:22" ht="15.6" x14ac:dyDescent="0.3">
      <c r="A91" s="24"/>
      <c r="B91" s="25" t="s">
        <v>270</v>
      </c>
      <c r="C91" s="25"/>
      <c r="D91" s="25"/>
      <c r="E91" s="25"/>
      <c r="F91" s="25"/>
      <c r="G91" s="25"/>
      <c r="H91" s="40"/>
      <c r="I91" s="57"/>
      <c r="J91" s="40"/>
      <c r="K91" s="25"/>
      <c r="L91" s="128"/>
      <c r="M91" s="25"/>
      <c r="N91" s="25"/>
      <c r="O91" s="25"/>
      <c r="P91" s="25"/>
      <c r="Q91" s="25"/>
      <c r="R91" s="34"/>
      <c r="S91" s="25"/>
      <c r="T91" s="53">
        <v>0</v>
      </c>
      <c r="U91" s="25"/>
      <c r="V91" s="5"/>
    </row>
    <row r="92" spans="1:22" ht="15.6" x14ac:dyDescent="0.3">
      <c r="A92" s="24"/>
      <c r="B92" s="25" t="s">
        <v>144</v>
      </c>
      <c r="C92" s="25"/>
      <c r="D92" s="25"/>
      <c r="E92" s="25"/>
      <c r="F92" s="25"/>
      <c r="G92" s="25"/>
      <c r="H92" s="25"/>
      <c r="I92" s="25"/>
      <c r="J92" s="25"/>
      <c r="K92" s="25"/>
      <c r="L92" s="25"/>
      <c r="M92" s="25"/>
      <c r="N92" s="25"/>
      <c r="O92" s="25"/>
      <c r="P92" s="25"/>
      <c r="Q92" s="25"/>
      <c r="R92" s="34"/>
      <c r="S92" s="25"/>
      <c r="T92" s="53">
        <v>0</v>
      </c>
      <c r="U92" s="25"/>
      <c r="V92" s="5"/>
    </row>
    <row r="93" spans="1:22" ht="15.6" x14ac:dyDescent="0.3">
      <c r="A93" s="24"/>
      <c r="B93" s="25" t="s">
        <v>233</v>
      </c>
      <c r="C93" s="25"/>
      <c r="D93" s="25"/>
      <c r="E93" s="25"/>
      <c r="F93" s="25"/>
      <c r="G93" s="25"/>
      <c r="H93" s="25"/>
      <c r="I93" s="25"/>
      <c r="J93" s="25"/>
      <c r="K93" s="25"/>
      <c r="L93" s="25"/>
      <c r="M93" s="25"/>
      <c r="N93" s="25"/>
      <c r="O93" s="25"/>
      <c r="P93" s="25"/>
      <c r="Q93" s="25"/>
      <c r="R93" s="34"/>
      <c r="S93" s="25"/>
      <c r="T93" s="53">
        <v>0</v>
      </c>
      <c r="U93" s="25"/>
      <c r="V93" s="5"/>
    </row>
    <row r="94" spans="1:22" ht="15.6" x14ac:dyDescent="0.3">
      <c r="A94" s="24"/>
      <c r="B94" s="25" t="s">
        <v>32</v>
      </c>
      <c r="C94" s="25"/>
      <c r="D94" s="25"/>
      <c r="E94" s="25"/>
      <c r="F94" s="25"/>
      <c r="G94" s="25"/>
      <c r="H94" s="25"/>
      <c r="I94" s="25"/>
      <c r="J94" s="25"/>
      <c r="K94" s="25"/>
      <c r="L94" s="25"/>
      <c r="M94" s="25"/>
      <c r="N94" s="25"/>
      <c r="O94" s="25"/>
      <c r="P94" s="25"/>
      <c r="Q94" s="25"/>
      <c r="R94" s="34">
        <f>SUM(R86:R93)</f>
        <v>3973</v>
      </c>
      <c r="S94" s="25"/>
      <c r="T94" s="54">
        <f>SUM(T86:T93)</f>
        <v>4213</v>
      </c>
      <c r="U94" s="25"/>
      <c r="V94" s="5"/>
    </row>
    <row r="95" spans="1:22" ht="15.6" x14ac:dyDescent="0.3">
      <c r="A95" s="24"/>
      <c r="B95" s="25" t="s">
        <v>176</v>
      </c>
      <c r="C95" s="25"/>
      <c r="D95" s="25"/>
      <c r="E95" s="25"/>
      <c r="F95" s="25"/>
      <c r="G95" s="25"/>
      <c r="H95" s="25"/>
      <c r="I95" s="25"/>
      <c r="J95" s="25"/>
      <c r="K95" s="25"/>
      <c r="L95" s="25"/>
      <c r="M95" s="25"/>
      <c r="N95" s="25"/>
      <c r="O95" s="25"/>
      <c r="P95" s="25"/>
      <c r="Q95" s="25"/>
      <c r="R95" s="34">
        <v>-12</v>
      </c>
      <c r="S95" s="25"/>
      <c r="T95" s="54">
        <f>-R95</f>
        <v>12</v>
      </c>
      <c r="U95" s="25"/>
      <c r="V95" s="5"/>
    </row>
    <row r="96" spans="1:22" ht="15.6" x14ac:dyDescent="0.3">
      <c r="A96" s="24"/>
      <c r="B96" s="25" t="s">
        <v>33</v>
      </c>
      <c r="C96" s="25"/>
      <c r="D96" s="25"/>
      <c r="E96" s="25"/>
      <c r="F96" s="25"/>
      <c r="G96" s="25"/>
      <c r="H96" s="25"/>
      <c r="I96" s="25"/>
      <c r="J96" s="25"/>
      <c r="K96" s="25"/>
      <c r="L96" s="25"/>
      <c r="M96" s="25"/>
      <c r="N96" s="25"/>
      <c r="O96" s="25"/>
      <c r="P96" s="25"/>
      <c r="Q96" s="25"/>
      <c r="R96" s="34">
        <f>-T96</f>
        <v>0</v>
      </c>
      <c r="S96" s="25"/>
      <c r="T96" s="53">
        <v>0</v>
      </c>
      <c r="U96" s="25"/>
      <c r="V96" s="5"/>
    </row>
    <row r="97" spans="1:23" ht="15.6" x14ac:dyDescent="0.3">
      <c r="A97" s="24"/>
      <c r="B97" s="25" t="s">
        <v>278</v>
      </c>
      <c r="C97" s="25"/>
      <c r="D97" s="25"/>
      <c r="E97" s="25"/>
      <c r="F97" s="25"/>
      <c r="G97" s="25"/>
      <c r="H97" s="25"/>
      <c r="I97" s="25"/>
      <c r="J97" s="25"/>
      <c r="K97" s="25"/>
      <c r="L97" s="25"/>
      <c r="M97" s="25"/>
      <c r="N97" s="25"/>
      <c r="O97" s="25"/>
      <c r="P97" s="25"/>
      <c r="Q97" s="25"/>
      <c r="R97" s="34"/>
      <c r="S97" s="25"/>
      <c r="T97" s="53">
        <v>4</v>
      </c>
      <c r="U97" s="25"/>
      <c r="V97" s="5"/>
    </row>
    <row r="98" spans="1:23" ht="15.6" x14ac:dyDescent="0.3">
      <c r="A98" s="24"/>
      <c r="B98" s="25" t="s">
        <v>34</v>
      </c>
      <c r="C98" s="25"/>
      <c r="D98" s="25"/>
      <c r="E98" s="25"/>
      <c r="F98" s="25"/>
      <c r="G98" s="25"/>
      <c r="H98" s="25"/>
      <c r="I98" s="25"/>
      <c r="J98" s="25"/>
      <c r="K98" s="25"/>
      <c r="L98" s="25"/>
      <c r="M98" s="25"/>
      <c r="N98" s="25"/>
      <c r="O98" s="25"/>
      <c r="P98" s="25"/>
      <c r="Q98" s="25"/>
      <c r="R98" s="34">
        <f>R94+R96+R95</f>
        <v>3961</v>
      </c>
      <c r="S98" s="25"/>
      <c r="T98" s="54">
        <f>T94+T96+T95+T97</f>
        <v>4229</v>
      </c>
      <c r="U98" s="25"/>
      <c r="V98" s="5"/>
      <c r="W98" s="166"/>
    </row>
    <row r="99" spans="1:23" ht="15.6" x14ac:dyDescent="0.3">
      <c r="A99" s="24"/>
      <c r="B99" s="119" t="s">
        <v>35</v>
      </c>
      <c r="C99" s="25"/>
      <c r="D99" s="25"/>
      <c r="E99" s="25"/>
      <c r="F99" s="25"/>
      <c r="G99" s="25"/>
      <c r="H99" s="25"/>
      <c r="I99" s="25"/>
      <c r="J99" s="25"/>
      <c r="K99" s="25"/>
      <c r="L99" s="25"/>
      <c r="M99" s="25"/>
      <c r="N99" s="25"/>
      <c r="O99" s="25"/>
      <c r="P99" s="25"/>
      <c r="Q99" s="25"/>
      <c r="R99" s="34"/>
      <c r="S99" s="25"/>
      <c r="T99" s="53"/>
      <c r="U99" s="25"/>
      <c r="V99" s="5"/>
    </row>
    <row r="100" spans="1:23" ht="15.6" x14ac:dyDescent="0.3">
      <c r="A100" s="24">
        <v>1</v>
      </c>
      <c r="B100" s="25" t="s">
        <v>36</v>
      </c>
      <c r="C100" s="25"/>
      <c r="D100" s="25"/>
      <c r="E100" s="25"/>
      <c r="F100" s="25"/>
      <c r="G100" s="25"/>
      <c r="H100" s="25"/>
      <c r="I100" s="25"/>
      <c r="J100" s="25"/>
      <c r="K100" s="25"/>
      <c r="L100" s="25"/>
      <c r="M100" s="25"/>
      <c r="N100" s="25"/>
      <c r="O100" s="25"/>
      <c r="P100" s="25"/>
      <c r="Q100" s="25"/>
      <c r="R100" s="25"/>
      <c r="S100" s="25"/>
      <c r="T100" s="53">
        <v>0</v>
      </c>
      <c r="U100" s="25"/>
      <c r="V100" s="5"/>
    </row>
    <row r="101" spans="1:23" ht="15.6" x14ac:dyDescent="0.3">
      <c r="A101" s="24">
        <f>+A100+1</f>
        <v>2</v>
      </c>
      <c r="B101" s="25" t="s">
        <v>37</v>
      </c>
      <c r="C101" s="25"/>
      <c r="D101" s="25"/>
      <c r="E101" s="25"/>
      <c r="F101" s="25"/>
      <c r="G101" s="25"/>
      <c r="H101" s="25"/>
      <c r="I101" s="25"/>
      <c r="J101" s="25"/>
      <c r="K101" s="25"/>
      <c r="L101" s="25"/>
      <c r="M101" s="25"/>
      <c r="N101" s="25"/>
      <c r="O101" s="25"/>
      <c r="P101" s="25"/>
      <c r="Q101" s="25"/>
      <c r="R101" s="25"/>
      <c r="S101" s="25"/>
      <c r="T101" s="53">
        <v>-2</v>
      </c>
      <c r="U101" s="25"/>
      <c r="V101" s="5"/>
    </row>
    <row r="102" spans="1:23" ht="15.6" x14ac:dyDescent="0.3">
      <c r="A102" s="24">
        <f>+A101+1</f>
        <v>3</v>
      </c>
      <c r="B102" s="25" t="s">
        <v>160</v>
      </c>
      <c r="C102" s="25"/>
      <c r="D102" s="25"/>
      <c r="E102" s="25"/>
      <c r="F102" s="25"/>
      <c r="G102" s="25"/>
      <c r="H102" s="25"/>
      <c r="I102" s="25"/>
      <c r="J102" s="25"/>
      <c r="K102" s="25"/>
      <c r="L102" s="25"/>
      <c r="M102" s="25"/>
      <c r="N102" s="25"/>
      <c r="O102" s="25"/>
      <c r="P102" s="25"/>
      <c r="Q102" s="25"/>
      <c r="R102" s="25"/>
      <c r="S102" s="25"/>
      <c r="T102" s="53">
        <f>-126-104-4</f>
        <v>-234</v>
      </c>
      <c r="U102" s="25"/>
      <c r="V102" s="5"/>
    </row>
    <row r="103" spans="1:23" ht="15.6" x14ac:dyDescent="0.3">
      <c r="A103" s="24" t="s">
        <v>136</v>
      </c>
      <c r="B103" s="25" t="s">
        <v>125</v>
      </c>
      <c r="C103" s="25"/>
      <c r="D103" s="25"/>
      <c r="E103" s="25"/>
      <c r="F103" s="25"/>
      <c r="G103" s="25"/>
      <c r="H103" s="25"/>
      <c r="I103" s="25"/>
      <c r="J103" s="25"/>
      <c r="K103" s="25"/>
      <c r="L103" s="25"/>
      <c r="M103" s="25"/>
      <c r="N103" s="25"/>
      <c r="O103" s="25"/>
      <c r="P103" s="25"/>
      <c r="Q103" s="25"/>
      <c r="R103" s="25"/>
      <c r="S103" s="25"/>
      <c r="T103" s="53">
        <v>-842</v>
      </c>
      <c r="U103" s="25"/>
      <c r="V103" s="5"/>
    </row>
    <row r="104" spans="1:23" ht="15.6" x14ac:dyDescent="0.3">
      <c r="A104" s="24" t="s">
        <v>137</v>
      </c>
      <c r="B104" s="25" t="s">
        <v>267</v>
      </c>
      <c r="C104" s="25"/>
      <c r="D104" s="25"/>
      <c r="E104" s="25"/>
      <c r="F104" s="25"/>
      <c r="G104" s="25"/>
      <c r="H104" s="25"/>
      <c r="I104" s="25"/>
      <c r="J104" s="25"/>
      <c r="K104" s="25"/>
      <c r="L104" s="25"/>
      <c r="M104" s="25"/>
      <c r="N104" s="25"/>
      <c r="O104" s="25"/>
      <c r="P104" s="25"/>
      <c r="Q104" s="25"/>
      <c r="R104" s="25"/>
      <c r="S104" s="25"/>
      <c r="T104" s="53">
        <v>-2</v>
      </c>
      <c r="U104" s="25"/>
      <c r="V104" s="5"/>
    </row>
    <row r="105" spans="1:23" ht="15.6" x14ac:dyDescent="0.3">
      <c r="A105" s="24" t="s">
        <v>162</v>
      </c>
      <c r="B105" s="25" t="s">
        <v>218</v>
      </c>
      <c r="C105" s="25"/>
      <c r="D105" s="25"/>
      <c r="E105" s="25"/>
      <c r="F105" s="25"/>
      <c r="G105" s="25"/>
      <c r="H105" s="25"/>
      <c r="I105" s="25"/>
      <c r="J105" s="25"/>
      <c r="K105" s="25"/>
      <c r="L105" s="25"/>
      <c r="M105" s="25"/>
      <c r="N105" s="25"/>
      <c r="O105" s="25"/>
      <c r="P105" s="25"/>
      <c r="Q105" s="25"/>
      <c r="R105" s="25"/>
      <c r="S105" s="25"/>
      <c r="T105" s="53">
        <v>-792</v>
      </c>
      <c r="U105" s="25"/>
      <c r="V105" s="5"/>
      <c r="W105" s="110"/>
    </row>
    <row r="106" spans="1:23" ht="15.6" x14ac:dyDescent="0.3">
      <c r="A106" s="24" t="s">
        <v>163</v>
      </c>
      <c r="B106" s="25" t="s">
        <v>219</v>
      </c>
      <c r="C106" s="25"/>
      <c r="D106" s="25"/>
      <c r="E106" s="25"/>
      <c r="F106" s="25"/>
      <c r="G106" s="25"/>
      <c r="H106" s="25"/>
      <c r="I106" s="25"/>
      <c r="J106" s="25"/>
      <c r="K106" s="25"/>
      <c r="L106" s="25"/>
      <c r="M106" s="25"/>
      <c r="N106" s="25"/>
      <c r="O106" s="25"/>
      <c r="P106" s="25"/>
      <c r="Q106" s="25"/>
      <c r="R106" s="25"/>
      <c r="S106" s="25"/>
      <c r="T106" s="53">
        <v>-562</v>
      </c>
      <c r="U106" s="25"/>
      <c r="V106" s="5"/>
      <c r="W106" s="110"/>
    </row>
    <row r="107" spans="1:23" ht="15.6" x14ac:dyDescent="0.3">
      <c r="A107" s="24" t="s">
        <v>252</v>
      </c>
      <c r="B107" s="25" t="s">
        <v>242</v>
      </c>
      <c r="C107" s="25"/>
      <c r="D107" s="25"/>
      <c r="E107" s="25"/>
      <c r="F107" s="25"/>
      <c r="G107" s="25"/>
      <c r="H107" s="25"/>
      <c r="I107" s="25"/>
      <c r="J107" s="25"/>
      <c r="K107" s="25"/>
      <c r="L107" s="25"/>
      <c r="M107" s="25"/>
      <c r="N107" s="25"/>
      <c r="O107" s="25"/>
      <c r="P107" s="25"/>
      <c r="Q107" s="25"/>
      <c r="R107" s="25"/>
      <c r="S107" s="25"/>
      <c r="T107" s="53">
        <v>-79</v>
      </c>
      <c r="U107" s="25"/>
      <c r="V107" s="170"/>
      <c r="W107" s="110"/>
    </row>
    <row r="108" spans="1:23" ht="15.6" x14ac:dyDescent="0.3">
      <c r="A108" s="24" t="s">
        <v>245</v>
      </c>
      <c r="B108" s="25" t="s">
        <v>220</v>
      </c>
      <c r="C108" s="25"/>
      <c r="D108" s="25"/>
      <c r="E108" s="25"/>
      <c r="F108" s="25"/>
      <c r="G108" s="25"/>
      <c r="H108" s="25"/>
      <c r="I108" s="25"/>
      <c r="J108" s="25"/>
      <c r="K108" s="25"/>
      <c r="L108" s="25"/>
      <c r="M108" s="25"/>
      <c r="N108" s="25"/>
      <c r="O108" s="25"/>
      <c r="P108" s="25"/>
      <c r="Q108" s="25"/>
      <c r="R108" s="25"/>
      <c r="S108" s="25"/>
      <c r="T108" s="53">
        <v>-39</v>
      </c>
      <c r="U108" s="25"/>
      <c r="V108" s="5"/>
      <c r="W108" s="110"/>
    </row>
    <row r="109" spans="1:23" ht="15.6" x14ac:dyDescent="0.3">
      <c r="A109" s="24" t="s">
        <v>246</v>
      </c>
      <c r="B109" s="25" t="s">
        <v>221</v>
      </c>
      <c r="C109" s="25"/>
      <c r="D109" s="25"/>
      <c r="E109" s="25"/>
      <c r="F109" s="25"/>
      <c r="G109" s="25"/>
      <c r="H109" s="25"/>
      <c r="I109" s="25"/>
      <c r="J109" s="25"/>
      <c r="K109" s="25"/>
      <c r="L109" s="25"/>
      <c r="M109" s="25"/>
      <c r="N109" s="25"/>
      <c r="O109" s="25"/>
      <c r="P109" s="25"/>
      <c r="Q109" s="25"/>
      <c r="R109" s="25"/>
      <c r="S109" s="25"/>
      <c r="T109" s="53">
        <v>-115</v>
      </c>
      <c r="U109" s="25"/>
      <c r="V109" s="5"/>
      <c r="W109" s="110"/>
    </row>
    <row r="110" spans="1:23" ht="15.6" x14ac:dyDescent="0.3">
      <c r="A110" s="24" t="s">
        <v>247</v>
      </c>
      <c r="B110" s="25" t="s">
        <v>222</v>
      </c>
      <c r="C110" s="25"/>
      <c r="D110" s="25"/>
      <c r="E110" s="25"/>
      <c r="F110" s="25"/>
      <c r="G110" s="25"/>
      <c r="H110" s="25"/>
      <c r="I110" s="25"/>
      <c r="J110" s="25"/>
      <c r="K110" s="25"/>
      <c r="L110" s="25"/>
      <c r="M110" s="25"/>
      <c r="N110" s="25"/>
      <c r="O110" s="25"/>
      <c r="P110" s="25"/>
      <c r="Q110" s="25"/>
      <c r="R110" s="25"/>
      <c r="S110" s="25"/>
      <c r="T110" s="53">
        <v>-18</v>
      </c>
      <c r="U110" s="25"/>
      <c r="V110" s="5"/>
      <c r="W110" s="110"/>
    </row>
    <row r="111" spans="1:23" ht="15.6" x14ac:dyDescent="0.3">
      <c r="A111" s="24" t="s">
        <v>248</v>
      </c>
      <c r="B111" s="25" t="s">
        <v>223</v>
      </c>
      <c r="C111" s="25"/>
      <c r="D111" s="25"/>
      <c r="E111" s="25"/>
      <c r="F111" s="25"/>
      <c r="G111" s="25"/>
      <c r="H111" s="25"/>
      <c r="I111" s="25"/>
      <c r="J111" s="25"/>
      <c r="K111" s="25"/>
      <c r="L111" s="25"/>
      <c r="M111" s="25"/>
      <c r="N111" s="25"/>
      <c r="O111" s="25"/>
      <c r="P111" s="25"/>
      <c r="Q111" s="25"/>
      <c r="R111" s="25"/>
      <c r="S111" s="25"/>
      <c r="T111" s="53">
        <v>-284</v>
      </c>
      <c r="U111" s="25"/>
      <c r="V111" s="5"/>
      <c r="W111" s="110"/>
    </row>
    <row r="112" spans="1:23" ht="15.6" x14ac:dyDescent="0.3">
      <c r="A112" s="24">
        <v>7</v>
      </c>
      <c r="B112" s="25" t="s">
        <v>38</v>
      </c>
      <c r="C112" s="25"/>
      <c r="D112" s="25"/>
      <c r="E112" s="25"/>
      <c r="F112" s="25"/>
      <c r="G112" s="25"/>
      <c r="H112" s="25"/>
      <c r="I112" s="25"/>
      <c r="J112" s="25"/>
      <c r="K112" s="25"/>
      <c r="L112" s="25"/>
      <c r="M112" s="25"/>
      <c r="N112" s="25"/>
      <c r="O112" s="25"/>
      <c r="P112" s="25"/>
      <c r="Q112" s="25"/>
      <c r="R112" s="25"/>
      <c r="S112" s="25"/>
      <c r="T112" s="53">
        <v>-8</v>
      </c>
      <c r="U112" s="25"/>
      <c r="V112" s="5"/>
    </row>
    <row r="113" spans="1:22" ht="15.6" x14ac:dyDescent="0.3">
      <c r="A113" s="24">
        <f t="shared" ref="A113:A118" si="0">+A112+1</f>
        <v>8</v>
      </c>
      <c r="B113" s="25" t="s">
        <v>49</v>
      </c>
      <c r="C113" s="25"/>
      <c r="D113" s="25"/>
      <c r="E113" s="25"/>
      <c r="F113" s="25"/>
      <c r="G113" s="25"/>
      <c r="H113" s="25"/>
      <c r="I113" s="25"/>
      <c r="J113" s="25"/>
      <c r="K113" s="25"/>
      <c r="L113" s="25"/>
      <c r="M113" s="25"/>
      <c r="N113" s="25"/>
      <c r="O113" s="25"/>
      <c r="P113" s="25"/>
      <c r="Q113" s="25"/>
      <c r="R113" s="34">
        <f>-T113</f>
        <v>334</v>
      </c>
      <c r="S113" s="25"/>
      <c r="T113" s="53">
        <v>-334</v>
      </c>
      <c r="U113" s="25"/>
      <c r="V113" s="5"/>
    </row>
    <row r="114" spans="1:22" ht="15.6" x14ac:dyDescent="0.3">
      <c r="A114" s="24">
        <f t="shared" si="0"/>
        <v>9</v>
      </c>
      <c r="B114" s="25" t="s">
        <v>134</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39</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40</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161</v>
      </c>
      <c r="C117" s="25"/>
      <c r="D117" s="25"/>
      <c r="E117" s="25"/>
      <c r="F117" s="25"/>
      <c r="G117" s="25"/>
      <c r="H117" s="25"/>
      <c r="I117" s="25"/>
      <c r="J117" s="25"/>
      <c r="K117" s="25"/>
      <c r="L117" s="25"/>
      <c r="M117" s="25"/>
      <c r="N117" s="25"/>
      <c r="O117" s="25"/>
      <c r="P117" s="25"/>
      <c r="Q117" s="25"/>
      <c r="R117" s="25"/>
      <c r="S117" s="25"/>
      <c r="T117" s="53">
        <v>-126</v>
      </c>
      <c r="U117" s="25"/>
      <c r="V117" s="5"/>
    </row>
    <row r="118" spans="1:22" ht="15.6" x14ac:dyDescent="0.3">
      <c r="A118" s="24">
        <f t="shared" si="0"/>
        <v>13</v>
      </c>
      <c r="B118" s="25" t="s">
        <v>135</v>
      </c>
      <c r="C118" s="25"/>
      <c r="D118" s="25"/>
      <c r="E118" s="25"/>
      <c r="F118" s="25"/>
      <c r="G118" s="25"/>
      <c r="H118" s="25"/>
      <c r="I118" s="25"/>
      <c r="J118" s="25"/>
      <c r="K118" s="25"/>
      <c r="L118" s="25"/>
      <c r="M118" s="25"/>
      <c r="N118" s="25"/>
      <c r="O118" s="25"/>
      <c r="P118" s="25"/>
      <c r="Q118" s="25"/>
      <c r="R118" s="25"/>
      <c r="S118" s="25"/>
      <c r="T118" s="53">
        <f>-T98-SUM(T100:T117)</f>
        <v>-792</v>
      </c>
      <c r="U118" s="25"/>
      <c r="V118" s="5"/>
    </row>
    <row r="119" spans="1:22" ht="15.6" x14ac:dyDescent="0.3">
      <c r="A119" s="24"/>
      <c r="B119" s="119" t="s">
        <v>41</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229</v>
      </c>
      <c r="C120" s="25"/>
      <c r="D120" s="25"/>
      <c r="E120" s="25"/>
      <c r="F120" s="25"/>
      <c r="G120" s="25"/>
      <c r="H120" s="25"/>
      <c r="I120" s="25"/>
      <c r="J120" s="25"/>
      <c r="K120" s="25"/>
      <c r="L120" s="25"/>
      <c r="M120" s="25"/>
      <c r="N120" s="25"/>
      <c r="O120" s="25"/>
      <c r="P120" s="25"/>
      <c r="Q120" s="25"/>
      <c r="R120" s="34">
        <f>-R179</f>
        <v>-8</v>
      </c>
      <c r="S120" s="34"/>
      <c r="T120" s="53"/>
      <c r="U120" s="25"/>
      <c r="V120" s="5"/>
    </row>
    <row r="121" spans="1:22" ht="15.6" x14ac:dyDescent="0.3">
      <c r="A121" s="24"/>
      <c r="B121" s="25" t="s">
        <v>230</v>
      </c>
      <c r="C121" s="25"/>
      <c r="D121" s="25"/>
      <c r="E121" s="25"/>
      <c r="F121" s="25"/>
      <c r="G121" s="25"/>
      <c r="H121" s="25"/>
      <c r="I121" s="25"/>
      <c r="J121" s="25"/>
      <c r="K121" s="25"/>
      <c r="L121" s="25"/>
      <c r="M121" s="25"/>
      <c r="N121" s="25"/>
      <c r="O121" s="25"/>
      <c r="P121" s="25"/>
      <c r="Q121" s="25"/>
      <c r="R121" s="34">
        <v>0</v>
      </c>
      <c r="S121" s="34"/>
      <c r="T121" s="53"/>
      <c r="U121" s="25"/>
      <c r="V121" s="5"/>
    </row>
    <row r="122" spans="1:22" ht="15.6" x14ac:dyDescent="0.3">
      <c r="A122" s="24"/>
      <c r="B122" s="25" t="s">
        <v>42</v>
      </c>
      <c r="C122" s="25"/>
      <c r="D122" s="25"/>
      <c r="E122" s="25"/>
      <c r="F122" s="25"/>
      <c r="G122" s="25"/>
      <c r="H122" s="25"/>
      <c r="I122" s="25"/>
      <c r="J122" s="25"/>
      <c r="K122" s="25"/>
      <c r="L122" s="25"/>
      <c r="M122" s="25"/>
      <c r="N122" s="25"/>
      <c r="O122" s="25"/>
      <c r="P122" s="25"/>
      <c r="Q122" s="25"/>
      <c r="R122" s="34">
        <f>-Q179</f>
        <v>-382</v>
      </c>
      <c r="S122" s="34"/>
      <c r="T122" s="53"/>
      <c r="U122" s="25"/>
      <c r="V122" s="5"/>
    </row>
    <row r="123" spans="1:22" ht="15.6" x14ac:dyDescent="0.3">
      <c r="A123" s="24"/>
      <c r="B123" s="25" t="s">
        <v>235</v>
      </c>
      <c r="C123" s="25"/>
      <c r="D123" s="25"/>
      <c r="E123" s="25"/>
      <c r="F123" s="25"/>
      <c r="G123" s="25"/>
      <c r="H123" s="25"/>
      <c r="I123" s="25"/>
      <c r="J123" s="25"/>
      <c r="K123" s="25"/>
      <c r="L123" s="25"/>
      <c r="M123" s="25"/>
      <c r="N123" s="25"/>
      <c r="O123" s="25"/>
      <c r="P123" s="25"/>
      <c r="Q123" s="25"/>
      <c r="R123" s="34">
        <v>-2164</v>
      </c>
      <c r="S123" s="34"/>
      <c r="T123" s="53"/>
      <c r="U123" s="25"/>
      <c r="V123" s="5"/>
    </row>
    <row r="124" spans="1:22" ht="15.6" x14ac:dyDescent="0.3">
      <c r="A124" s="24"/>
      <c r="B124" s="25" t="s">
        <v>236</v>
      </c>
      <c r="C124" s="25"/>
      <c r="D124" s="25"/>
      <c r="E124" s="25"/>
      <c r="F124" s="25"/>
      <c r="G124" s="25"/>
      <c r="H124" s="25"/>
      <c r="I124" s="25"/>
      <c r="J124" s="25"/>
      <c r="K124" s="25"/>
      <c r="L124" s="25"/>
      <c r="M124" s="25"/>
      <c r="N124" s="25"/>
      <c r="O124" s="25"/>
      <c r="P124" s="25"/>
      <c r="Q124" s="25"/>
      <c r="R124" s="34">
        <v>-1529</v>
      </c>
      <c r="S124" s="34"/>
      <c r="T124" s="53"/>
      <c r="U124" s="25"/>
      <c r="V124" s="5"/>
    </row>
    <row r="125" spans="1:22" ht="15.6" x14ac:dyDescent="0.3">
      <c r="A125" s="24"/>
      <c r="B125" s="25" t="s">
        <v>241</v>
      </c>
      <c r="C125" s="25"/>
      <c r="D125" s="25"/>
      <c r="E125" s="25"/>
      <c r="F125" s="25"/>
      <c r="G125" s="25"/>
      <c r="H125" s="25"/>
      <c r="I125" s="25"/>
      <c r="J125" s="25"/>
      <c r="K125" s="25"/>
      <c r="L125" s="25"/>
      <c r="M125" s="25"/>
      <c r="N125" s="25"/>
      <c r="O125" s="25"/>
      <c r="P125" s="25"/>
      <c r="Q125" s="25"/>
      <c r="R125" s="34">
        <v>-212</v>
      </c>
      <c r="S125" s="34"/>
      <c r="T125" s="53"/>
      <c r="U125" s="25"/>
      <c r="V125" s="5"/>
    </row>
    <row r="126" spans="1:22" ht="15.6" x14ac:dyDescent="0.3">
      <c r="A126" s="24"/>
      <c r="B126" s="25" t="s">
        <v>237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238</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239</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240</v>
      </c>
      <c r="C129" s="25"/>
      <c r="D129" s="25"/>
      <c r="E129" s="25"/>
      <c r="F129" s="25"/>
      <c r="G129" s="25"/>
      <c r="H129" s="25"/>
      <c r="I129" s="25"/>
      <c r="J129" s="25"/>
      <c r="K129" s="25"/>
      <c r="L129" s="25"/>
      <c r="M129" s="25"/>
      <c r="N129" s="25"/>
      <c r="O129" s="25"/>
      <c r="P129" s="25"/>
      <c r="Q129" s="25"/>
      <c r="R129" s="34">
        <v>0</v>
      </c>
      <c r="S129" s="34"/>
      <c r="T129" s="53"/>
      <c r="U129" s="25"/>
      <c r="V129" s="5"/>
    </row>
    <row r="130" spans="1:22" ht="15.6" x14ac:dyDescent="0.3">
      <c r="A130" s="24"/>
      <c r="B130" s="25" t="s">
        <v>43</v>
      </c>
      <c r="C130" s="25"/>
      <c r="D130" s="25"/>
      <c r="E130" s="25"/>
      <c r="F130" s="25"/>
      <c r="G130" s="25"/>
      <c r="H130" s="25"/>
      <c r="I130" s="25"/>
      <c r="J130" s="25"/>
      <c r="K130" s="25"/>
      <c r="L130" s="25"/>
      <c r="M130" s="25"/>
      <c r="N130" s="25"/>
      <c r="O130" s="25"/>
      <c r="P130" s="25"/>
      <c r="Q130" s="25"/>
      <c r="R130" s="34">
        <f>SUM(R120:R129)</f>
        <v>-4295</v>
      </c>
      <c r="S130" s="34"/>
      <c r="T130" s="34">
        <f>SUM(T99:T128)</f>
        <v>-4229</v>
      </c>
      <c r="U130" s="25"/>
      <c r="V130" s="5"/>
    </row>
    <row r="131" spans="1:22" ht="15.6" x14ac:dyDescent="0.3">
      <c r="A131" s="24"/>
      <c r="B131" s="25" t="s">
        <v>44</v>
      </c>
      <c r="C131" s="25"/>
      <c r="D131" s="25"/>
      <c r="E131" s="25"/>
      <c r="F131" s="25"/>
      <c r="G131" s="25"/>
      <c r="H131" s="25"/>
      <c r="I131" s="25"/>
      <c r="J131" s="25"/>
      <c r="K131" s="25"/>
      <c r="L131" s="25"/>
      <c r="M131" s="25"/>
      <c r="N131" s="25"/>
      <c r="O131" s="25"/>
      <c r="P131" s="25"/>
      <c r="Q131" s="25"/>
      <c r="R131" s="34">
        <f>R98+R130+R113</f>
        <v>0</v>
      </c>
      <c r="S131" s="34"/>
      <c r="T131" s="34">
        <f>T98+T130</f>
        <v>0</v>
      </c>
      <c r="U131" s="25"/>
      <c r="V131" s="5"/>
    </row>
    <row r="132" spans="1:22" ht="15.6" x14ac:dyDescent="0.3">
      <c r="A132" s="24"/>
      <c r="B132" s="25"/>
      <c r="C132" s="25"/>
      <c r="D132" s="25"/>
      <c r="E132" s="25"/>
      <c r="F132" s="25"/>
      <c r="G132" s="25"/>
      <c r="H132" s="25"/>
      <c r="I132" s="25"/>
      <c r="J132" s="25"/>
      <c r="K132" s="25"/>
      <c r="L132" s="25"/>
      <c r="M132" s="25"/>
      <c r="N132" s="25"/>
      <c r="O132" s="25"/>
      <c r="P132" s="25"/>
      <c r="Q132" s="25"/>
      <c r="R132" s="34"/>
      <c r="S132" s="34"/>
      <c r="T132" s="34"/>
      <c r="U132" s="25"/>
      <c r="V132" s="5"/>
    </row>
    <row r="133" spans="1:22" ht="15.6" x14ac:dyDescent="0.3">
      <c r="A133" s="6"/>
      <c r="B133" s="8"/>
      <c r="C133" s="8"/>
      <c r="D133" s="8"/>
      <c r="E133" s="8"/>
      <c r="F133" s="8"/>
      <c r="G133" s="8"/>
      <c r="H133" s="8"/>
      <c r="I133" s="8"/>
      <c r="J133" s="8"/>
      <c r="K133" s="8"/>
      <c r="L133" s="8"/>
      <c r="M133" s="8"/>
      <c r="N133" s="8"/>
      <c r="O133" s="8"/>
      <c r="P133" s="8"/>
      <c r="Q133" s="8"/>
      <c r="R133" s="8"/>
      <c r="S133" s="8"/>
      <c r="T133" s="52"/>
      <c r="U133" s="8"/>
      <c r="V133" s="5"/>
    </row>
    <row r="134" spans="1:22" ht="18" thickBot="1" x14ac:dyDescent="0.35">
      <c r="A134" s="102"/>
      <c r="B134" s="103" t="str">
        <f>B61</f>
        <v>PM9 INVESTOR REPORT QUARTER ENDING APRIL 2009</v>
      </c>
      <c r="C134" s="104"/>
      <c r="D134" s="104"/>
      <c r="E134" s="104"/>
      <c r="F134" s="104"/>
      <c r="G134" s="104"/>
      <c r="H134" s="104"/>
      <c r="I134" s="104"/>
      <c r="J134" s="104"/>
      <c r="K134" s="104"/>
      <c r="L134" s="104"/>
      <c r="M134" s="104"/>
      <c r="N134" s="104"/>
      <c r="O134" s="104"/>
      <c r="P134" s="104"/>
      <c r="Q134" s="104"/>
      <c r="R134" s="104"/>
      <c r="S134" s="104"/>
      <c r="T134" s="107"/>
      <c r="U134" s="106"/>
      <c r="V134" s="5"/>
    </row>
    <row r="135" spans="1:22" ht="15.6" x14ac:dyDescent="0.3">
      <c r="A135" s="2"/>
      <c r="B135" s="60" t="s">
        <v>45</v>
      </c>
      <c r="C135" s="4"/>
      <c r="D135" s="4"/>
      <c r="E135" s="4"/>
      <c r="F135" s="4"/>
      <c r="G135" s="4"/>
      <c r="H135" s="4"/>
      <c r="I135" s="4"/>
      <c r="J135" s="4"/>
      <c r="K135" s="4"/>
      <c r="L135" s="4"/>
      <c r="M135" s="4"/>
      <c r="N135" s="4"/>
      <c r="O135" s="4"/>
      <c r="P135" s="4"/>
      <c r="Q135" s="4"/>
      <c r="R135" s="4"/>
      <c r="S135" s="4"/>
      <c r="T135" s="50"/>
      <c r="U135" s="4"/>
      <c r="V135" s="5"/>
    </row>
    <row r="136" spans="1:22" ht="15.6" x14ac:dyDescent="0.3">
      <c r="A136" s="6"/>
      <c r="B136" s="21"/>
      <c r="C136" s="8"/>
      <c r="D136" s="8"/>
      <c r="E136" s="8"/>
      <c r="F136" s="8"/>
      <c r="G136" s="8"/>
      <c r="H136" s="8"/>
      <c r="I136" s="8"/>
      <c r="J136" s="8"/>
      <c r="K136" s="8"/>
      <c r="L136" s="8"/>
      <c r="M136" s="8"/>
      <c r="N136" s="8"/>
      <c r="O136" s="8"/>
      <c r="P136" s="8"/>
      <c r="Q136" s="8"/>
      <c r="R136" s="8"/>
      <c r="S136" s="8"/>
      <c r="T136" s="52"/>
      <c r="U136" s="8"/>
      <c r="V136" s="5"/>
    </row>
    <row r="137" spans="1:22" ht="15.6" x14ac:dyDescent="0.3">
      <c r="A137" s="6"/>
      <c r="B137" s="120" t="s">
        <v>46</v>
      </c>
      <c r="C137" s="8"/>
      <c r="D137" s="8"/>
      <c r="E137" s="8"/>
      <c r="F137" s="8"/>
      <c r="G137" s="8"/>
      <c r="H137" s="8"/>
      <c r="I137" s="8"/>
      <c r="J137" s="8"/>
      <c r="K137" s="8"/>
      <c r="L137" s="8"/>
      <c r="M137" s="8"/>
      <c r="N137" s="8"/>
      <c r="O137" s="8"/>
      <c r="P137" s="8"/>
      <c r="Q137" s="8"/>
      <c r="R137" s="8"/>
      <c r="S137" s="8"/>
      <c r="T137" s="52"/>
      <c r="U137" s="8"/>
      <c r="V137" s="5"/>
    </row>
    <row r="138" spans="1:22" ht="15.6" x14ac:dyDescent="0.3">
      <c r="A138" s="24"/>
      <c r="B138" s="25" t="s">
        <v>47</v>
      </c>
      <c r="C138" s="25"/>
      <c r="D138" s="25"/>
      <c r="E138" s="25"/>
      <c r="F138" s="25"/>
      <c r="G138" s="25"/>
      <c r="H138" s="25"/>
      <c r="I138" s="25"/>
      <c r="J138" s="25"/>
      <c r="K138" s="25"/>
      <c r="L138" s="25"/>
      <c r="M138" s="25"/>
      <c r="N138" s="25"/>
      <c r="O138" s="25"/>
      <c r="P138" s="25"/>
      <c r="Q138" s="25"/>
      <c r="R138" s="25"/>
      <c r="S138" s="25"/>
      <c r="T138" s="53">
        <f>+T32*0.0176</f>
        <v>12320</v>
      </c>
      <c r="U138" s="25"/>
      <c r="V138" s="5"/>
    </row>
    <row r="139" spans="1:22" ht="15.6" x14ac:dyDescent="0.3">
      <c r="A139" s="24"/>
      <c r="B139" s="25" t="s">
        <v>48</v>
      </c>
      <c r="C139" s="25"/>
      <c r="D139" s="25"/>
      <c r="E139" s="25"/>
      <c r="F139" s="25"/>
      <c r="G139" s="25"/>
      <c r="H139" s="25"/>
      <c r="I139" s="25"/>
      <c r="J139" s="25"/>
      <c r="K139" s="25"/>
      <c r="L139" s="25"/>
      <c r="M139" s="25"/>
      <c r="N139" s="25"/>
      <c r="O139" s="25"/>
      <c r="P139" s="25"/>
      <c r="Q139" s="25"/>
      <c r="R139" s="25"/>
      <c r="S139" s="25"/>
      <c r="T139" s="53">
        <v>12320</v>
      </c>
      <c r="U139" s="25"/>
      <c r="V139" s="5"/>
    </row>
    <row r="140" spans="1:22" ht="15.6" x14ac:dyDescent="0.3">
      <c r="A140" s="24"/>
      <c r="B140" s="25" t="s">
        <v>145</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132</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133</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232</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49</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138</v>
      </c>
      <c r="C145" s="25"/>
      <c r="D145" s="25"/>
      <c r="E145" s="25"/>
      <c r="F145" s="25"/>
      <c r="G145" s="25"/>
      <c r="H145" s="25"/>
      <c r="I145" s="25"/>
      <c r="J145" s="25"/>
      <c r="K145" s="25"/>
      <c r="L145" s="25"/>
      <c r="M145" s="25"/>
      <c r="N145" s="25"/>
      <c r="O145" s="25"/>
      <c r="P145" s="25"/>
      <c r="Q145" s="25"/>
      <c r="R145" s="25"/>
      <c r="S145" s="25"/>
      <c r="T145" s="53">
        <v>0</v>
      </c>
      <c r="U145" s="25"/>
      <c r="V145" s="5"/>
    </row>
    <row r="146" spans="1:23" ht="15.6" x14ac:dyDescent="0.3">
      <c r="A146" s="24"/>
      <c r="B146" s="25" t="s">
        <v>231</v>
      </c>
      <c r="C146" s="25"/>
      <c r="D146" s="25"/>
      <c r="E146" s="25"/>
      <c r="F146" s="25"/>
      <c r="G146" s="25"/>
      <c r="H146" s="25"/>
      <c r="I146" s="25"/>
      <c r="J146" s="25"/>
      <c r="K146" s="25"/>
      <c r="L146" s="25"/>
      <c r="M146" s="25"/>
      <c r="N146" s="25"/>
      <c r="O146" s="25"/>
      <c r="P146" s="25"/>
      <c r="Q146" s="25"/>
      <c r="R146" s="25"/>
      <c r="S146" s="25"/>
      <c r="T146" s="53">
        <v>0</v>
      </c>
      <c r="U146" s="25"/>
      <c r="V146" s="5"/>
      <c r="W146" s="110"/>
    </row>
    <row r="147" spans="1:23" ht="15.6" x14ac:dyDescent="0.3">
      <c r="A147" s="24"/>
      <c r="B147" s="25" t="s">
        <v>50</v>
      </c>
      <c r="C147" s="25"/>
      <c r="D147" s="25"/>
      <c r="E147" s="25"/>
      <c r="F147" s="25"/>
      <c r="G147" s="25"/>
      <c r="H147" s="25"/>
      <c r="I147" s="25"/>
      <c r="J147" s="25"/>
      <c r="K147" s="25"/>
      <c r="L147" s="25"/>
      <c r="M147" s="25"/>
      <c r="N147" s="25"/>
      <c r="O147" s="25"/>
      <c r="P147" s="25"/>
      <c r="Q147" s="25"/>
      <c r="R147" s="25"/>
      <c r="S147" s="25"/>
      <c r="T147" s="53">
        <f>SUM(T139:T146)</f>
        <v>12320</v>
      </c>
      <c r="U147" s="25"/>
      <c r="V147" s="5"/>
    </row>
    <row r="148" spans="1:23" ht="15.6" x14ac:dyDescent="0.3">
      <c r="A148" s="24"/>
      <c r="B148" s="25"/>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141" t="s">
        <v>264</v>
      </c>
      <c r="C149" s="25"/>
      <c r="D149" s="25"/>
      <c r="E149" s="25"/>
      <c r="F149" s="25"/>
      <c r="G149" s="25"/>
      <c r="H149" s="25"/>
      <c r="I149" s="25"/>
      <c r="J149" s="25"/>
      <c r="K149" s="25"/>
      <c r="L149" s="25"/>
      <c r="M149" s="25"/>
      <c r="N149" s="25"/>
      <c r="O149" s="25"/>
      <c r="P149" s="25"/>
      <c r="Q149" s="25"/>
      <c r="R149" s="25"/>
      <c r="S149" s="25"/>
      <c r="T149" s="53"/>
      <c r="U149" s="25"/>
      <c r="V149" s="5"/>
    </row>
    <row r="150" spans="1:23" ht="15.6" x14ac:dyDescent="0.3">
      <c r="A150" s="24"/>
      <c r="B150" s="25" t="s">
        <v>170</v>
      </c>
      <c r="C150" s="25"/>
      <c r="D150" s="25"/>
      <c r="E150" s="25"/>
      <c r="F150" s="25"/>
      <c r="G150" s="25"/>
      <c r="H150" s="25"/>
      <c r="I150" s="25"/>
      <c r="J150" s="25"/>
      <c r="K150" s="25"/>
      <c r="L150" s="25"/>
      <c r="M150" s="25"/>
      <c r="N150" s="25"/>
      <c r="O150" s="25"/>
      <c r="P150" s="25"/>
      <c r="Q150" s="25"/>
      <c r="R150" s="25"/>
      <c r="S150" s="25"/>
      <c r="T150" s="53">
        <v>10000</v>
      </c>
      <c r="U150" s="25"/>
      <c r="V150" s="5"/>
    </row>
    <row r="151" spans="1:23" ht="15.6" x14ac:dyDescent="0.3">
      <c r="A151" s="24"/>
      <c r="B151" s="25" t="s">
        <v>260</v>
      </c>
      <c r="C151" s="25"/>
      <c r="D151" s="25"/>
      <c r="E151" s="25"/>
      <c r="F151" s="25"/>
      <c r="G151" s="25"/>
      <c r="H151" s="25"/>
      <c r="I151" s="25"/>
      <c r="J151" s="25"/>
      <c r="K151" s="25"/>
      <c r="L151" s="25"/>
      <c r="M151" s="25"/>
      <c r="N151" s="25"/>
      <c r="O151" s="25"/>
      <c r="P151" s="25"/>
      <c r="Q151" s="25"/>
      <c r="R151" s="25"/>
      <c r="S151" s="25"/>
      <c r="T151" s="53">
        <v>6000</v>
      </c>
      <c r="U151" s="25"/>
      <c r="V151" s="5"/>
    </row>
    <row r="152" spans="1:23" ht="15.6" x14ac:dyDescent="0.3">
      <c r="A152" s="24"/>
      <c r="B152" s="25" t="s">
        <v>228</v>
      </c>
      <c r="C152" s="25"/>
      <c r="D152" s="25"/>
      <c r="E152" s="25"/>
      <c r="F152" s="25"/>
      <c r="G152" s="25"/>
      <c r="H152" s="25"/>
      <c r="I152" s="25"/>
      <c r="J152" s="25"/>
      <c r="K152" s="25"/>
      <c r="L152" s="25"/>
      <c r="M152" s="25"/>
      <c r="N152" s="25"/>
      <c r="O152" s="25"/>
      <c r="P152" s="25"/>
      <c r="Q152" s="25"/>
      <c r="R152" s="25"/>
      <c r="S152" s="25"/>
      <c r="T152" s="53">
        <v>0</v>
      </c>
      <c r="U152" s="25"/>
      <c r="V152" s="5"/>
    </row>
    <row r="153" spans="1:23" ht="15.6" x14ac:dyDescent="0.3">
      <c r="A153" s="24"/>
      <c r="B153" s="25" t="s">
        <v>266</v>
      </c>
      <c r="C153" s="25"/>
      <c r="D153" s="25"/>
      <c r="E153" s="25"/>
      <c r="F153" s="25"/>
      <c r="G153" s="25"/>
      <c r="H153" s="25"/>
      <c r="I153" s="25"/>
      <c r="J153" s="25"/>
      <c r="K153" s="25"/>
      <c r="L153" s="25"/>
      <c r="M153" s="25"/>
      <c r="N153" s="25"/>
      <c r="O153" s="25"/>
      <c r="P153" s="25"/>
      <c r="Q153" s="25"/>
      <c r="R153" s="25"/>
      <c r="S153" s="25"/>
      <c r="T153" s="53">
        <v>6000</v>
      </c>
      <c r="U153" s="25"/>
      <c r="V153" s="5"/>
    </row>
    <row r="154" spans="1:23" ht="15.6" x14ac:dyDescent="0.3">
      <c r="A154" s="24"/>
      <c r="B154" s="25"/>
      <c r="C154" s="25"/>
      <c r="D154" s="25"/>
      <c r="E154" s="25"/>
      <c r="F154" s="25"/>
      <c r="G154" s="25"/>
      <c r="H154" s="25"/>
      <c r="I154" s="25"/>
      <c r="J154" s="25"/>
      <c r="K154" s="25"/>
      <c r="L154" s="25"/>
      <c r="M154" s="25"/>
      <c r="N154" s="25"/>
      <c r="O154" s="25"/>
      <c r="P154" s="25"/>
      <c r="Q154" s="25"/>
      <c r="R154" s="25"/>
      <c r="S154" s="25"/>
      <c r="T154" s="53"/>
      <c r="U154" s="25"/>
      <c r="V154" s="5"/>
    </row>
    <row r="155" spans="1:23" ht="15.6" x14ac:dyDescent="0.3">
      <c r="A155" s="24"/>
      <c r="B155" s="25"/>
      <c r="C155" s="25"/>
      <c r="D155" s="25"/>
      <c r="E155" s="25"/>
      <c r="F155" s="25"/>
      <c r="G155" s="25"/>
      <c r="H155" s="25"/>
      <c r="I155" s="25"/>
      <c r="J155" s="25"/>
      <c r="K155" s="25"/>
      <c r="L155" s="25"/>
      <c r="M155" s="25"/>
      <c r="N155" s="25"/>
      <c r="O155" s="25"/>
      <c r="P155" s="25"/>
      <c r="Q155" s="25"/>
      <c r="R155" s="25"/>
      <c r="S155" s="25"/>
      <c r="T155" s="61"/>
      <c r="U155" s="25"/>
      <c r="V155" s="5"/>
    </row>
    <row r="156" spans="1:23" ht="15.6" x14ac:dyDescent="0.3">
      <c r="A156" s="6"/>
      <c r="B156" s="120" t="s">
        <v>25</v>
      </c>
      <c r="C156" s="8"/>
      <c r="D156" s="8"/>
      <c r="E156" s="8"/>
      <c r="F156" s="8"/>
      <c r="G156" s="8"/>
      <c r="H156" s="8"/>
      <c r="I156" s="8"/>
      <c r="J156" s="8"/>
      <c r="K156" s="8"/>
      <c r="L156" s="8"/>
      <c r="M156" s="8"/>
      <c r="N156" s="8"/>
      <c r="O156" s="8"/>
      <c r="P156" s="8"/>
      <c r="Q156" s="8"/>
      <c r="R156" s="8"/>
      <c r="S156" s="8"/>
      <c r="T156" s="52"/>
      <c r="U156" s="8"/>
      <c r="V156" s="5"/>
    </row>
    <row r="157" spans="1:23" ht="15.6" x14ac:dyDescent="0.3">
      <c r="A157" s="24"/>
      <c r="B157" s="25" t="s">
        <v>51</v>
      </c>
      <c r="C157" s="25"/>
      <c r="D157" s="25"/>
      <c r="E157" s="25"/>
      <c r="F157" s="25"/>
      <c r="G157" s="25"/>
      <c r="H157" s="25"/>
      <c r="I157" s="25"/>
      <c r="J157" s="25"/>
      <c r="K157" s="25"/>
      <c r="L157" s="25"/>
      <c r="M157" s="25"/>
      <c r="N157" s="25"/>
      <c r="O157" s="25"/>
      <c r="P157" s="25"/>
      <c r="Q157" s="25"/>
      <c r="R157" s="25"/>
      <c r="S157" s="25"/>
      <c r="T157" s="59" t="s">
        <v>127</v>
      </c>
      <c r="U157" s="25"/>
      <c r="V157" s="5"/>
    </row>
    <row r="158" spans="1:23" ht="15.6" x14ac:dyDescent="0.3">
      <c r="A158" s="24"/>
      <c r="B158" s="25" t="s">
        <v>52</v>
      </c>
      <c r="C158" s="160"/>
      <c r="D158" s="160"/>
      <c r="E158" s="160"/>
      <c r="F158" s="160"/>
      <c r="G158" s="160"/>
      <c r="H158" s="160"/>
      <c r="I158" s="160"/>
      <c r="J158" s="160"/>
      <c r="K158" s="160"/>
      <c r="L158" s="160"/>
      <c r="M158" s="160"/>
      <c r="N158" s="160"/>
      <c r="O158" s="160"/>
      <c r="P158" s="160"/>
      <c r="Q158" s="160"/>
      <c r="R158" s="160"/>
      <c r="S158" s="160"/>
      <c r="T158" s="59" t="s">
        <v>127</v>
      </c>
      <c r="U158" s="25"/>
      <c r="V158" s="5"/>
    </row>
    <row r="159" spans="1:23" ht="15.6" x14ac:dyDescent="0.3">
      <c r="A159" s="24"/>
      <c r="B159" s="25" t="s">
        <v>53</v>
      </c>
      <c r="C159" s="25"/>
      <c r="D159" s="25"/>
      <c r="E159" s="25"/>
      <c r="F159" s="25"/>
      <c r="G159" s="25"/>
      <c r="H159" s="25"/>
      <c r="I159" s="25"/>
      <c r="J159" s="25"/>
      <c r="K159" s="25"/>
      <c r="L159" s="25"/>
      <c r="M159" s="25"/>
      <c r="N159" s="25"/>
      <c r="O159" s="25"/>
      <c r="P159" s="25"/>
      <c r="Q159" s="25"/>
      <c r="R159" s="25"/>
      <c r="S159" s="25"/>
      <c r="T159" s="59" t="s">
        <v>127</v>
      </c>
      <c r="U159" s="25"/>
      <c r="V159" s="5"/>
    </row>
    <row r="160" spans="1:23" ht="15.6" x14ac:dyDescent="0.3">
      <c r="A160" s="24"/>
      <c r="B160" s="25" t="s">
        <v>54</v>
      </c>
      <c r="C160" s="25"/>
      <c r="D160" s="25"/>
      <c r="E160" s="25"/>
      <c r="F160" s="25"/>
      <c r="G160" s="25"/>
      <c r="H160" s="25"/>
      <c r="I160" s="25"/>
      <c r="J160" s="25"/>
      <c r="K160" s="25"/>
      <c r="L160" s="25"/>
      <c r="M160" s="25"/>
      <c r="N160" s="25"/>
      <c r="O160" s="25"/>
      <c r="P160" s="25"/>
      <c r="Q160" s="25"/>
      <c r="R160" s="25"/>
      <c r="S160" s="25"/>
      <c r="T160" s="59" t="s">
        <v>127</v>
      </c>
      <c r="U160" s="25"/>
      <c r="V160" s="5"/>
    </row>
    <row r="161" spans="1:22" ht="15.6" x14ac:dyDescent="0.3">
      <c r="A161" s="24"/>
      <c r="B161" s="25"/>
      <c r="C161" s="25"/>
      <c r="D161" s="25"/>
      <c r="E161" s="25"/>
      <c r="F161" s="25"/>
      <c r="G161" s="25"/>
      <c r="H161" s="25"/>
      <c r="I161" s="25"/>
      <c r="J161" s="25"/>
      <c r="K161" s="25"/>
      <c r="L161" s="25"/>
      <c r="M161" s="25"/>
      <c r="N161" s="25"/>
      <c r="O161" s="25"/>
      <c r="P161" s="25"/>
      <c r="Q161" s="25"/>
      <c r="R161" s="25"/>
      <c r="S161" s="25"/>
      <c r="T161" s="61"/>
      <c r="U161" s="25"/>
      <c r="V161" s="5"/>
    </row>
    <row r="162" spans="1:22" ht="15.6" x14ac:dyDescent="0.3">
      <c r="A162" s="6"/>
      <c r="B162" s="120" t="s">
        <v>55</v>
      </c>
      <c r="C162" s="8"/>
      <c r="D162" s="8"/>
      <c r="E162" s="8"/>
      <c r="F162" s="8"/>
      <c r="G162" s="8"/>
      <c r="H162" s="8"/>
      <c r="I162" s="8"/>
      <c r="J162" s="8"/>
      <c r="K162" s="8"/>
      <c r="L162" s="8"/>
      <c r="M162" s="8"/>
      <c r="N162" s="8"/>
      <c r="O162" s="8"/>
      <c r="P162" s="8"/>
      <c r="Q162" s="8"/>
      <c r="R162" s="8"/>
      <c r="S162" s="8"/>
      <c r="T162" s="63"/>
      <c r="U162" s="8"/>
      <c r="V162" s="5"/>
    </row>
    <row r="163" spans="1:22" ht="15.6" x14ac:dyDescent="0.3">
      <c r="A163" s="24"/>
      <c r="B163" s="25" t="s">
        <v>56</v>
      </c>
      <c r="C163" s="25"/>
      <c r="D163" s="25"/>
      <c r="E163" s="25"/>
      <c r="F163" s="25"/>
      <c r="G163" s="25"/>
      <c r="H163" s="25"/>
      <c r="I163" s="25"/>
      <c r="J163" s="25"/>
      <c r="K163" s="25"/>
      <c r="L163" s="25"/>
      <c r="M163" s="25"/>
      <c r="N163" s="25"/>
      <c r="O163" s="25"/>
      <c r="P163" s="25"/>
      <c r="Q163" s="25"/>
      <c r="R163" s="25"/>
      <c r="S163" s="25"/>
      <c r="T163" s="53">
        <v>0</v>
      </c>
      <c r="U163" s="25"/>
      <c r="V163" s="5"/>
    </row>
    <row r="164" spans="1:22" ht="15.6" x14ac:dyDescent="0.3">
      <c r="A164" s="24"/>
      <c r="B164" s="25" t="s">
        <v>57</v>
      </c>
      <c r="C164" s="25"/>
      <c r="D164" s="25"/>
      <c r="E164" s="25"/>
      <c r="F164" s="25"/>
      <c r="G164" s="25"/>
      <c r="H164" s="25"/>
      <c r="I164" s="25"/>
      <c r="J164" s="25"/>
      <c r="K164" s="25"/>
      <c r="L164" s="25"/>
      <c r="M164" s="25"/>
      <c r="N164" s="25"/>
      <c r="O164" s="25"/>
      <c r="P164" s="25"/>
      <c r="Q164" s="25"/>
      <c r="R164" s="25"/>
      <c r="S164" s="25"/>
      <c r="T164" s="53">
        <f>-T113</f>
        <v>334</v>
      </c>
      <c r="U164" s="25"/>
      <c r="V164" s="5"/>
    </row>
    <row r="165" spans="1:22" ht="15.6" x14ac:dyDescent="0.3">
      <c r="A165" s="24"/>
      <c r="B165" s="25" t="s">
        <v>58</v>
      </c>
      <c r="C165" s="25"/>
      <c r="D165" s="25"/>
      <c r="E165" s="25"/>
      <c r="F165" s="25"/>
      <c r="G165" s="25"/>
      <c r="H165" s="25"/>
      <c r="I165" s="25"/>
      <c r="J165" s="25"/>
      <c r="K165" s="25"/>
      <c r="L165" s="25"/>
      <c r="M165" s="25"/>
      <c r="N165" s="25"/>
      <c r="O165" s="25"/>
      <c r="P165" s="25"/>
      <c r="Q165" s="25"/>
      <c r="R165" s="25"/>
      <c r="S165" s="25"/>
      <c r="T165" s="53">
        <f>T164+T163</f>
        <v>334</v>
      </c>
      <c r="U165" s="25"/>
      <c r="V165" s="5"/>
    </row>
    <row r="166" spans="1:22" ht="15.6" x14ac:dyDescent="0.3">
      <c r="A166" s="24"/>
      <c r="B166" s="25" t="s">
        <v>309</v>
      </c>
      <c r="C166" s="25"/>
      <c r="D166" s="25"/>
      <c r="E166" s="25"/>
      <c r="F166" s="25"/>
      <c r="G166" s="25"/>
      <c r="H166" s="25"/>
      <c r="I166" s="25"/>
      <c r="J166" s="25"/>
      <c r="K166" s="25"/>
      <c r="L166" s="25"/>
      <c r="M166" s="25"/>
      <c r="N166" s="25"/>
      <c r="O166" s="25"/>
      <c r="P166" s="25"/>
      <c r="Q166" s="25"/>
      <c r="R166" s="25"/>
      <c r="S166" s="25"/>
      <c r="T166" s="53">
        <f>T113</f>
        <v>-334</v>
      </c>
      <c r="U166" s="25"/>
      <c r="V166" s="5"/>
    </row>
    <row r="167" spans="1:22" ht="15.6" x14ac:dyDescent="0.3">
      <c r="A167" s="24"/>
      <c r="B167" s="25" t="s">
        <v>59</v>
      </c>
      <c r="C167" s="25"/>
      <c r="D167" s="25"/>
      <c r="E167" s="25"/>
      <c r="F167" s="25"/>
      <c r="G167" s="25"/>
      <c r="H167" s="25"/>
      <c r="I167" s="25"/>
      <c r="J167" s="25"/>
      <c r="K167" s="25"/>
      <c r="L167" s="25"/>
      <c r="M167" s="25"/>
      <c r="N167" s="25"/>
      <c r="O167" s="25"/>
      <c r="P167" s="25"/>
      <c r="Q167" s="25"/>
      <c r="R167" s="25"/>
      <c r="S167" s="25"/>
      <c r="T167" s="53">
        <f>T165+T166</f>
        <v>0</v>
      </c>
      <c r="U167" s="25"/>
      <c r="V167" s="5"/>
    </row>
    <row r="168" spans="1:22" ht="16.2" thickBot="1" x14ac:dyDescent="0.35">
      <c r="A168" s="24"/>
      <c r="B168" s="25"/>
      <c r="C168" s="25"/>
      <c r="D168" s="25"/>
      <c r="E168" s="25"/>
      <c r="F168" s="25"/>
      <c r="G168" s="25"/>
      <c r="H168" s="25"/>
      <c r="I168" s="25"/>
      <c r="J168" s="25"/>
      <c r="K168" s="25"/>
      <c r="L168" s="25"/>
      <c r="M168" s="25"/>
      <c r="N168" s="25"/>
      <c r="O168" s="25"/>
      <c r="P168" s="25"/>
      <c r="Q168" s="25"/>
      <c r="R168" s="25"/>
      <c r="S168" s="25"/>
      <c r="T168" s="61"/>
      <c r="U168" s="25"/>
      <c r="V168" s="5"/>
    </row>
    <row r="169" spans="1:22" ht="15.6" x14ac:dyDescent="0.3">
      <c r="A169" s="2"/>
      <c r="B169" s="4"/>
      <c r="C169" s="4"/>
      <c r="D169" s="4"/>
      <c r="E169" s="4"/>
      <c r="F169" s="4"/>
      <c r="G169" s="4"/>
      <c r="H169" s="4"/>
      <c r="I169" s="4"/>
      <c r="J169" s="4"/>
      <c r="K169" s="4"/>
      <c r="L169" s="4"/>
      <c r="M169" s="4"/>
      <c r="N169" s="4"/>
      <c r="O169" s="4"/>
      <c r="P169" s="4"/>
      <c r="Q169" s="4"/>
      <c r="R169" s="4"/>
      <c r="S169" s="4"/>
      <c r="T169" s="50"/>
      <c r="U169" s="4"/>
      <c r="V169" s="5"/>
    </row>
    <row r="170" spans="1:22" ht="15.6" x14ac:dyDescent="0.3">
      <c r="A170" s="6"/>
      <c r="B170" s="120" t="s">
        <v>60</v>
      </c>
      <c r="C170" s="8"/>
      <c r="D170" s="8"/>
      <c r="E170" s="8"/>
      <c r="F170" s="8"/>
      <c r="G170" s="8"/>
      <c r="H170" s="8"/>
      <c r="I170" s="8"/>
      <c r="J170" s="8"/>
      <c r="K170" s="8"/>
      <c r="L170" s="8"/>
      <c r="M170" s="8"/>
      <c r="N170" s="8"/>
      <c r="O170" s="8"/>
      <c r="P170" s="8"/>
      <c r="Q170" s="8"/>
      <c r="R170" s="8"/>
      <c r="S170" s="8"/>
      <c r="T170" s="52"/>
      <c r="U170" s="8"/>
      <c r="V170" s="5"/>
    </row>
    <row r="171" spans="1:22" ht="15.6" x14ac:dyDescent="0.3">
      <c r="A171" s="6"/>
      <c r="B171" s="21"/>
      <c r="C171" s="8"/>
      <c r="D171" s="8"/>
      <c r="E171" s="8"/>
      <c r="F171" s="8"/>
      <c r="G171" s="8"/>
      <c r="H171" s="8"/>
      <c r="I171" s="8"/>
      <c r="J171" s="8"/>
      <c r="K171" s="8"/>
      <c r="L171" s="8"/>
      <c r="M171" s="8"/>
      <c r="N171" s="8"/>
      <c r="O171" s="8"/>
      <c r="P171" s="8"/>
      <c r="Q171" s="8"/>
      <c r="R171" s="8"/>
      <c r="S171" s="8"/>
      <c r="T171" s="52"/>
      <c r="U171" s="8"/>
      <c r="V171" s="5"/>
    </row>
    <row r="172" spans="1:22" ht="15.6" x14ac:dyDescent="0.3">
      <c r="A172" s="24"/>
      <c r="B172" s="25" t="s">
        <v>61</v>
      </c>
      <c r="C172" s="25"/>
      <c r="D172" s="25"/>
      <c r="E172" s="25"/>
      <c r="F172" s="25"/>
      <c r="G172" s="25"/>
      <c r="H172" s="25"/>
      <c r="I172" s="25"/>
      <c r="J172" s="25"/>
      <c r="K172" s="25"/>
      <c r="L172" s="25"/>
      <c r="M172" s="25"/>
      <c r="N172" s="25"/>
      <c r="O172" s="25"/>
      <c r="P172" s="25"/>
      <c r="Q172" s="25"/>
      <c r="R172" s="25"/>
      <c r="S172" s="25"/>
      <c r="T172" s="53">
        <f>T69</f>
        <v>339248</v>
      </c>
      <c r="U172" s="25"/>
      <c r="V172" s="5"/>
    </row>
    <row r="173" spans="1:22" ht="15.6" x14ac:dyDescent="0.3">
      <c r="A173" s="24"/>
      <c r="B173" s="25" t="s">
        <v>62</v>
      </c>
      <c r="C173" s="25"/>
      <c r="D173" s="25"/>
      <c r="E173" s="25"/>
      <c r="F173" s="25"/>
      <c r="G173" s="25"/>
      <c r="H173" s="25"/>
      <c r="I173" s="25"/>
      <c r="J173" s="25"/>
      <c r="K173" s="25"/>
      <c r="L173" s="25"/>
      <c r="M173" s="25"/>
      <c r="N173" s="25"/>
      <c r="O173" s="25"/>
      <c r="P173" s="25"/>
      <c r="Q173" s="25"/>
      <c r="R173" s="25"/>
      <c r="S173" s="25"/>
      <c r="T173" s="53">
        <f>T82</f>
        <v>339248</v>
      </c>
      <c r="U173" s="25"/>
      <c r="V173" s="5"/>
    </row>
    <row r="174" spans="1:22" ht="16.2" thickBot="1" x14ac:dyDescent="0.35">
      <c r="A174" s="24"/>
      <c r="B174" s="25"/>
      <c r="C174" s="25"/>
      <c r="D174" s="25"/>
      <c r="E174" s="25"/>
      <c r="F174" s="25"/>
      <c r="G174" s="25"/>
      <c r="H174" s="25"/>
      <c r="I174" s="25"/>
      <c r="J174" s="25"/>
      <c r="K174" s="25"/>
      <c r="L174" s="25"/>
      <c r="M174" s="25"/>
      <c r="N174" s="25"/>
      <c r="O174" s="25"/>
      <c r="P174" s="25"/>
      <c r="Q174" s="25"/>
      <c r="R174" s="25"/>
      <c r="S174" s="25"/>
      <c r="T174" s="61"/>
      <c r="U174" s="25"/>
      <c r="V174" s="5"/>
    </row>
    <row r="175" spans="1:22" ht="15.6" x14ac:dyDescent="0.3">
      <c r="A175" s="2"/>
      <c r="B175" s="4"/>
      <c r="C175" s="4"/>
      <c r="D175" s="4"/>
      <c r="E175" s="4"/>
      <c r="F175" s="4"/>
      <c r="G175" s="4"/>
      <c r="H175" s="4"/>
      <c r="I175" s="4"/>
      <c r="J175" s="4"/>
      <c r="K175" s="4"/>
      <c r="L175" s="4"/>
      <c r="M175" s="4"/>
      <c r="N175" s="4"/>
      <c r="O175" s="4"/>
      <c r="P175" s="4"/>
      <c r="Q175" s="4"/>
      <c r="R175" s="4"/>
      <c r="S175" s="4"/>
      <c r="T175" s="50"/>
      <c r="U175" s="4"/>
      <c r="V175" s="5"/>
    </row>
    <row r="176" spans="1:22" ht="15.6" x14ac:dyDescent="0.3">
      <c r="A176" s="6"/>
      <c r="B176" s="120" t="s">
        <v>63</v>
      </c>
      <c r="C176" s="118"/>
      <c r="D176" s="118"/>
      <c r="E176" s="118"/>
      <c r="F176" s="118"/>
      <c r="G176" s="118"/>
      <c r="H176" s="121"/>
      <c r="I176" s="121"/>
      <c r="J176" s="121"/>
      <c r="K176" s="121"/>
      <c r="L176" s="121"/>
      <c r="M176" s="121"/>
      <c r="N176" s="121"/>
      <c r="O176" s="121"/>
      <c r="P176" s="121"/>
      <c r="Q176" s="121" t="s">
        <v>107</v>
      </c>
      <c r="R176" s="121" t="s">
        <v>234</v>
      </c>
      <c r="S176" s="112"/>
      <c r="T176" s="122" t="s">
        <v>123</v>
      </c>
      <c r="U176" s="10"/>
      <c r="V176" s="5"/>
    </row>
    <row r="177" spans="1:22" ht="15.6" x14ac:dyDescent="0.3">
      <c r="A177" s="24"/>
      <c r="B177" s="25" t="s">
        <v>64</v>
      </c>
      <c r="C177" s="25"/>
      <c r="D177" s="25"/>
      <c r="E177" s="25"/>
      <c r="F177" s="25"/>
      <c r="G177" s="25"/>
      <c r="H177" s="25"/>
      <c r="I177" s="25"/>
      <c r="J177" s="25"/>
      <c r="K177" s="25"/>
      <c r="L177" s="25"/>
      <c r="M177" s="25"/>
      <c r="N177" s="25"/>
      <c r="O177" s="25"/>
      <c r="P177" s="25"/>
      <c r="Q177" s="53">
        <v>112000</v>
      </c>
      <c r="R177" s="40"/>
      <c r="S177" s="25"/>
      <c r="T177" s="53"/>
      <c r="U177" s="25"/>
      <c r="V177" s="5"/>
    </row>
    <row r="178" spans="1:22" ht="15.6" x14ac:dyDescent="0.3">
      <c r="A178" s="24"/>
      <c r="B178" s="25" t="s">
        <v>65</v>
      </c>
      <c r="C178" s="25"/>
      <c r="D178" s="25"/>
      <c r="E178" s="25"/>
      <c r="F178" s="25"/>
      <c r="G178" s="25"/>
      <c r="H178" s="25"/>
      <c r="I178" s="25"/>
      <c r="J178" s="25"/>
      <c r="K178" s="25"/>
      <c r="L178" s="25"/>
      <c r="M178" s="25"/>
      <c r="N178" s="25"/>
      <c r="O178" s="25"/>
      <c r="P178" s="25"/>
      <c r="Q178" s="53">
        <f>+'Jan 09'!Q180</f>
        <v>42730</v>
      </c>
      <c r="R178" s="53">
        <f>+'Jan 09'!R180</f>
        <v>2399</v>
      </c>
      <c r="S178" s="25"/>
      <c r="T178" s="53">
        <f>Q178+R178</f>
        <v>45129</v>
      </c>
      <c r="U178" s="25"/>
      <c r="V178" s="5"/>
    </row>
    <row r="179" spans="1:22" ht="15.6" x14ac:dyDescent="0.3">
      <c r="A179" s="24"/>
      <c r="B179" s="25" t="s">
        <v>66</v>
      </c>
      <c r="C179" s="25"/>
      <c r="D179" s="25"/>
      <c r="E179" s="25"/>
      <c r="F179" s="25"/>
      <c r="G179" s="25"/>
      <c r="H179" s="25"/>
      <c r="I179" s="25"/>
      <c r="J179" s="25"/>
      <c r="K179" s="25"/>
      <c r="L179" s="25"/>
      <c r="M179" s="25"/>
      <c r="N179" s="25"/>
      <c r="O179" s="25"/>
      <c r="P179" s="25"/>
      <c r="Q179" s="34">
        <f>380+2</f>
        <v>382</v>
      </c>
      <c r="R179" s="34">
        <v>8</v>
      </c>
      <c r="S179" s="25"/>
      <c r="T179" s="53">
        <f>Q179+R179</f>
        <v>390</v>
      </c>
      <c r="U179" s="25"/>
      <c r="V179" s="5"/>
    </row>
    <row r="180" spans="1:22" ht="15.6" x14ac:dyDescent="0.3">
      <c r="A180" s="24"/>
      <c r="B180" s="25" t="s">
        <v>67</v>
      </c>
      <c r="C180" s="25"/>
      <c r="D180" s="25"/>
      <c r="E180" s="25"/>
      <c r="F180" s="25"/>
      <c r="G180" s="25"/>
      <c r="H180" s="25"/>
      <c r="I180" s="25"/>
      <c r="J180" s="25"/>
      <c r="K180" s="25"/>
      <c r="L180" s="25"/>
      <c r="M180" s="25"/>
      <c r="N180" s="25"/>
      <c r="O180" s="25"/>
      <c r="P180" s="25"/>
      <c r="Q180" s="53">
        <f>Q178+Q179</f>
        <v>43112</v>
      </c>
      <c r="R180" s="53">
        <f>R179+R178</f>
        <v>2407</v>
      </c>
      <c r="S180" s="25"/>
      <c r="T180" s="53">
        <f>Q180+R180</f>
        <v>45519</v>
      </c>
      <c r="U180" s="25"/>
      <c r="V180" s="5"/>
    </row>
    <row r="181" spans="1:22" ht="15.6" x14ac:dyDescent="0.3">
      <c r="A181" s="24"/>
      <c r="B181" s="25" t="s">
        <v>68</v>
      </c>
      <c r="C181" s="25"/>
      <c r="D181" s="25"/>
      <c r="E181" s="25"/>
      <c r="F181" s="25"/>
      <c r="G181" s="25"/>
      <c r="H181" s="25"/>
      <c r="I181" s="25"/>
      <c r="J181" s="25"/>
      <c r="K181" s="25"/>
      <c r="L181" s="25"/>
      <c r="M181" s="25"/>
      <c r="N181" s="25"/>
      <c r="O181" s="25"/>
      <c r="P181" s="25"/>
      <c r="Q181" s="53">
        <f>Q177-Q180-R180</f>
        <v>66481</v>
      </c>
      <c r="R181" s="40"/>
      <c r="S181" s="25"/>
      <c r="T181" s="53"/>
      <c r="U181" s="25"/>
      <c r="V181" s="5"/>
    </row>
    <row r="182" spans="1:22" ht="16.2" thickBot="1" x14ac:dyDescent="0.35">
      <c r="A182" s="24"/>
      <c r="B182" s="25"/>
      <c r="C182" s="25"/>
      <c r="D182" s="25"/>
      <c r="E182" s="25"/>
      <c r="F182" s="25"/>
      <c r="G182" s="25"/>
      <c r="H182" s="25"/>
      <c r="I182" s="25"/>
      <c r="J182" s="25"/>
      <c r="K182" s="25"/>
      <c r="L182" s="25"/>
      <c r="M182" s="25"/>
      <c r="N182" s="25"/>
      <c r="O182" s="25"/>
      <c r="P182" s="25"/>
      <c r="Q182" s="25"/>
      <c r="R182" s="25"/>
      <c r="S182" s="25"/>
      <c r="T182" s="61"/>
      <c r="U182" s="25"/>
      <c r="V182" s="5"/>
    </row>
    <row r="183" spans="1:22" ht="15.6" x14ac:dyDescent="0.3">
      <c r="A183" s="2"/>
      <c r="B183" s="4"/>
      <c r="C183" s="4"/>
      <c r="D183" s="4"/>
      <c r="E183" s="4"/>
      <c r="F183" s="4"/>
      <c r="G183" s="4"/>
      <c r="H183" s="4"/>
      <c r="I183" s="4"/>
      <c r="J183" s="4"/>
      <c r="K183" s="4"/>
      <c r="L183" s="4"/>
      <c r="M183" s="4"/>
      <c r="N183" s="4"/>
      <c r="O183" s="4"/>
      <c r="P183" s="4"/>
      <c r="Q183" s="4"/>
      <c r="R183" s="4"/>
      <c r="S183" s="4"/>
      <c r="T183" s="50"/>
      <c r="U183" s="4"/>
      <c r="V183" s="5"/>
    </row>
    <row r="184" spans="1:22" ht="15.6" x14ac:dyDescent="0.3">
      <c r="A184" s="6"/>
      <c r="B184" s="120" t="s">
        <v>69</v>
      </c>
      <c r="C184" s="8"/>
      <c r="D184" s="8"/>
      <c r="E184" s="8"/>
      <c r="F184" s="8"/>
      <c r="G184" s="8"/>
      <c r="H184" s="8"/>
      <c r="I184" s="8"/>
      <c r="J184" s="8"/>
      <c r="K184" s="8"/>
      <c r="L184" s="8"/>
      <c r="M184" s="8"/>
      <c r="N184" s="8"/>
      <c r="O184" s="8"/>
      <c r="P184" s="8"/>
      <c r="Q184" s="8"/>
      <c r="R184" s="8"/>
      <c r="S184" s="8"/>
      <c r="T184" s="65"/>
      <c r="U184" s="8"/>
      <c r="V184" s="5"/>
    </row>
    <row r="185" spans="1:22" ht="15.6" x14ac:dyDescent="0.3">
      <c r="A185" s="24"/>
      <c r="B185" s="25" t="s">
        <v>70</v>
      </c>
      <c r="C185" s="25"/>
      <c r="D185" s="25"/>
      <c r="E185" s="25"/>
      <c r="F185" s="25"/>
      <c r="G185" s="25"/>
      <c r="H185" s="25"/>
      <c r="I185" s="25"/>
      <c r="J185" s="25"/>
      <c r="K185" s="25"/>
      <c r="L185" s="25"/>
      <c r="M185" s="25"/>
      <c r="N185" s="25"/>
      <c r="O185" s="25"/>
      <c r="P185" s="25"/>
      <c r="Q185" s="25"/>
      <c r="R185" s="25"/>
      <c r="S185" s="25"/>
      <c r="T185" s="59">
        <f>(T98+T100+T101+T102+T103+T104)/-(T105+T106+T107)</f>
        <v>2.1974877878576411</v>
      </c>
      <c r="U185" s="25" t="s">
        <v>124</v>
      </c>
      <c r="V185" s="5"/>
    </row>
    <row r="186" spans="1:22" ht="15.6" x14ac:dyDescent="0.3">
      <c r="A186" s="24"/>
      <c r="B186" s="25" t="s">
        <v>71</v>
      </c>
      <c r="C186" s="25"/>
      <c r="D186" s="25"/>
      <c r="E186" s="25"/>
      <c r="F186" s="25"/>
      <c r="G186" s="25"/>
      <c r="H186" s="25"/>
      <c r="I186" s="25"/>
      <c r="J186" s="25"/>
      <c r="K186" s="25"/>
      <c r="L186" s="25"/>
      <c r="M186" s="25"/>
      <c r="N186" s="25"/>
      <c r="O186" s="25"/>
      <c r="P186" s="25"/>
      <c r="Q186" s="25"/>
      <c r="R186" s="25"/>
      <c r="S186" s="25"/>
      <c r="T186" s="66">
        <v>1.41</v>
      </c>
      <c r="U186" s="25" t="s">
        <v>124</v>
      </c>
      <c r="V186" s="5"/>
    </row>
    <row r="187" spans="1:22" ht="15.6" x14ac:dyDescent="0.3">
      <c r="A187" s="24"/>
      <c r="B187" s="25" t="s">
        <v>72</v>
      </c>
      <c r="C187" s="25"/>
      <c r="D187" s="25"/>
      <c r="E187" s="25"/>
      <c r="F187" s="25"/>
      <c r="G187" s="25"/>
      <c r="H187" s="25"/>
      <c r="I187" s="25"/>
      <c r="J187" s="25"/>
      <c r="K187" s="25"/>
      <c r="L187" s="25"/>
      <c r="M187" s="25"/>
      <c r="N187" s="25"/>
      <c r="O187" s="25"/>
      <c r="P187" s="25"/>
      <c r="Q187" s="25"/>
      <c r="R187" s="25"/>
      <c r="S187" s="25"/>
      <c r="T187" s="59">
        <f>(T98+T100+T101+T102+T103+T104+T105+T106+T107)/-(T108+T109)</f>
        <v>11.142857142857142</v>
      </c>
      <c r="U187" s="25" t="s">
        <v>124</v>
      </c>
      <c r="V187" s="5"/>
    </row>
    <row r="188" spans="1:22" ht="15.6" x14ac:dyDescent="0.3">
      <c r="A188" s="24"/>
      <c r="B188" s="25" t="s">
        <v>73</v>
      </c>
      <c r="C188" s="25"/>
      <c r="D188" s="25"/>
      <c r="E188" s="25"/>
      <c r="F188" s="25"/>
      <c r="G188" s="25"/>
      <c r="H188" s="25"/>
      <c r="I188" s="25"/>
      <c r="J188" s="25"/>
      <c r="K188" s="25"/>
      <c r="L188" s="25"/>
      <c r="M188" s="25"/>
      <c r="N188" s="25"/>
      <c r="O188" s="25"/>
      <c r="P188" s="25"/>
      <c r="Q188" s="25"/>
      <c r="R188" s="25"/>
      <c r="S188" s="25"/>
      <c r="T188" s="67">
        <v>6.74</v>
      </c>
      <c r="U188" s="25" t="s">
        <v>124</v>
      </c>
      <c r="V188" s="5"/>
    </row>
    <row r="189" spans="1:22" ht="15.6" x14ac:dyDescent="0.3">
      <c r="A189" s="24"/>
      <c r="B189" s="25" t="s">
        <v>243</v>
      </c>
      <c r="C189" s="25"/>
      <c r="D189" s="25"/>
      <c r="E189" s="25"/>
      <c r="F189" s="25"/>
      <c r="G189" s="25"/>
      <c r="H189" s="25"/>
      <c r="I189" s="25"/>
      <c r="J189" s="25"/>
      <c r="K189" s="25"/>
      <c r="L189" s="25"/>
      <c r="M189" s="25"/>
      <c r="N189" s="25"/>
      <c r="O189" s="25"/>
      <c r="P189" s="25"/>
      <c r="Q189" s="25"/>
      <c r="R189" s="25"/>
      <c r="S189" s="25"/>
      <c r="T189" s="59">
        <f>(T98+T100+T101+T102+T103+T104+T105+T106+T107+T108+T109)/-(T110+T111)</f>
        <v>5.1721854304635766</v>
      </c>
      <c r="U189" s="25" t="s">
        <v>124</v>
      </c>
      <c r="V189" s="5"/>
    </row>
    <row r="190" spans="1:22" ht="15.6" x14ac:dyDescent="0.3">
      <c r="A190" s="24"/>
      <c r="B190" s="25" t="s">
        <v>244</v>
      </c>
      <c r="C190" s="25"/>
      <c r="D190" s="25"/>
      <c r="E190" s="25"/>
      <c r="F190" s="25"/>
      <c r="G190" s="25"/>
      <c r="H190" s="25"/>
      <c r="I190" s="25"/>
      <c r="J190" s="25"/>
      <c r="K190" s="25"/>
      <c r="L190" s="25"/>
      <c r="M190" s="25"/>
      <c r="N190" s="25"/>
      <c r="O190" s="25"/>
      <c r="P190" s="25"/>
      <c r="Q190" s="25"/>
      <c r="R190" s="25"/>
      <c r="S190" s="25"/>
      <c r="T190" s="67">
        <v>3.1</v>
      </c>
      <c r="U190" s="25" t="s">
        <v>124</v>
      </c>
      <c r="V190" s="5"/>
    </row>
    <row r="191" spans="1:22"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5"/>
    </row>
    <row r="193" spans="1:22" ht="15.6" x14ac:dyDescent="0.3">
      <c r="A193" s="6"/>
      <c r="B193" s="8"/>
      <c r="C193" s="8"/>
      <c r="D193" s="8"/>
      <c r="E193" s="8"/>
      <c r="F193" s="8"/>
      <c r="G193" s="8"/>
      <c r="H193" s="8"/>
      <c r="I193" s="8"/>
      <c r="J193" s="8"/>
      <c r="K193" s="8"/>
      <c r="L193" s="8"/>
      <c r="M193" s="8"/>
      <c r="N193" s="8"/>
      <c r="O193" s="8"/>
      <c r="P193" s="8"/>
      <c r="Q193" s="8"/>
      <c r="R193" s="8"/>
      <c r="S193" s="8"/>
      <c r="T193" s="8"/>
      <c r="U193" s="8"/>
      <c r="V193" s="5"/>
    </row>
    <row r="194" spans="1:22" ht="18" thickBot="1" x14ac:dyDescent="0.35">
      <c r="A194" s="102"/>
      <c r="B194" s="103" t="str">
        <f>B134</f>
        <v>PM9 INVESTOR REPORT QUARTER ENDING APRIL 2009</v>
      </c>
      <c r="C194" s="162"/>
      <c r="D194" s="162"/>
      <c r="E194" s="162"/>
      <c r="F194" s="162"/>
      <c r="G194" s="162"/>
      <c r="H194" s="162"/>
      <c r="I194" s="162"/>
      <c r="J194" s="162"/>
      <c r="K194" s="162"/>
      <c r="L194" s="162"/>
      <c r="M194" s="162"/>
      <c r="N194" s="162"/>
      <c r="O194" s="162"/>
      <c r="P194" s="162"/>
      <c r="Q194" s="162"/>
      <c r="R194" s="162"/>
      <c r="S194" s="162"/>
      <c r="T194" s="162"/>
      <c r="U194" s="163"/>
      <c r="V194" s="5"/>
    </row>
    <row r="195" spans="1:22" ht="15.6" x14ac:dyDescent="0.3">
      <c r="A195" s="68"/>
      <c r="B195" s="60" t="s">
        <v>74</v>
      </c>
      <c r="C195" s="69"/>
      <c r="D195" s="69"/>
      <c r="E195" s="69"/>
      <c r="F195" s="69"/>
      <c r="G195" s="70"/>
      <c r="H195" s="70"/>
      <c r="I195" s="70"/>
      <c r="J195" s="70"/>
      <c r="K195" s="70"/>
      <c r="L195" s="70"/>
      <c r="M195" s="70"/>
      <c r="N195" s="70"/>
      <c r="O195" s="70"/>
      <c r="P195" s="70"/>
      <c r="Q195" s="70"/>
      <c r="R195" s="71">
        <v>39933</v>
      </c>
      <c r="S195" s="4"/>
      <c r="T195" s="4"/>
      <c r="U195" s="4"/>
      <c r="V195" s="5"/>
    </row>
    <row r="196" spans="1:22" ht="15.6" x14ac:dyDescent="0.3">
      <c r="A196" s="72"/>
      <c r="B196" s="73"/>
      <c r="C196" s="74"/>
      <c r="D196" s="74"/>
      <c r="E196" s="74"/>
      <c r="F196" s="74"/>
      <c r="G196" s="75"/>
      <c r="H196" s="75"/>
      <c r="I196" s="75"/>
      <c r="J196" s="75"/>
      <c r="K196" s="75"/>
      <c r="L196" s="75"/>
      <c r="M196" s="75"/>
      <c r="N196" s="75"/>
      <c r="O196" s="75"/>
      <c r="P196" s="75"/>
      <c r="Q196" s="75"/>
      <c r="R196" s="75"/>
      <c r="S196" s="8"/>
      <c r="T196" s="8"/>
      <c r="U196" s="8"/>
      <c r="V196" s="5"/>
    </row>
    <row r="197" spans="1:22" ht="15.6" x14ac:dyDescent="0.3">
      <c r="A197" s="76"/>
      <c r="B197" s="77" t="s">
        <v>75</v>
      </c>
      <c r="C197" s="78"/>
      <c r="D197" s="78"/>
      <c r="E197" s="78"/>
      <c r="F197" s="78"/>
      <c r="G197" s="64"/>
      <c r="H197" s="64"/>
      <c r="I197" s="64"/>
      <c r="J197" s="64"/>
      <c r="K197" s="64"/>
      <c r="L197" s="64"/>
      <c r="M197" s="64"/>
      <c r="N197" s="64"/>
      <c r="O197" s="64"/>
      <c r="P197" s="64"/>
      <c r="Q197" s="64"/>
      <c r="R197" s="79">
        <v>5.8209999999999998E-2</v>
      </c>
      <c r="S197" s="25"/>
      <c r="T197" s="25"/>
      <c r="U197" s="25"/>
      <c r="V197" s="5"/>
    </row>
    <row r="198" spans="1:22" ht="15.6" x14ac:dyDescent="0.3">
      <c r="A198" s="76"/>
      <c r="B198" s="77" t="s">
        <v>164</v>
      </c>
      <c r="C198" s="78"/>
      <c r="D198" s="78"/>
      <c r="E198" s="78"/>
      <c r="F198" s="78"/>
      <c r="G198" s="64"/>
      <c r="H198" s="64"/>
      <c r="I198" s="64"/>
      <c r="J198" s="64"/>
      <c r="K198" s="64"/>
      <c r="L198" s="64"/>
      <c r="M198" s="64"/>
      <c r="N198" s="64"/>
      <c r="O198" s="64"/>
      <c r="P198" s="64"/>
      <c r="Q198" s="64"/>
      <c r="R198" s="39">
        <f>'Oct 05'!R193</f>
        <v>4.8438496428571419E-2</v>
      </c>
      <c r="S198" s="25"/>
      <c r="T198" s="25"/>
      <c r="U198" s="25"/>
      <c r="V198" s="5"/>
    </row>
    <row r="199" spans="1:22" ht="15.6" x14ac:dyDescent="0.3">
      <c r="A199" s="76"/>
      <c r="B199" s="77" t="s">
        <v>76</v>
      </c>
      <c r="C199" s="78"/>
      <c r="D199" s="78"/>
      <c r="E199" s="78"/>
      <c r="F199" s="78"/>
      <c r="G199" s="64"/>
      <c r="H199" s="64"/>
      <c r="I199" s="64"/>
      <c r="J199" s="64"/>
      <c r="K199" s="64"/>
      <c r="L199" s="64"/>
      <c r="M199" s="64"/>
      <c r="N199" s="64"/>
      <c r="O199" s="64"/>
      <c r="P199" s="64"/>
      <c r="Q199" s="64"/>
      <c r="R199" s="79">
        <f>R197-R198</f>
        <v>9.7715035714285789E-3</v>
      </c>
      <c r="S199" s="25"/>
      <c r="T199" s="25"/>
      <c r="U199" s="25"/>
      <c r="V199" s="5"/>
    </row>
    <row r="200" spans="1:22" ht="15.6" x14ac:dyDescent="0.3">
      <c r="A200" s="76"/>
      <c r="B200" s="77" t="s">
        <v>77</v>
      </c>
      <c r="C200" s="78"/>
      <c r="D200" s="78"/>
      <c r="E200" s="78"/>
      <c r="F200" s="78"/>
      <c r="G200" s="64"/>
      <c r="H200" s="64"/>
      <c r="I200" s="64"/>
      <c r="J200" s="64"/>
      <c r="K200" s="64"/>
      <c r="L200" s="64"/>
      <c r="M200" s="64"/>
      <c r="N200" s="64"/>
      <c r="O200" s="64"/>
      <c r="P200" s="64"/>
      <c r="Q200" s="64"/>
      <c r="R200" s="79">
        <v>4.0649999999999999E-2</v>
      </c>
      <c r="S200" s="25"/>
      <c r="T200" s="25"/>
      <c r="U200" s="25"/>
      <c r="V200" s="5"/>
    </row>
    <row r="201" spans="1:22" ht="15.6" x14ac:dyDescent="0.3">
      <c r="A201" s="76"/>
      <c r="B201" s="77" t="s">
        <v>257</v>
      </c>
      <c r="C201" s="78"/>
      <c r="D201" s="78"/>
      <c r="E201" s="78"/>
      <c r="F201" s="78"/>
      <c r="G201" s="64"/>
      <c r="H201" s="64"/>
      <c r="I201" s="64"/>
      <c r="J201" s="64"/>
      <c r="K201" s="64"/>
      <c r="L201" s="64"/>
      <c r="M201" s="64"/>
      <c r="N201" s="64"/>
      <c r="O201" s="64"/>
      <c r="P201" s="64"/>
      <c r="Q201" s="64"/>
      <c r="R201" s="79">
        <f>+T41</f>
        <v>2.3106877197690563E-2</v>
      </c>
      <c r="S201" s="25"/>
      <c r="T201" s="25"/>
      <c r="U201" s="25"/>
      <c r="V201" s="5"/>
    </row>
    <row r="202" spans="1:22" ht="15.6" x14ac:dyDescent="0.3">
      <c r="A202" s="76"/>
      <c r="B202" s="77" t="s">
        <v>78</v>
      </c>
      <c r="C202" s="78"/>
      <c r="D202" s="78"/>
      <c r="E202" s="78"/>
      <c r="F202" s="78"/>
      <c r="G202" s="64"/>
      <c r="H202" s="64"/>
      <c r="I202" s="64"/>
      <c r="J202" s="64"/>
      <c r="K202" s="64"/>
      <c r="L202" s="64"/>
      <c r="M202" s="64"/>
      <c r="N202" s="64"/>
      <c r="O202" s="64"/>
      <c r="P202" s="64"/>
      <c r="Q202" s="64"/>
      <c r="R202" s="79">
        <f>R200-R201</f>
        <v>1.7543122802309435E-2</v>
      </c>
      <c r="S202" s="25"/>
      <c r="T202" s="25"/>
      <c r="U202" s="25"/>
      <c r="V202" s="5"/>
    </row>
    <row r="203" spans="1:22" ht="15.6" x14ac:dyDescent="0.3">
      <c r="A203" s="76"/>
      <c r="B203" s="77" t="s">
        <v>268</v>
      </c>
      <c r="C203" s="78"/>
      <c r="D203" s="78"/>
      <c r="E203" s="78"/>
      <c r="F203" s="78"/>
      <c r="G203" s="64"/>
      <c r="H203" s="64"/>
      <c r="I203" s="64"/>
      <c r="J203" s="64"/>
      <c r="K203" s="64"/>
      <c r="L203" s="64"/>
      <c r="M203" s="64"/>
      <c r="N203" s="64"/>
      <c r="O203" s="64"/>
      <c r="P203" s="64"/>
      <c r="Q203" s="64"/>
      <c r="R203" s="79">
        <f>+T98/L69</f>
        <v>1.2323948792521121E-2</v>
      </c>
      <c r="S203" s="25"/>
      <c r="T203" s="25"/>
      <c r="U203" s="25"/>
      <c r="V203" s="5"/>
    </row>
    <row r="204" spans="1:22" ht="15.6" x14ac:dyDescent="0.3">
      <c r="A204" s="76"/>
      <c r="B204" s="77" t="s">
        <v>249</v>
      </c>
      <c r="C204" s="78"/>
      <c r="D204" s="78"/>
      <c r="E204" s="78"/>
      <c r="F204" s="78"/>
      <c r="G204" s="64"/>
      <c r="H204" s="64"/>
      <c r="I204" s="64"/>
      <c r="J204" s="64"/>
      <c r="K204" s="64"/>
      <c r="L204" s="64"/>
      <c r="M204" s="64"/>
      <c r="N204" s="64"/>
      <c r="O204" s="64"/>
      <c r="P204" s="64"/>
      <c r="Q204" s="64"/>
      <c r="R204" s="132">
        <v>51622</v>
      </c>
      <c r="S204" s="25"/>
      <c r="T204" s="25"/>
      <c r="U204" s="25"/>
      <c r="V204" s="5"/>
    </row>
    <row r="205" spans="1:22" ht="15.6" x14ac:dyDescent="0.3">
      <c r="A205" s="76"/>
      <c r="B205" s="77" t="s">
        <v>250</v>
      </c>
      <c r="C205" s="78"/>
      <c r="D205" s="78"/>
      <c r="E205" s="78"/>
      <c r="F205" s="78"/>
      <c r="G205" s="64"/>
      <c r="H205" s="64"/>
      <c r="I205" s="64"/>
      <c r="J205" s="64"/>
      <c r="K205" s="64"/>
      <c r="L205" s="64"/>
      <c r="M205" s="64"/>
      <c r="N205" s="64"/>
      <c r="O205" s="64"/>
      <c r="P205" s="64"/>
      <c r="Q205" s="64"/>
      <c r="R205" s="132">
        <v>51622</v>
      </c>
      <c r="S205" s="25"/>
      <c r="T205" s="25"/>
      <c r="U205" s="25"/>
      <c r="V205" s="5"/>
    </row>
    <row r="206" spans="1:22" ht="15.6" x14ac:dyDescent="0.3">
      <c r="A206" s="76"/>
      <c r="B206" s="77" t="s">
        <v>251</v>
      </c>
      <c r="C206" s="78"/>
      <c r="D206" s="78"/>
      <c r="E206" s="78"/>
      <c r="F206" s="78"/>
      <c r="G206" s="64"/>
      <c r="H206" s="64"/>
      <c r="I206" s="64"/>
      <c r="J206" s="64"/>
      <c r="K206" s="64"/>
      <c r="L206" s="64"/>
      <c r="M206" s="64"/>
      <c r="N206" s="64"/>
      <c r="O206" s="64"/>
      <c r="P206" s="64"/>
      <c r="Q206" s="64"/>
      <c r="R206" s="132">
        <v>51622</v>
      </c>
      <c r="S206" s="25"/>
      <c r="T206" s="25"/>
      <c r="U206" s="25"/>
      <c r="V206" s="5"/>
    </row>
    <row r="207" spans="1:22" ht="15.6" x14ac:dyDescent="0.3">
      <c r="A207" s="76"/>
      <c r="B207" s="77" t="s">
        <v>79</v>
      </c>
      <c r="C207" s="78"/>
      <c r="D207" s="78"/>
      <c r="E207" s="78"/>
      <c r="F207" s="78"/>
      <c r="G207" s="64"/>
      <c r="H207" s="64"/>
      <c r="I207" s="64"/>
      <c r="J207" s="64"/>
      <c r="K207" s="64"/>
      <c r="L207" s="64"/>
      <c r="M207" s="64"/>
      <c r="N207" s="64"/>
      <c r="O207" s="64"/>
      <c r="P207" s="64"/>
      <c r="Q207" s="64"/>
      <c r="R207" s="136">
        <v>20.95</v>
      </c>
      <c r="S207" s="25" t="s">
        <v>119</v>
      </c>
      <c r="T207" s="25"/>
      <c r="U207" s="25"/>
      <c r="V207" s="5"/>
    </row>
    <row r="208" spans="1:22" ht="15.6" x14ac:dyDescent="0.3">
      <c r="A208" s="76"/>
      <c r="B208" s="77" t="s">
        <v>80</v>
      </c>
      <c r="C208" s="78"/>
      <c r="D208" s="78"/>
      <c r="E208" s="78"/>
      <c r="F208" s="78"/>
      <c r="G208" s="64"/>
      <c r="H208" s="64"/>
      <c r="I208" s="64"/>
      <c r="J208" s="64"/>
      <c r="K208" s="64"/>
      <c r="L208" s="64"/>
      <c r="M208" s="64"/>
      <c r="N208" s="64"/>
      <c r="O208" s="64"/>
      <c r="P208" s="64"/>
      <c r="Q208" s="64"/>
      <c r="R208" s="136">
        <v>17.29</v>
      </c>
      <c r="S208" s="25" t="s">
        <v>119</v>
      </c>
      <c r="T208" s="25"/>
      <c r="U208" s="25"/>
      <c r="V208" s="5"/>
    </row>
    <row r="209" spans="1:22" ht="15.6" x14ac:dyDescent="0.3">
      <c r="A209" s="76"/>
      <c r="B209" s="77" t="s">
        <v>81</v>
      </c>
      <c r="C209" s="78"/>
      <c r="D209" s="78"/>
      <c r="E209" s="78"/>
      <c r="F209" s="78"/>
      <c r="G209" s="64"/>
      <c r="H209" s="64"/>
      <c r="I209" s="64"/>
      <c r="J209" s="64"/>
      <c r="K209" s="64"/>
      <c r="L209" s="64"/>
      <c r="M209" s="64"/>
      <c r="N209" s="64"/>
      <c r="O209" s="64"/>
      <c r="P209" s="64"/>
      <c r="Q209" s="64"/>
      <c r="R209" s="79">
        <f>+N66/L66</f>
        <v>1.2551252648235627E-2</v>
      </c>
      <c r="S209" s="25"/>
      <c r="T209" s="25"/>
      <c r="U209" s="25"/>
      <c r="V209" s="5"/>
    </row>
    <row r="210" spans="1:22" ht="15.6" x14ac:dyDescent="0.3">
      <c r="A210" s="76"/>
      <c r="B210" s="77" t="s">
        <v>82</v>
      </c>
      <c r="C210" s="78"/>
      <c r="D210" s="78"/>
      <c r="E210" s="78"/>
      <c r="F210" s="78"/>
      <c r="G210" s="64"/>
      <c r="H210" s="64"/>
      <c r="I210" s="64"/>
      <c r="J210" s="64"/>
      <c r="K210" s="64"/>
      <c r="L210" s="64"/>
      <c r="M210" s="64"/>
      <c r="N210" s="64"/>
      <c r="O210" s="64"/>
      <c r="P210" s="64"/>
      <c r="Q210" s="64"/>
      <c r="R210" s="79">
        <v>0.19189999999999999</v>
      </c>
      <c r="S210" s="25"/>
      <c r="T210" s="25"/>
      <c r="U210" s="25"/>
      <c r="V210" s="5"/>
    </row>
    <row r="211" spans="1:22" ht="15.6" x14ac:dyDescent="0.3">
      <c r="A211" s="76"/>
      <c r="B211" s="77"/>
      <c r="C211" s="77"/>
      <c r="D211" s="77"/>
      <c r="E211" s="77"/>
      <c r="F211" s="77"/>
      <c r="G211" s="25"/>
      <c r="H211" s="25"/>
      <c r="I211" s="25"/>
      <c r="J211" s="25"/>
      <c r="K211" s="25"/>
      <c r="L211" s="25"/>
      <c r="M211" s="25"/>
      <c r="N211" s="25"/>
      <c r="O211" s="25"/>
      <c r="P211" s="25"/>
      <c r="Q211" s="25"/>
      <c r="R211" s="61"/>
      <c r="S211" s="25"/>
      <c r="T211" s="80"/>
      <c r="U211" s="25"/>
      <c r="V211" s="5"/>
    </row>
    <row r="212" spans="1:22" ht="15.6" x14ac:dyDescent="0.3">
      <c r="A212" s="81"/>
      <c r="B212" s="14" t="s">
        <v>83</v>
      </c>
      <c r="C212" s="82"/>
      <c r="D212" s="82"/>
      <c r="E212" s="82"/>
      <c r="F212" s="83"/>
      <c r="G212" s="82"/>
      <c r="H212" s="17"/>
      <c r="I212" s="17"/>
      <c r="J212" s="17"/>
      <c r="K212" s="17"/>
      <c r="L212" s="17"/>
      <c r="M212" s="17"/>
      <c r="N212" s="17"/>
      <c r="O212" s="17"/>
      <c r="P212" s="17"/>
      <c r="Q212" s="17" t="s">
        <v>108</v>
      </c>
      <c r="R212" s="84" t="s">
        <v>115</v>
      </c>
      <c r="S212" s="8"/>
      <c r="T212" s="8"/>
      <c r="U212" s="8"/>
      <c r="V212" s="5"/>
    </row>
    <row r="213" spans="1:22" ht="15.6" x14ac:dyDescent="0.3">
      <c r="A213" s="85"/>
      <c r="B213" s="77" t="s">
        <v>84</v>
      </c>
      <c r="C213" s="54"/>
      <c r="D213" s="54"/>
      <c r="E213" s="54"/>
      <c r="F213" s="25"/>
      <c r="G213" s="25"/>
      <c r="H213" s="30"/>
      <c r="I213" s="30"/>
      <c r="J213" s="30"/>
      <c r="K213" s="30"/>
      <c r="L213" s="30"/>
      <c r="M213" s="30"/>
      <c r="N213" s="30"/>
      <c r="O213" s="30"/>
      <c r="P213" s="30"/>
      <c r="Q213" s="30">
        <v>0</v>
      </c>
      <c r="R213" s="86">
        <v>0</v>
      </c>
      <c r="S213" s="25"/>
      <c r="T213" s="80"/>
      <c r="U213" s="87"/>
      <c r="V213" s="5"/>
    </row>
    <row r="214" spans="1:22" ht="15.6" x14ac:dyDescent="0.3">
      <c r="A214" s="85"/>
      <c r="B214" s="77" t="s">
        <v>156</v>
      </c>
      <c r="C214" s="54"/>
      <c r="D214" s="54"/>
      <c r="E214" s="54"/>
      <c r="F214" s="25"/>
      <c r="G214" s="25"/>
      <c r="H214" s="30"/>
      <c r="I214" s="30"/>
      <c r="J214" s="30"/>
      <c r="K214" s="30"/>
      <c r="L214" s="30"/>
      <c r="M214" s="30"/>
      <c r="N214" s="30"/>
      <c r="O214" s="30"/>
      <c r="P214" s="30"/>
      <c r="Q214" s="156">
        <f>+P253</f>
        <v>108</v>
      </c>
      <c r="R214" s="86">
        <f>+R253</f>
        <v>17015</v>
      </c>
      <c r="S214" s="25"/>
      <c r="T214" s="80"/>
      <c r="U214" s="87"/>
      <c r="V214" s="5"/>
    </row>
    <row r="215" spans="1:22" ht="15.6" x14ac:dyDescent="0.3">
      <c r="A215" s="85"/>
      <c r="B215" s="77" t="s">
        <v>85</v>
      </c>
      <c r="C215" s="54"/>
      <c r="D215" s="54"/>
      <c r="E215" s="54"/>
      <c r="F215" s="25"/>
      <c r="G215" s="25"/>
      <c r="H215" s="30"/>
      <c r="I215" s="30"/>
      <c r="J215" s="30"/>
      <c r="K215" s="30"/>
      <c r="L215" s="30"/>
      <c r="M215" s="30"/>
      <c r="N215" s="30"/>
      <c r="O215" s="30"/>
      <c r="P215" s="30"/>
      <c r="Q215" s="156">
        <f>+P265</f>
        <v>1</v>
      </c>
      <c r="R215" s="86">
        <f>+R265</f>
        <v>52</v>
      </c>
      <c r="S215" s="25"/>
      <c r="T215" s="80"/>
      <c r="U215" s="87"/>
      <c r="V215" s="5"/>
    </row>
    <row r="216" spans="1:22" ht="15.6" x14ac:dyDescent="0.3">
      <c r="A216" s="85"/>
      <c r="B216" s="123" t="s">
        <v>86</v>
      </c>
      <c r="C216" s="54"/>
      <c r="D216" s="54"/>
      <c r="E216" s="54"/>
      <c r="F216" s="25"/>
      <c r="G216" s="25"/>
      <c r="H216" s="25"/>
      <c r="I216" s="25"/>
      <c r="J216" s="25"/>
      <c r="K216" s="25"/>
      <c r="L216" s="25"/>
      <c r="M216" s="25"/>
      <c r="N216" s="25"/>
      <c r="O216" s="25"/>
      <c r="P216" s="25"/>
      <c r="Q216" s="25"/>
      <c r="R216" s="86">
        <v>0</v>
      </c>
      <c r="S216" s="25"/>
      <c r="T216" s="80"/>
      <c r="U216" s="87"/>
      <c r="V216" s="5"/>
    </row>
    <row r="217" spans="1:22" ht="15.6" x14ac:dyDescent="0.3">
      <c r="A217" s="85"/>
      <c r="B217" s="123" t="s">
        <v>87</v>
      </c>
      <c r="C217" s="54"/>
      <c r="D217" s="54"/>
      <c r="E217" s="54"/>
      <c r="F217" s="25"/>
      <c r="G217" s="25"/>
      <c r="H217" s="25"/>
      <c r="I217" s="25"/>
      <c r="J217" s="25"/>
      <c r="K217" s="25"/>
      <c r="L217" s="25"/>
      <c r="M217" s="25"/>
      <c r="N217" s="25"/>
      <c r="O217" s="25"/>
      <c r="P217" s="25"/>
      <c r="Q217" s="25"/>
      <c r="R217" s="62" t="s">
        <v>116</v>
      </c>
      <c r="S217" s="25"/>
      <c r="T217" s="80"/>
      <c r="U217" s="87"/>
      <c r="V217" s="5"/>
    </row>
    <row r="218" spans="1:22" ht="15.6" x14ac:dyDescent="0.3">
      <c r="A218" s="88"/>
      <c r="B218" s="123" t="s">
        <v>88</v>
      </c>
      <c r="C218" s="77"/>
      <c r="D218" s="77"/>
      <c r="E218" s="77"/>
      <c r="F218" s="77"/>
      <c r="G218" s="25"/>
      <c r="H218" s="25"/>
      <c r="I218" s="25"/>
      <c r="J218" s="25"/>
      <c r="K218" s="25"/>
      <c r="L218" s="25"/>
      <c r="M218" s="25"/>
      <c r="N218" s="25"/>
      <c r="O218" s="25"/>
      <c r="P218" s="25"/>
      <c r="Q218" s="25"/>
      <c r="R218" s="86"/>
      <c r="S218" s="25"/>
      <c r="T218" s="80"/>
      <c r="U218" s="89"/>
      <c r="V218" s="5"/>
    </row>
    <row r="219" spans="1:22" ht="15.6" x14ac:dyDescent="0.3">
      <c r="A219" s="88"/>
      <c r="B219" s="134" t="s">
        <v>89</v>
      </c>
      <c r="C219" s="77"/>
      <c r="D219" s="77"/>
      <c r="E219" s="77"/>
      <c r="F219" s="77"/>
      <c r="G219" s="25"/>
      <c r="H219" s="25"/>
      <c r="I219" s="25"/>
      <c r="J219" s="25"/>
      <c r="K219" s="25"/>
      <c r="L219" s="25"/>
      <c r="M219" s="25"/>
      <c r="N219" s="25"/>
      <c r="O219" s="25"/>
      <c r="P219" s="25"/>
      <c r="Q219" s="30"/>
      <c r="R219" s="86">
        <f>T164</f>
        <v>334</v>
      </c>
      <c r="S219" s="25"/>
      <c r="T219" s="80"/>
      <c r="U219" s="89"/>
      <c r="V219" s="5"/>
    </row>
    <row r="220" spans="1:22" ht="15.6" x14ac:dyDescent="0.3">
      <c r="A220" s="85"/>
      <c r="B220" s="77" t="s">
        <v>90</v>
      </c>
      <c r="C220" s="54"/>
      <c r="D220" s="54"/>
      <c r="E220" s="54"/>
      <c r="F220" s="54"/>
      <c r="G220" s="25"/>
      <c r="H220" s="25"/>
      <c r="I220" s="25"/>
      <c r="J220" s="25"/>
      <c r="K220" s="25"/>
      <c r="L220" s="25"/>
      <c r="M220" s="25"/>
      <c r="N220" s="25"/>
      <c r="O220" s="25"/>
      <c r="P220" s="25"/>
      <c r="Q220" s="30"/>
      <c r="R220" s="86">
        <f>'Jan 09'!R220+'April 09'!R219</f>
        <v>901</v>
      </c>
      <c r="S220" s="25"/>
      <c r="T220" s="80"/>
      <c r="U220" s="89"/>
      <c r="V220" s="5"/>
    </row>
    <row r="221" spans="1:22" ht="15.6" x14ac:dyDescent="0.3">
      <c r="A221" s="88"/>
      <c r="B221" s="123" t="s">
        <v>288</v>
      </c>
      <c r="C221" s="77"/>
      <c r="D221" s="77"/>
      <c r="E221" s="77"/>
      <c r="F221" s="77"/>
      <c r="G221" s="25"/>
      <c r="H221" s="25"/>
      <c r="I221" s="25"/>
      <c r="J221" s="25"/>
      <c r="K221" s="25"/>
      <c r="L221" s="25"/>
      <c r="M221" s="25"/>
      <c r="N221" s="25"/>
      <c r="O221" s="25"/>
      <c r="P221" s="25"/>
      <c r="Q221" s="30"/>
      <c r="R221" s="86"/>
      <c r="S221" s="25"/>
      <c r="T221" s="80"/>
      <c r="U221" s="89"/>
      <c r="V221" s="5"/>
    </row>
    <row r="222" spans="1:22" ht="15.6" x14ac:dyDescent="0.3">
      <c r="A222" s="88"/>
      <c r="B222" s="77" t="s">
        <v>286</v>
      </c>
      <c r="C222" s="77"/>
      <c r="D222" s="77"/>
      <c r="E222" s="77"/>
      <c r="F222" s="77"/>
      <c r="G222" s="25"/>
      <c r="H222" s="25"/>
      <c r="I222" s="25"/>
      <c r="J222" s="25"/>
      <c r="K222" s="25"/>
      <c r="L222" s="25"/>
      <c r="M222" s="25"/>
      <c r="N222" s="25"/>
      <c r="O222" s="25"/>
      <c r="P222" s="25"/>
      <c r="Q222" s="30">
        <v>0</v>
      </c>
      <c r="R222" s="86">
        <v>0</v>
      </c>
      <c r="S222" s="25"/>
      <c r="T222" s="80"/>
      <c r="U222" s="89"/>
      <c r="V222" s="5"/>
    </row>
    <row r="223" spans="1:22" ht="15.6" x14ac:dyDescent="0.3">
      <c r="A223" s="85"/>
      <c r="B223" s="77" t="s">
        <v>92</v>
      </c>
      <c r="C223" s="90"/>
      <c r="D223" s="90"/>
      <c r="E223" s="90"/>
      <c r="F223" s="91"/>
      <c r="G223" s="25"/>
      <c r="H223" s="25"/>
      <c r="I223" s="25"/>
      <c r="J223" s="25"/>
      <c r="K223" s="25"/>
      <c r="L223" s="25"/>
      <c r="M223" s="25"/>
      <c r="N223" s="25"/>
      <c r="O223" s="25"/>
      <c r="P223" s="25"/>
      <c r="Q223" s="30"/>
      <c r="R223" s="62">
        <v>0</v>
      </c>
      <c r="S223" s="25"/>
      <c r="T223" s="80"/>
      <c r="U223" s="89"/>
      <c r="V223" s="5"/>
    </row>
    <row r="224" spans="1:22" ht="15.6" x14ac:dyDescent="0.3">
      <c r="A224" s="85"/>
      <c r="B224" s="77" t="s">
        <v>93</v>
      </c>
      <c r="C224" s="90"/>
      <c r="D224" s="90"/>
      <c r="E224" s="90"/>
      <c r="F224" s="91"/>
      <c r="G224" s="25"/>
      <c r="H224" s="25"/>
      <c r="I224" s="25"/>
      <c r="J224" s="25"/>
      <c r="K224" s="25"/>
      <c r="L224" s="25"/>
      <c r="M224" s="25"/>
      <c r="N224" s="25"/>
      <c r="O224" s="25"/>
      <c r="P224" s="25"/>
      <c r="Q224" s="30"/>
      <c r="R224" s="62">
        <v>0</v>
      </c>
      <c r="S224" s="25"/>
      <c r="T224" s="80"/>
      <c r="U224" s="89"/>
      <c r="V224" s="5"/>
    </row>
    <row r="225" spans="1:23" ht="15.6" x14ac:dyDescent="0.3">
      <c r="A225" s="85"/>
      <c r="B225" s="123" t="s">
        <v>258</v>
      </c>
      <c r="C225" s="90"/>
      <c r="D225" s="90"/>
      <c r="E225" s="90"/>
      <c r="F225" s="91"/>
      <c r="G225" s="25"/>
      <c r="H225" s="25"/>
      <c r="I225" s="25"/>
      <c r="J225" s="25"/>
      <c r="K225" s="25"/>
      <c r="L225" s="25"/>
      <c r="M225" s="25"/>
      <c r="N225" s="25"/>
      <c r="O225" s="25"/>
      <c r="P225" s="25"/>
      <c r="Q225" s="30"/>
      <c r="R225" s="92"/>
      <c r="S225" s="25"/>
      <c r="T225" s="80"/>
      <c r="U225" s="89"/>
      <c r="V225" s="5"/>
    </row>
    <row r="226" spans="1:23" ht="15.6" x14ac:dyDescent="0.3">
      <c r="A226" s="85"/>
      <c r="B226" s="77" t="s">
        <v>286</v>
      </c>
      <c r="C226" s="90"/>
      <c r="D226" s="90"/>
      <c r="E226" s="90"/>
      <c r="F226" s="91"/>
      <c r="G226" s="25"/>
      <c r="H226" s="25"/>
      <c r="I226" s="25"/>
      <c r="J226" s="25"/>
      <c r="K226" s="25"/>
      <c r="L226" s="25"/>
      <c r="M226" s="25"/>
      <c r="N226" s="25"/>
      <c r="O226" s="25"/>
      <c r="P226" s="25"/>
      <c r="Q226" s="30">
        <v>5</v>
      </c>
      <c r="R226" s="86">
        <v>843</v>
      </c>
      <c r="S226" s="25"/>
      <c r="T226" s="80"/>
      <c r="U226" s="89"/>
      <c r="V226" s="5"/>
    </row>
    <row r="227" spans="1:23" ht="15.6" x14ac:dyDescent="0.3">
      <c r="A227" s="85"/>
      <c r="B227" s="77" t="s">
        <v>259</v>
      </c>
      <c r="C227" s="90"/>
      <c r="D227" s="90"/>
      <c r="E227" s="90"/>
      <c r="F227" s="91"/>
      <c r="G227" s="25"/>
      <c r="H227" s="25"/>
      <c r="I227" s="25"/>
      <c r="J227" s="25"/>
      <c r="K227" s="25"/>
      <c r="L227" s="25"/>
      <c r="M227" s="25"/>
      <c r="N227" s="25"/>
      <c r="O227" s="25"/>
      <c r="P227" s="25"/>
      <c r="Q227" s="25"/>
      <c r="R227" s="62">
        <v>22.44</v>
      </c>
      <c r="S227" s="25"/>
      <c r="T227" s="80"/>
      <c r="U227" s="89"/>
      <c r="V227" s="5"/>
    </row>
    <row r="228" spans="1:23" ht="15.6" x14ac:dyDescent="0.3">
      <c r="A228" s="85"/>
      <c r="B228" s="77"/>
      <c r="C228" s="90"/>
      <c r="D228" s="90"/>
      <c r="E228" s="90"/>
      <c r="F228" s="91"/>
      <c r="G228" s="25"/>
      <c r="H228" s="25"/>
      <c r="I228" s="25"/>
      <c r="J228" s="25"/>
      <c r="K228" s="25"/>
      <c r="L228" s="25"/>
      <c r="M228" s="25"/>
      <c r="N228" s="25"/>
      <c r="O228" s="25"/>
      <c r="P228" s="25"/>
      <c r="Q228" s="25"/>
      <c r="R228" s="92"/>
      <c r="S228" s="25"/>
      <c r="T228" s="80"/>
      <c r="U228" s="89"/>
      <c r="V228" s="5"/>
    </row>
    <row r="229" spans="1:23" ht="17.399999999999999" x14ac:dyDescent="0.3">
      <c r="A229" s="85"/>
      <c r="B229" s="153" t="s">
        <v>208</v>
      </c>
      <c r="C229" s="90"/>
      <c r="D229" s="90"/>
      <c r="E229" s="90"/>
      <c r="F229" s="91"/>
      <c r="G229" s="25"/>
      <c r="H229" s="25"/>
      <c r="I229" s="25"/>
      <c r="J229" s="25"/>
      <c r="K229" s="25"/>
      <c r="L229" s="25"/>
      <c r="M229" s="25"/>
      <c r="N229" s="154" t="s">
        <v>207</v>
      </c>
      <c r="O229" s="25"/>
      <c r="P229" s="25"/>
      <c r="Q229" s="25"/>
      <c r="R229" s="92"/>
      <c r="S229" s="25"/>
      <c r="T229" s="80"/>
      <c r="U229" s="89"/>
      <c r="V229" s="5"/>
    </row>
    <row r="230" spans="1:23" ht="15.6" x14ac:dyDescent="0.3">
      <c r="A230" s="85"/>
      <c r="B230" s="77"/>
      <c r="C230" s="90"/>
      <c r="D230" s="90"/>
      <c r="E230" s="90"/>
      <c r="F230" s="91"/>
      <c r="G230" s="25"/>
      <c r="H230" s="25"/>
      <c r="I230" s="25"/>
      <c r="J230" s="25"/>
      <c r="K230" s="25"/>
      <c r="L230" s="25"/>
      <c r="M230" s="25"/>
      <c r="N230" s="25"/>
      <c r="O230" s="25"/>
      <c r="P230" s="25"/>
      <c r="Q230" s="25"/>
      <c r="R230" s="92"/>
      <c r="S230" s="25"/>
      <c r="T230" s="80"/>
      <c r="U230" s="89"/>
      <c r="V230" s="5"/>
    </row>
    <row r="231" spans="1:23" ht="15.6" x14ac:dyDescent="0.3">
      <c r="A231" s="6"/>
      <c r="B231" s="14" t="s">
        <v>177</v>
      </c>
      <c r="C231" s="82"/>
      <c r="D231" s="82"/>
      <c r="E231" s="82"/>
      <c r="F231" s="83"/>
      <c r="G231" s="82"/>
      <c r="H231" s="17"/>
      <c r="I231" s="17"/>
      <c r="J231" s="17"/>
      <c r="K231" s="17"/>
      <c r="L231" s="17"/>
      <c r="M231" s="17"/>
      <c r="N231" s="17"/>
      <c r="O231" s="17"/>
      <c r="P231" s="84" t="s">
        <v>108</v>
      </c>
      <c r="Q231" s="17" t="s">
        <v>109</v>
      </c>
      <c r="R231" s="84" t="s">
        <v>117</v>
      </c>
      <c r="S231" s="17" t="s">
        <v>109</v>
      </c>
      <c r="T231" s="8"/>
      <c r="U231" s="93"/>
      <c r="V231" s="5"/>
    </row>
    <row r="232" spans="1:23" ht="15.6" x14ac:dyDescent="0.3">
      <c r="A232" s="24"/>
      <c r="B232" s="54" t="s">
        <v>94</v>
      </c>
      <c r="C232" s="94"/>
      <c r="D232" s="94"/>
      <c r="E232" s="94"/>
      <c r="F232" s="25"/>
      <c r="G232" s="94"/>
      <c r="H232" s="94"/>
      <c r="I232" s="94"/>
      <c r="J232" s="94"/>
      <c r="K232" s="94"/>
      <c r="L232" s="94"/>
      <c r="M232" s="94"/>
      <c r="N232" s="94"/>
      <c r="O232" s="94"/>
      <c r="P232" s="54">
        <v>2697</v>
      </c>
      <c r="Q232" s="95">
        <f t="shared" ref="Q232:Q239" si="1">P232/$P$241</f>
        <v>0.98646671543525966</v>
      </c>
      <c r="R232" s="53">
        <v>317585</v>
      </c>
      <c r="S232" s="135">
        <f t="shared" ref="S232:S239" si="2">R232/$R$241</f>
        <v>0.98573472675297424</v>
      </c>
      <c r="T232" s="80"/>
      <c r="U232" s="89"/>
      <c r="V232" s="5"/>
    </row>
    <row r="233" spans="1:23" ht="15.6" x14ac:dyDescent="0.3">
      <c r="A233" s="24"/>
      <c r="B233" s="54" t="s">
        <v>95</v>
      </c>
      <c r="C233" s="94"/>
      <c r="D233" s="94"/>
      <c r="E233" s="94"/>
      <c r="F233" s="25"/>
      <c r="G233" s="95"/>
      <c r="H233" s="94"/>
      <c r="I233" s="94"/>
      <c r="J233" s="94"/>
      <c r="K233" s="94"/>
      <c r="L233" s="94"/>
      <c r="M233" s="94"/>
      <c r="N233" s="94"/>
      <c r="O233" s="94"/>
      <c r="P233" s="54">
        <v>26</v>
      </c>
      <c r="Q233" s="95">
        <f t="shared" si="1"/>
        <v>9.5098756400877841E-3</v>
      </c>
      <c r="R233" s="53">
        <v>3568</v>
      </c>
      <c r="S233" s="135">
        <f t="shared" si="2"/>
        <v>1.1074520223104404E-2</v>
      </c>
      <c r="T233" s="80"/>
      <c r="U233" s="89"/>
      <c r="V233" s="5"/>
      <c r="W233" s="110"/>
    </row>
    <row r="234" spans="1:23" ht="15.6" x14ac:dyDescent="0.3">
      <c r="A234" s="24"/>
      <c r="B234" s="54" t="s">
        <v>96</v>
      </c>
      <c r="C234" s="94"/>
      <c r="D234" s="94"/>
      <c r="E234" s="94"/>
      <c r="F234" s="25"/>
      <c r="G234" s="95"/>
      <c r="H234" s="94"/>
      <c r="I234" s="94"/>
      <c r="J234" s="94"/>
      <c r="K234" s="94"/>
      <c r="L234" s="94"/>
      <c r="M234" s="94"/>
      <c r="N234" s="94"/>
      <c r="O234" s="94"/>
      <c r="P234" s="54">
        <v>4</v>
      </c>
      <c r="Q234" s="95">
        <f t="shared" si="1"/>
        <v>1.463057790782736E-3</v>
      </c>
      <c r="R234" s="53">
        <v>286</v>
      </c>
      <c r="S234" s="135">
        <f t="shared" si="2"/>
        <v>8.8769977124659744E-4</v>
      </c>
      <c r="T234" s="80"/>
      <c r="U234" s="89"/>
      <c r="V234" s="5"/>
    </row>
    <row r="235" spans="1:23" ht="15.6" x14ac:dyDescent="0.3">
      <c r="A235" s="24"/>
      <c r="B235" s="54" t="s">
        <v>171</v>
      </c>
      <c r="C235" s="94"/>
      <c r="D235" s="94"/>
      <c r="E235" s="94"/>
      <c r="F235" s="25"/>
      <c r="G235" s="95"/>
      <c r="H235" s="94"/>
      <c r="I235" s="94"/>
      <c r="J235" s="94"/>
      <c r="K235" s="94"/>
      <c r="L235" s="94"/>
      <c r="M235" s="94"/>
      <c r="N235" s="94"/>
      <c r="O235" s="94"/>
      <c r="P235" s="54">
        <v>4</v>
      </c>
      <c r="Q235" s="95">
        <f t="shared" si="1"/>
        <v>1.463057790782736E-3</v>
      </c>
      <c r="R235" s="53">
        <v>456</v>
      </c>
      <c r="S235" s="135">
        <f t="shared" si="2"/>
        <v>1.4153534814281413E-3</v>
      </c>
      <c r="T235" s="80"/>
      <c r="U235" s="89"/>
      <c r="V235" s="5"/>
      <c r="W235" s="110"/>
    </row>
    <row r="236" spans="1:23" ht="15.6" x14ac:dyDescent="0.3">
      <c r="A236" s="24"/>
      <c r="B236" s="54" t="s">
        <v>172</v>
      </c>
      <c r="C236" s="94"/>
      <c r="D236" s="94"/>
      <c r="E236" s="94"/>
      <c r="F236" s="25"/>
      <c r="G236" s="95"/>
      <c r="H236" s="94"/>
      <c r="I236" s="94"/>
      <c r="J236" s="94"/>
      <c r="K236" s="94"/>
      <c r="L236" s="94"/>
      <c r="M236" s="94"/>
      <c r="N236" s="94"/>
      <c r="O236" s="94"/>
      <c r="P236" s="54">
        <v>1</v>
      </c>
      <c r="Q236" s="95">
        <f t="shared" si="1"/>
        <v>3.65764447695684E-4</v>
      </c>
      <c r="R236" s="53">
        <v>62</v>
      </c>
      <c r="S236" s="135">
        <f t="shared" si="2"/>
        <v>1.9243841194856309E-4</v>
      </c>
      <c r="T236" s="80"/>
      <c r="U236" s="89"/>
      <c r="V236" s="5"/>
    </row>
    <row r="237" spans="1:23" ht="15.6" x14ac:dyDescent="0.3">
      <c r="A237" s="24"/>
      <c r="B237" s="54" t="s">
        <v>173</v>
      </c>
      <c r="C237" s="94"/>
      <c r="D237" s="94"/>
      <c r="E237" s="94"/>
      <c r="F237" s="25"/>
      <c r="G237" s="95"/>
      <c r="H237" s="94"/>
      <c r="I237" s="94"/>
      <c r="J237" s="94"/>
      <c r="K237" s="94"/>
      <c r="L237" s="94"/>
      <c r="M237" s="94"/>
      <c r="N237" s="94"/>
      <c r="O237" s="94"/>
      <c r="P237" s="54">
        <v>1</v>
      </c>
      <c r="Q237" s="95">
        <f t="shared" si="1"/>
        <v>3.65764447695684E-4</v>
      </c>
      <c r="R237" s="53">
        <v>127</v>
      </c>
      <c r="S237" s="135">
        <f t="shared" si="2"/>
        <v>3.9418835995915337E-4</v>
      </c>
      <c r="T237" s="80"/>
      <c r="U237" s="89"/>
      <c r="V237" s="5"/>
      <c r="W237" s="110"/>
    </row>
    <row r="238" spans="1:23" ht="15.6" x14ac:dyDescent="0.3">
      <c r="A238" s="24"/>
      <c r="B238" s="54" t="s">
        <v>174</v>
      </c>
      <c r="C238" s="94"/>
      <c r="D238" s="94"/>
      <c r="E238" s="94"/>
      <c r="F238" s="25"/>
      <c r="G238" s="95"/>
      <c r="H238" s="94"/>
      <c r="I238" s="94"/>
      <c r="J238" s="94"/>
      <c r="K238" s="94"/>
      <c r="L238" s="94"/>
      <c r="M238" s="94"/>
      <c r="N238" s="94"/>
      <c r="O238" s="94"/>
      <c r="P238" s="54">
        <v>1</v>
      </c>
      <c r="Q238" s="95">
        <f t="shared" si="1"/>
        <v>3.65764447695684E-4</v>
      </c>
      <c r="R238" s="53">
        <v>97</v>
      </c>
      <c r="S238" s="135">
        <f t="shared" si="2"/>
        <v>3.0107299933888095E-4</v>
      </c>
      <c r="T238" s="80"/>
      <c r="U238" s="89"/>
      <c r="V238" s="5"/>
    </row>
    <row r="239" spans="1:23" ht="15.6" x14ac:dyDescent="0.3">
      <c r="A239" s="24"/>
      <c r="B239" s="54" t="s">
        <v>175</v>
      </c>
      <c r="C239" s="94"/>
      <c r="D239" s="94"/>
      <c r="E239" s="94"/>
      <c r="F239" s="25"/>
      <c r="G239" s="95"/>
      <c r="H239" s="94"/>
      <c r="I239" s="94"/>
      <c r="J239" s="94"/>
      <c r="K239" s="94"/>
      <c r="L239" s="94"/>
      <c r="M239" s="94"/>
      <c r="N239" s="94"/>
      <c r="O239" s="94"/>
      <c r="P239" s="54">
        <v>0</v>
      </c>
      <c r="Q239" s="95">
        <f t="shared" si="1"/>
        <v>0</v>
      </c>
      <c r="R239" s="53">
        <v>0</v>
      </c>
      <c r="S239" s="135">
        <f t="shared" si="2"/>
        <v>0</v>
      </c>
      <c r="T239" s="80"/>
      <c r="U239" s="89"/>
      <c r="V239" s="5"/>
      <c r="W239" s="110"/>
    </row>
    <row r="240" spans="1:23" ht="15.6" x14ac:dyDescent="0.3">
      <c r="A240" s="24"/>
      <c r="B240" s="54"/>
      <c r="C240" s="94"/>
      <c r="D240" s="94"/>
      <c r="E240" s="94"/>
      <c r="F240" s="25"/>
      <c r="G240" s="95"/>
      <c r="H240" s="94"/>
      <c r="I240" s="94"/>
      <c r="J240" s="94"/>
      <c r="K240" s="94"/>
      <c r="L240" s="94"/>
      <c r="M240" s="94"/>
      <c r="N240" s="94"/>
      <c r="O240" s="94"/>
      <c r="P240" s="54"/>
      <c r="Q240" s="95"/>
      <c r="R240" s="53"/>
      <c r="S240" s="135"/>
      <c r="T240" s="80"/>
      <c r="U240" s="89"/>
      <c r="V240" s="5"/>
    </row>
    <row r="241" spans="1:22" ht="15.6" x14ac:dyDescent="0.3">
      <c r="A241" s="24"/>
      <c r="B241" s="25"/>
      <c r="C241" s="25"/>
      <c r="D241" s="25"/>
      <c r="E241" s="25"/>
      <c r="F241" s="25"/>
      <c r="G241" s="25"/>
      <c r="H241" s="96"/>
      <c r="I241" s="96"/>
      <c r="J241" s="96"/>
      <c r="K241" s="96"/>
      <c r="L241" s="96"/>
      <c r="M241" s="96"/>
      <c r="N241" s="96"/>
      <c r="O241" s="96"/>
      <c r="P241" s="34">
        <f>SUM(P232:P240)</f>
        <v>2734</v>
      </c>
      <c r="Q241" s="135">
        <f>SUM(Q232:Q240)</f>
        <v>0.99999999999999978</v>
      </c>
      <c r="R241" s="53">
        <f>SUM(R232:R240)</f>
        <v>322181</v>
      </c>
      <c r="S241" s="135">
        <f>SUM(S232:S240)</f>
        <v>1</v>
      </c>
      <c r="T241" s="25"/>
      <c r="U241" s="25"/>
      <c r="V241" s="5"/>
    </row>
    <row r="242" spans="1:22" ht="15.6" x14ac:dyDescent="0.3">
      <c r="A242" s="24"/>
      <c r="B242" s="25"/>
      <c r="C242" s="25"/>
      <c r="D242" s="25"/>
      <c r="E242" s="25"/>
      <c r="F242" s="25"/>
      <c r="G242" s="25"/>
      <c r="H242" s="96"/>
      <c r="I242" s="96"/>
      <c r="J242" s="96"/>
      <c r="K242" s="96"/>
      <c r="L242" s="96"/>
      <c r="M242" s="96"/>
      <c r="N242" s="96"/>
      <c r="O242" s="96"/>
      <c r="P242" s="34"/>
      <c r="Q242" s="135"/>
      <c r="R242" s="53"/>
      <c r="S242" s="135"/>
      <c r="T242" s="25"/>
      <c r="U242" s="25"/>
      <c r="V242" s="5"/>
    </row>
    <row r="243" spans="1:22" ht="15.6" x14ac:dyDescent="0.3">
      <c r="A243" s="144"/>
      <c r="B243" s="14" t="s">
        <v>279</v>
      </c>
      <c r="C243" s="82"/>
      <c r="D243" s="82"/>
      <c r="E243" s="82"/>
      <c r="F243" s="83"/>
      <c r="G243" s="82"/>
      <c r="H243" s="17"/>
      <c r="I243" s="17"/>
      <c r="J243" s="17"/>
      <c r="K243" s="17"/>
      <c r="L243" s="17"/>
      <c r="M243" s="17"/>
      <c r="N243" s="17"/>
      <c r="O243" s="17"/>
      <c r="P243" s="84" t="s">
        <v>108</v>
      </c>
      <c r="Q243" s="17" t="s">
        <v>109</v>
      </c>
      <c r="R243" s="84" t="s">
        <v>117</v>
      </c>
      <c r="S243" s="17" t="s">
        <v>109</v>
      </c>
      <c r="T243" s="142"/>
      <c r="U243" s="143"/>
      <c r="V243" s="5"/>
    </row>
    <row r="244" spans="1:22" ht="15.6" x14ac:dyDescent="0.3">
      <c r="A244" s="24"/>
      <c r="B244" s="54" t="s">
        <v>94</v>
      </c>
      <c r="C244" s="94"/>
      <c r="D244" s="94"/>
      <c r="E244" s="94"/>
      <c r="F244" s="25"/>
      <c r="G244" s="94"/>
      <c r="H244" s="94"/>
      <c r="I244" s="94"/>
      <c r="J244" s="94"/>
      <c r="K244" s="94"/>
      <c r="L244" s="94"/>
      <c r="M244" s="94"/>
      <c r="N244" s="94"/>
      <c r="O244" s="94"/>
      <c r="P244" s="54">
        <v>19</v>
      </c>
      <c r="Q244" s="95">
        <f t="shared" ref="Q244:Q251" si="3">P244/$P$253</f>
        <v>0.17592592592592593</v>
      </c>
      <c r="R244" s="53">
        <v>2927</v>
      </c>
      <c r="S244" s="135">
        <f t="shared" ref="S244:S251" si="4">R244/$R$253</f>
        <v>0.17202468410226271</v>
      </c>
      <c r="T244" s="25"/>
      <c r="U244" s="25"/>
      <c r="V244" s="5"/>
    </row>
    <row r="245" spans="1:22" ht="15.6" x14ac:dyDescent="0.3">
      <c r="A245" s="24"/>
      <c r="B245" s="54" t="s">
        <v>95</v>
      </c>
      <c r="C245" s="94"/>
      <c r="D245" s="94"/>
      <c r="E245" s="94"/>
      <c r="F245" s="25"/>
      <c r="G245" s="95"/>
      <c r="H245" s="94"/>
      <c r="I245" s="94"/>
      <c r="J245" s="94"/>
      <c r="K245" s="94"/>
      <c r="L245" s="94"/>
      <c r="M245" s="94"/>
      <c r="N245" s="94"/>
      <c r="O245" s="94"/>
      <c r="P245" s="54">
        <v>38</v>
      </c>
      <c r="Q245" s="95">
        <f t="shared" si="3"/>
        <v>0.35185185185185186</v>
      </c>
      <c r="R245" s="53">
        <v>5598</v>
      </c>
      <c r="S245" s="135">
        <f t="shared" si="4"/>
        <v>0.32900382015868351</v>
      </c>
      <c r="T245" s="25"/>
      <c r="U245" s="25"/>
      <c r="V245" s="5"/>
    </row>
    <row r="246" spans="1:22" ht="15.6" x14ac:dyDescent="0.3">
      <c r="A246" s="24"/>
      <c r="B246" s="54" t="s">
        <v>96</v>
      </c>
      <c r="C246" s="94"/>
      <c r="D246" s="94"/>
      <c r="E246" s="94"/>
      <c r="F246" s="25"/>
      <c r="G246" s="95"/>
      <c r="H246" s="94"/>
      <c r="I246" s="94"/>
      <c r="J246" s="94"/>
      <c r="K246" s="94"/>
      <c r="L246" s="94"/>
      <c r="M246" s="94"/>
      <c r="N246" s="94"/>
      <c r="O246" s="94"/>
      <c r="P246" s="54">
        <v>12</v>
      </c>
      <c r="Q246" s="95">
        <f t="shared" si="3"/>
        <v>0.1111111111111111</v>
      </c>
      <c r="R246" s="53">
        <v>2950</v>
      </c>
      <c r="S246" s="135">
        <f t="shared" si="4"/>
        <v>0.17337643255950633</v>
      </c>
      <c r="T246" s="25"/>
      <c r="U246" s="25"/>
      <c r="V246" s="5"/>
    </row>
    <row r="247" spans="1:22" ht="15.6" x14ac:dyDescent="0.3">
      <c r="A247" s="24"/>
      <c r="B247" s="54" t="s">
        <v>171</v>
      </c>
      <c r="C247" s="94"/>
      <c r="D247" s="94"/>
      <c r="E247" s="94"/>
      <c r="F247" s="25"/>
      <c r="G247" s="95"/>
      <c r="H247" s="94"/>
      <c r="I247" s="94"/>
      <c r="J247" s="94"/>
      <c r="K247" s="94"/>
      <c r="L247" s="94"/>
      <c r="M247" s="94"/>
      <c r="N247" s="94"/>
      <c r="O247" s="94"/>
      <c r="P247" s="54">
        <v>4</v>
      </c>
      <c r="Q247" s="95">
        <f t="shared" si="3"/>
        <v>3.7037037037037035E-2</v>
      </c>
      <c r="R247" s="53">
        <v>878</v>
      </c>
      <c r="S247" s="135">
        <f t="shared" si="4"/>
        <v>5.1601528063473408E-2</v>
      </c>
      <c r="T247" s="25"/>
      <c r="U247" s="25"/>
      <c r="V247" s="5"/>
    </row>
    <row r="248" spans="1:22" ht="15.6" x14ac:dyDescent="0.3">
      <c r="A248" s="24"/>
      <c r="B248" s="54" t="s">
        <v>172</v>
      </c>
      <c r="C248" s="94"/>
      <c r="D248" s="94"/>
      <c r="E248" s="94"/>
      <c r="F248" s="25"/>
      <c r="G248" s="95"/>
      <c r="H248" s="94"/>
      <c r="I248" s="94"/>
      <c r="J248" s="94"/>
      <c r="K248" s="94"/>
      <c r="L248" s="94"/>
      <c r="M248" s="94"/>
      <c r="N248" s="94"/>
      <c r="O248" s="94"/>
      <c r="P248" s="54">
        <v>2</v>
      </c>
      <c r="Q248" s="95">
        <f t="shared" si="3"/>
        <v>1.8518518518518517E-2</v>
      </c>
      <c r="R248" s="53">
        <v>256</v>
      </c>
      <c r="S248" s="135">
        <f t="shared" si="4"/>
        <v>1.5045548045841904E-2</v>
      </c>
      <c r="T248" s="25"/>
      <c r="U248" s="25"/>
      <c r="V248" s="5"/>
    </row>
    <row r="249" spans="1:22" ht="15.6" x14ac:dyDescent="0.3">
      <c r="A249" s="24"/>
      <c r="B249" s="54" t="s">
        <v>173</v>
      </c>
      <c r="C249" s="94"/>
      <c r="D249" s="94"/>
      <c r="E249" s="94"/>
      <c r="F249" s="25"/>
      <c r="G249" s="95"/>
      <c r="H249" s="94"/>
      <c r="I249" s="94"/>
      <c r="J249" s="94"/>
      <c r="K249" s="94"/>
      <c r="L249" s="94"/>
      <c r="M249" s="94"/>
      <c r="N249" s="94"/>
      <c r="O249" s="94"/>
      <c r="P249" s="54">
        <v>0</v>
      </c>
      <c r="Q249" s="95">
        <f t="shared" si="3"/>
        <v>0</v>
      </c>
      <c r="R249" s="53">
        <v>0</v>
      </c>
      <c r="S249" s="135">
        <f t="shared" si="4"/>
        <v>0</v>
      </c>
      <c r="T249" s="25"/>
      <c r="U249" s="25"/>
      <c r="V249" s="5"/>
    </row>
    <row r="250" spans="1:22" ht="15.6" x14ac:dyDescent="0.3">
      <c r="A250" s="24"/>
      <c r="B250" s="54" t="s">
        <v>174</v>
      </c>
      <c r="C250" s="94"/>
      <c r="D250" s="94"/>
      <c r="E250" s="94"/>
      <c r="F250" s="25"/>
      <c r="G250" s="95"/>
      <c r="H250" s="94"/>
      <c r="I250" s="94"/>
      <c r="J250" s="94"/>
      <c r="K250" s="94"/>
      <c r="L250" s="94"/>
      <c r="M250" s="94"/>
      <c r="N250" s="94"/>
      <c r="O250" s="94"/>
      <c r="P250" s="54">
        <v>9</v>
      </c>
      <c r="Q250" s="95">
        <f t="shared" si="3"/>
        <v>8.3333333333333329E-2</v>
      </c>
      <c r="R250" s="53">
        <v>1313</v>
      </c>
      <c r="S250" s="135">
        <f t="shared" si="4"/>
        <v>7.716720540699383E-2</v>
      </c>
      <c r="T250" s="25"/>
      <c r="U250" s="25"/>
      <c r="V250" s="5"/>
    </row>
    <row r="251" spans="1:22" ht="15.6" x14ac:dyDescent="0.3">
      <c r="A251" s="24"/>
      <c r="B251" s="54" t="s">
        <v>175</v>
      </c>
      <c r="C251" s="94"/>
      <c r="D251" s="94"/>
      <c r="E251" s="94"/>
      <c r="F251" s="25"/>
      <c r="G251" s="95"/>
      <c r="H251" s="94"/>
      <c r="I251" s="94"/>
      <c r="J251" s="94"/>
      <c r="K251" s="94"/>
      <c r="L251" s="94"/>
      <c r="M251" s="94"/>
      <c r="N251" s="94"/>
      <c r="O251" s="94"/>
      <c r="P251" s="54">
        <v>24</v>
      </c>
      <c r="Q251" s="95">
        <f t="shared" si="3"/>
        <v>0.22222222222222221</v>
      </c>
      <c r="R251" s="53">
        <v>3093</v>
      </c>
      <c r="S251" s="135">
        <f t="shared" si="4"/>
        <v>0.18178078166323833</v>
      </c>
      <c r="T251" s="25"/>
      <c r="U251" s="25"/>
      <c r="V251" s="5"/>
    </row>
    <row r="252" spans="1:22" ht="15.6" x14ac:dyDescent="0.3">
      <c r="A252" s="24"/>
      <c r="B252" s="54"/>
      <c r="C252" s="94"/>
      <c r="D252" s="94"/>
      <c r="E252" s="94"/>
      <c r="F252" s="25"/>
      <c r="G252" s="95"/>
      <c r="H252" s="94"/>
      <c r="I252" s="94"/>
      <c r="J252" s="94"/>
      <c r="K252" s="94"/>
      <c r="L252" s="94"/>
      <c r="M252" s="94"/>
      <c r="N252" s="94"/>
      <c r="O252" s="94"/>
      <c r="P252" s="54"/>
      <c r="Q252" s="95"/>
      <c r="R252" s="53"/>
      <c r="S252" s="135"/>
      <c r="T252" s="25"/>
      <c r="U252" s="25"/>
      <c r="V252" s="5"/>
    </row>
    <row r="253" spans="1:22" ht="15.6" x14ac:dyDescent="0.3">
      <c r="A253" s="24"/>
      <c r="B253" s="25"/>
      <c r="C253" s="25"/>
      <c r="D253" s="25"/>
      <c r="E253" s="25"/>
      <c r="F253" s="25"/>
      <c r="G253" s="25"/>
      <c r="H253" s="96"/>
      <c r="I253" s="96"/>
      <c r="J253" s="96"/>
      <c r="K253" s="96"/>
      <c r="L253" s="96"/>
      <c r="M253" s="96"/>
      <c r="N253" s="96"/>
      <c r="O253" s="96"/>
      <c r="P253" s="34">
        <f>SUM(P244:P252)</f>
        <v>108</v>
      </c>
      <c r="Q253" s="135">
        <f>SUM(Q244:Q252)</f>
        <v>0.99999999999999989</v>
      </c>
      <c r="R253" s="53">
        <f>SUM(R244:R252)</f>
        <v>17015</v>
      </c>
      <c r="S253" s="135">
        <f>SUM(S244:S252)</f>
        <v>1</v>
      </c>
      <c r="T253" s="25"/>
      <c r="U253" s="25"/>
      <c r="V253" s="5"/>
    </row>
    <row r="254" spans="1:22" ht="15.6" x14ac:dyDescent="0.3">
      <c r="A254" s="24"/>
      <c r="B254" s="25"/>
      <c r="C254" s="25"/>
      <c r="D254" s="25"/>
      <c r="E254" s="25"/>
      <c r="F254" s="25"/>
      <c r="G254" s="25"/>
      <c r="H254" s="96"/>
      <c r="I254" s="96"/>
      <c r="J254" s="96"/>
      <c r="K254" s="96"/>
      <c r="L254" s="96"/>
      <c r="M254" s="96"/>
      <c r="N254" s="96"/>
      <c r="O254" s="96"/>
      <c r="P254" s="34"/>
      <c r="Q254" s="135"/>
      <c r="R254" s="53"/>
      <c r="S254" s="135"/>
      <c r="T254" s="25"/>
      <c r="U254" s="25"/>
      <c r="V254" s="5"/>
    </row>
    <row r="255" spans="1:22" ht="15.6" x14ac:dyDescent="0.3">
      <c r="A255" s="144"/>
      <c r="B255" s="14" t="s">
        <v>179</v>
      </c>
      <c r="C255" s="142"/>
      <c r="D255" s="142"/>
      <c r="E255" s="142"/>
      <c r="F255" s="142"/>
      <c r="G255" s="142"/>
      <c r="H255" s="149"/>
      <c r="I255" s="149"/>
      <c r="J255" s="149"/>
      <c r="K255" s="149"/>
      <c r="L255" s="149"/>
      <c r="M255" s="149"/>
      <c r="N255" s="149"/>
      <c r="O255" s="149"/>
      <c r="P255" s="84" t="s">
        <v>108</v>
      </c>
      <c r="Q255" s="17" t="s">
        <v>109</v>
      </c>
      <c r="R255" s="84" t="s">
        <v>117</v>
      </c>
      <c r="S255" s="17" t="s">
        <v>109</v>
      </c>
      <c r="T255" s="142"/>
      <c r="U255" s="143"/>
      <c r="V255" s="5"/>
    </row>
    <row r="256" spans="1:22" ht="15.6" x14ac:dyDescent="0.3">
      <c r="A256" s="24"/>
      <c r="B256" s="54" t="s">
        <v>94</v>
      </c>
      <c r="C256" s="25"/>
      <c r="D256" s="25"/>
      <c r="E256" s="25"/>
      <c r="F256" s="25"/>
      <c r="G256" s="25"/>
      <c r="H256" s="96"/>
      <c r="I256" s="96"/>
      <c r="J256" s="96"/>
      <c r="K256" s="96"/>
      <c r="L256" s="96"/>
      <c r="M256" s="96"/>
      <c r="N256" s="96"/>
      <c r="O256" s="96"/>
      <c r="P256" s="54">
        <v>0</v>
      </c>
      <c r="Q256" s="95">
        <f>P256/$P$265</f>
        <v>0</v>
      </c>
      <c r="R256" s="53">
        <v>0</v>
      </c>
      <c r="S256" s="95">
        <f>R256/$R$265</f>
        <v>0</v>
      </c>
      <c r="T256" s="25"/>
      <c r="U256" s="25"/>
      <c r="V256" s="5"/>
    </row>
    <row r="257" spans="1:22" ht="15.6" x14ac:dyDescent="0.3">
      <c r="A257" s="24"/>
      <c r="B257" s="54" t="s">
        <v>95</v>
      </c>
      <c r="C257" s="25"/>
      <c r="D257" s="25"/>
      <c r="E257" s="25"/>
      <c r="F257" s="25"/>
      <c r="G257" s="25"/>
      <c r="H257" s="96"/>
      <c r="I257" s="96"/>
      <c r="J257" s="96"/>
      <c r="K257" s="96"/>
      <c r="L257" s="96"/>
      <c r="M257" s="96"/>
      <c r="N257" s="96"/>
      <c r="O257" s="96"/>
      <c r="P257" s="54">
        <v>0</v>
      </c>
      <c r="Q257" s="95">
        <f t="shared" ref="Q257:Q263" si="5">P257/$P$265</f>
        <v>0</v>
      </c>
      <c r="R257" s="53">
        <v>0</v>
      </c>
      <c r="S257" s="95">
        <f t="shared" ref="S257:S263" si="6">R257/$R$265</f>
        <v>0</v>
      </c>
      <c r="T257" s="25"/>
      <c r="U257" s="25"/>
      <c r="V257" s="5"/>
    </row>
    <row r="258" spans="1:22" ht="15.6" x14ac:dyDescent="0.3">
      <c r="A258" s="24"/>
      <c r="B258" s="54" t="s">
        <v>96</v>
      </c>
      <c r="C258" s="25"/>
      <c r="D258" s="25"/>
      <c r="E258" s="25"/>
      <c r="F258" s="25"/>
      <c r="G258" s="25"/>
      <c r="H258" s="96"/>
      <c r="I258" s="96"/>
      <c r="J258" s="96"/>
      <c r="K258" s="96"/>
      <c r="L258" s="96"/>
      <c r="M258" s="96"/>
      <c r="N258" s="96"/>
      <c r="O258" s="96"/>
      <c r="P258" s="54">
        <v>0</v>
      </c>
      <c r="Q258" s="95">
        <f t="shared" si="5"/>
        <v>0</v>
      </c>
      <c r="R258" s="53">
        <v>0</v>
      </c>
      <c r="S258" s="95">
        <f t="shared" si="6"/>
        <v>0</v>
      </c>
      <c r="T258" s="25"/>
      <c r="U258" s="25"/>
      <c r="V258" s="5"/>
    </row>
    <row r="259" spans="1:22" ht="15.6" x14ac:dyDescent="0.3">
      <c r="A259" s="24"/>
      <c r="B259" s="54" t="s">
        <v>171</v>
      </c>
      <c r="C259" s="25"/>
      <c r="D259" s="25"/>
      <c r="E259" s="25"/>
      <c r="F259" s="25"/>
      <c r="G259" s="25"/>
      <c r="H259" s="96"/>
      <c r="I259" s="96"/>
      <c r="J259" s="96"/>
      <c r="K259" s="96"/>
      <c r="L259" s="96"/>
      <c r="M259" s="96"/>
      <c r="N259" s="96"/>
      <c r="O259" s="96"/>
      <c r="P259" s="54">
        <v>0</v>
      </c>
      <c r="Q259" s="95">
        <f t="shared" si="5"/>
        <v>0</v>
      </c>
      <c r="R259" s="53">
        <v>0</v>
      </c>
      <c r="S259" s="95">
        <f t="shared" si="6"/>
        <v>0</v>
      </c>
      <c r="T259" s="25"/>
      <c r="U259" s="25"/>
      <c r="V259" s="5"/>
    </row>
    <row r="260" spans="1:22" ht="15.6" x14ac:dyDescent="0.3">
      <c r="A260" s="24"/>
      <c r="B260" s="54" t="s">
        <v>172</v>
      </c>
      <c r="C260" s="25"/>
      <c r="D260" s="25"/>
      <c r="E260" s="25"/>
      <c r="F260" s="25"/>
      <c r="G260" s="25"/>
      <c r="H260" s="96"/>
      <c r="I260" s="96"/>
      <c r="J260" s="96"/>
      <c r="K260" s="96"/>
      <c r="L260" s="96"/>
      <c r="M260" s="96"/>
      <c r="N260" s="96"/>
      <c r="O260" s="96"/>
      <c r="P260" s="54">
        <v>0</v>
      </c>
      <c r="Q260" s="95">
        <f t="shared" si="5"/>
        <v>0</v>
      </c>
      <c r="R260" s="53">
        <v>0</v>
      </c>
      <c r="S260" s="95">
        <f t="shared" si="6"/>
        <v>0</v>
      </c>
      <c r="T260" s="25"/>
      <c r="U260" s="25"/>
      <c r="V260" s="5"/>
    </row>
    <row r="261" spans="1:22" ht="15.6" x14ac:dyDescent="0.3">
      <c r="A261" s="24"/>
      <c r="B261" s="54" t="s">
        <v>173</v>
      </c>
      <c r="C261" s="25"/>
      <c r="D261" s="25"/>
      <c r="E261" s="25"/>
      <c r="F261" s="25"/>
      <c r="G261" s="25"/>
      <c r="H261" s="96"/>
      <c r="I261" s="96"/>
      <c r="J261" s="96"/>
      <c r="K261" s="96"/>
      <c r="L261" s="96"/>
      <c r="M261" s="96"/>
      <c r="N261" s="96"/>
      <c r="O261" s="96"/>
      <c r="P261" s="54">
        <v>0</v>
      </c>
      <c r="Q261" s="95">
        <f t="shared" si="5"/>
        <v>0</v>
      </c>
      <c r="R261" s="53">
        <v>0</v>
      </c>
      <c r="S261" s="95">
        <f t="shared" si="6"/>
        <v>0</v>
      </c>
      <c r="T261" s="25"/>
      <c r="U261" s="25"/>
      <c r="V261" s="5"/>
    </row>
    <row r="262" spans="1:22" ht="15.6" x14ac:dyDescent="0.3">
      <c r="A262" s="24"/>
      <c r="B262" s="54" t="s">
        <v>174</v>
      </c>
      <c r="C262" s="25"/>
      <c r="D262" s="25"/>
      <c r="E262" s="25"/>
      <c r="F262" s="25"/>
      <c r="G262" s="25"/>
      <c r="H262" s="96"/>
      <c r="I262" s="96"/>
      <c r="J262" s="96"/>
      <c r="K262" s="96"/>
      <c r="L262" s="96"/>
      <c r="M262" s="96"/>
      <c r="N262" s="96"/>
      <c r="O262" s="96"/>
      <c r="P262" s="54">
        <v>0</v>
      </c>
      <c r="Q262" s="95">
        <f t="shared" si="5"/>
        <v>0</v>
      </c>
      <c r="R262" s="53">
        <v>0</v>
      </c>
      <c r="S262" s="95">
        <f t="shared" si="6"/>
        <v>0</v>
      </c>
      <c r="T262" s="25"/>
      <c r="U262" s="25"/>
      <c r="V262" s="5"/>
    </row>
    <row r="263" spans="1:22" ht="15.6" x14ac:dyDescent="0.3">
      <c r="A263" s="24"/>
      <c r="B263" s="54" t="s">
        <v>175</v>
      </c>
      <c r="C263" s="25"/>
      <c r="D263" s="25"/>
      <c r="E263" s="25"/>
      <c r="F263" s="25"/>
      <c r="G263" s="25"/>
      <c r="H263" s="96"/>
      <c r="I263" s="96"/>
      <c r="J263" s="96"/>
      <c r="K263" s="96"/>
      <c r="L263" s="96"/>
      <c r="M263" s="96"/>
      <c r="N263" s="96"/>
      <c r="O263" s="96"/>
      <c r="P263" s="54">
        <v>1</v>
      </c>
      <c r="Q263" s="95">
        <f t="shared" si="5"/>
        <v>1</v>
      </c>
      <c r="R263" s="53">
        <v>52</v>
      </c>
      <c r="S263" s="95">
        <f t="shared" si="6"/>
        <v>1</v>
      </c>
      <c r="T263" s="25"/>
      <c r="U263" s="25"/>
      <c r="V263" s="5"/>
    </row>
    <row r="264" spans="1:22" ht="15.6" x14ac:dyDescent="0.3">
      <c r="A264" s="24"/>
      <c r="B264" s="54"/>
      <c r="C264" s="25"/>
      <c r="D264" s="25"/>
      <c r="E264" s="25"/>
      <c r="F264" s="25"/>
      <c r="G264" s="25"/>
      <c r="H264" s="96"/>
      <c r="I264" s="96"/>
      <c r="J264" s="96"/>
      <c r="K264" s="96"/>
      <c r="L264" s="96"/>
      <c r="M264" s="96"/>
      <c r="N264" s="96"/>
      <c r="O264" s="96"/>
      <c r="P264" s="54"/>
      <c r="Q264" s="95"/>
      <c r="R264" s="53"/>
      <c r="S264" s="135"/>
      <c r="T264" s="25"/>
      <c r="U264" s="25"/>
      <c r="V264" s="5"/>
    </row>
    <row r="265" spans="1:22" ht="15.6" x14ac:dyDescent="0.3">
      <c r="A265" s="24"/>
      <c r="B265" s="25" t="s">
        <v>123</v>
      </c>
      <c r="C265" s="25"/>
      <c r="D265" s="25"/>
      <c r="E265" s="25"/>
      <c r="F265" s="25"/>
      <c r="G265" s="25"/>
      <c r="H265" s="96"/>
      <c r="I265" s="96"/>
      <c r="J265" s="96"/>
      <c r="K265" s="96"/>
      <c r="L265" s="96"/>
      <c r="M265" s="96"/>
      <c r="N265" s="96"/>
      <c r="O265" s="96"/>
      <c r="P265" s="34">
        <f>SUM(P256:P263)</f>
        <v>1</v>
      </c>
      <c r="Q265" s="95">
        <f>SUM(Q256:Q263)</f>
        <v>1</v>
      </c>
      <c r="R265" s="53">
        <f>SUM(R256:R263)</f>
        <v>52</v>
      </c>
      <c r="S265" s="135">
        <f>SUM(S256:S263)</f>
        <v>1</v>
      </c>
      <c r="T265" s="25"/>
      <c r="U265" s="25"/>
      <c r="V265" s="5"/>
    </row>
    <row r="266" spans="1:22" ht="15.6" x14ac:dyDescent="0.3">
      <c r="A266" s="24"/>
      <c r="B266" s="25"/>
      <c r="C266" s="25"/>
      <c r="D266" s="25"/>
      <c r="E266" s="25"/>
      <c r="F266" s="25"/>
      <c r="G266" s="25"/>
      <c r="H266" s="96"/>
      <c r="I266" s="96"/>
      <c r="J266" s="96"/>
      <c r="K266" s="96"/>
      <c r="L266" s="96"/>
      <c r="M266" s="96"/>
      <c r="N266" s="96"/>
      <c r="O266" s="96"/>
      <c r="P266" s="34"/>
      <c r="Q266" s="135"/>
      <c r="R266" s="53"/>
      <c r="S266" s="135"/>
      <c r="T266" s="25"/>
      <c r="U266" s="25"/>
      <c r="V266" s="5"/>
    </row>
    <row r="267" spans="1:22" ht="15.6" x14ac:dyDescent="0.3">
      <c r="A267" s="24"/>
      <c r="B267" s="145" t="s">
        <v>180</v>
      </c>
      <c r="C267" s="25"/>
      <c r="D267" s="25"/>
      <c r="E267" s="25"/>
      <c r="F267" s="25"/>
      <c r="G267" s="25"/>
      <c r="H267" s="96"/>
      <c r="I267" s="96"/>
      <c r="J267" s="96"/>
      <c r="K267" s="96"/>
      <c r="L267" s="96"/>
      <c r="M267" s="96"/>
      <c r="N267" s="96"/>
      <c r="O267" s="96"/>
      <c r="P267" s="165">
        <f>+P241+P253+P265</f>
        <v>2843</v>
      </c>
      <c r="Q267" s="147"/>
      <c r="R267" s="148">
        <f>+R265+R253+R241</f>
        <v>339248</v>
      </c>
      <c r="S267" s="147"/>
      <c r="T267" s="25"/>
      <c r="U267" s="25"/>
      <c r="V267" s="5"/>
    </row>
    <row r="268" spans="1:22" ht="15.6" x14ac:dyDescent="0.3">
      <c r="A268" s="24"/>
      <c r="B268" s="25"/>
      <c r="C268" s="25"/>
      <c r="D268" s="25"/>
      <c r="E268" s="25"/>
      <c r="F268" s="25"/>
      <c r="G268" s="25"/>
      <c r="H268" s="96"/>
      <c r="I268" s="96"/>
      <c r="J268" s="96"/>
      <c r="K268" s="96"/>
      <c r="L268" s="96"/>
      <c r="M268" s="96"/>
      <c r="N268" s="96"/>
      <c r="O268" s="96"/>
      <c r="P268" s="96"/>
      <c r="Q268" s="96"/>
      <c r="R268" s="53"/>
      <c r="S268" s="96"/>
      <c r="T268" s="25"/>
      <c r="U268" s="25"/>
      <c r="V268" s="5"/>
    </row>
    <row r="269" spans="1:22" ht="15.6" x14ac:dyDescent="0.3">
      <c r="A269" s="6"/>
      <c r="B269" s="8"/>
      <c r="C269" s="8"/>
      <c r="D269" s="8"/>
      <c r="E269" s="8"/>
      <c r="F269" s="8"/>
      <c r="G269" s="8"/>
      <c r="H269" s="97"/>
      <c r="I269" s="97"/>
      <c r="J269" s="97"/>
      <c r="K269" s="97"/>
      <c r="L269" s="97"/>
      <c r="M269" s="97"/>
      <c r="N269" s="97"/>
      <c r="O269" s="97"/>
      <c r="P269" s="97"/>
      <c r="Q269" s="97"/>
      <c r="R269" s="98"/>
      <c r="S269" s="97"/>
      <c r="T269" s="8"/>
      <c r="U269" s="8"/>
      <c r="V269" s="5"/>
    </row>
    <row r="270" spans="1:22" ht="15.6" x14ac:dyDescent="0.3">
      <c r="A270" s="164"/>
      <c r="B270" s="14" t="s">
        <v>97</v>
      </c>
      <c r="C270" s="15"/>
      <c r="D270" s="15"/>
      <c r="E270" s="15"/>
      <c r="F270" s="17" t="s">
        <v>103</v>
      </c>
      <c r="G270" s="15"/>
      <c r="H270" s="14" t="s">
        <v>105</v>
      </c>
      <c r="I270" s="159"/>
      <c r="J270" s="159"/>
      <c r="K270" s="159"/>
      <c r="L270" s="159"/>
      <c r="M270" s="159"/>
      <c r="N270" s="159"/>
      <c r="O270" s="159"/>
      <c r="P270" s="159"/>
      <c r="Q270" s="159"/>
      <c r="R270" s="159"/>
      <c r="S270" s="159"/>
      <c r="T270" s="159"/>
      <c r="U270" s="159"/>
      <c r="V270" s="5"/>
    </row>
    <row r="271" spans="1:22" ht="15.6" x14ac:dyDescent="0.3">
      <c r="A271" s="164"/>
      <c r="B271" s="159"/>
      <c r="C271" s="8"/>
      <c r="D271" s="8"/>
      <c r="E271" s="8"/>
      <c r="F271" s="8"/>
      <c r="G271" s="8"/>
      <c r="H271" s="8"/>
      <c r="I271" s="159"/>
      <c r="J271" s="159"/>
      <c r="K271" s="159"/>
      <c r="L271" s="159"/>
      <c r="M271" s="159"/>
      <c r="N271" s="159"/>
      <c r="O271" s="159"/>
      <c r="P271" s="159"/>
      <c r="Q271" s="159"/>
      <c r="R271" s="159"/>
      <c r="S271" s="159"/>
      <c r="T271" s="159"/>
      <c r="U271" s="159"/>
      <c r="V271" s="5"/>
    </row>
    <row r="272" spans="1:22" ht="15.6" x14ac:dyDescent="0.3">
      <c r="A272" s="164"/>
      <c r="B272" s="13" t="s">
        <v>98</v>
      </c>
      <c r="C272" s="13"/>
      <c r="D272" s="13"/>
      <c r="E272" s="13"/>
      <c r="F272" s="133" t="s">
        <v>159</v>
      </c>
      <c r="G272" s="13"/>
      <c r="H272" s="13" t="s">
        <v>167</v>
      </c>
      <c r="I272" s="159"/>
      <c r="J272" s="159"/>
      <c r="K272" s="159"/>
      <c r="L272" s="159"/>
      <c r="M272" s="159"/>
      <c r="N272" s="159"/>
      <c r="O272" s="159"/>
      <c r="P272" s="159"/>
      <c r="Q272" s="159"/>
      <c r="R272" s="159"/>
      <c r="S272" s="159"/>
      <c r="T272" s="159"/>
      <c r="U272" s="159"/>
      <c r="V272" s="5"/>
    </row>
    <row r="273" spans="1:22" ht="15.6" x14ac:dyDescent="0.3">
      <c r="A273" s="164"/>
      <c r="B273" s="13" t="s">
        <v>273</v>
      </c>
      <c r="C273" s="13"/>
      <c r="D273" s="13"/>
      <c r="E273" s="13"/>
      <c r="F273" s="133" t="s">
        <v>274</v>
      </c>
      <c r="G273" s="13"/>
      <c r="H273" s="13" t="s">
        <v>275</v>
      </c>
      <c r="I273" s="159"/>
      <c r="J273" s="159"/>
      <c r="K273" s="159"/>
      <c r="L273" s="159"/>
      <c r="M273" s="159"/>
      <c r="N273" s="159"/>
      <c r="O273" s="159"/>
      <c r="P273" s="159"/>
      <c r="Q273" s="159"/>
      <c r="R273" s="159"/>
      <c r="S273" s="159"/>
      <c r="T273" s="159"/>
      <c r="U273" s="159"/>
      <c r="V273" s="5"/>
    </row>
    <row r="274" spans="1:22" ht="15.6" x14ac:dyDescent="0.3">
      <c r="A274" s="164"/>
      <c r="B274" s="13" t="s">
        <v>99</v>
      </c>
      <c r="C274" s="13"/>
      <c r="D274" s="13"/>
      <c r="E274" s="13"/>
      <c r="F274" s="133" t="s">
        <v>158</v>
      </c>
      <c r="G274" s="13"/>
      <c r="H274" s="13" t="s">
        <v>168</v>
      </c>
      <c r="I274" s="159"/>
      <c r="J274" s="159"/>
      <c r="K274" s="159"/>
      <c r="L274" s="159"/>
      <c r="M274" s="159"/>
      <c r="N274" s="159"/>
      <c r="O274" s="159"/>
      <c r="P274" s="159"/>
      <c r="Q274" s="159"/>
      <c r="R274" s="159"/>
      <c r="S274" s="159"/>
      <c r="T274" s="159"/>
      <c r="U274" s="159"/>
      <c r="V274" s="5"/>
    </row>
    <row r="275" spans="1:22" ht="15.6" x14ac:dyDescent="0.3">
      <c r="A275" s="164"/>
      <c r="B275" s="13"/>
      <c r="C275" s="13"/>
      <c r="D275" s="13"/>
      <c r="E275" s="13"/>
      <c r="F275" s="13"/>
      <c r="G275" s="100"/>
      <c r="H275" s="159"/>
      <c r="I275" s="159"/>
      <c r="J275" s="159"/>
      <c r="K275" s="159"/>
      <c r="L275" s="159"/>
      <c r="M275" s="159"/>
      <c r="N275" s="159"/>
      <c r="O275" s="159"/>
      <c r="P275" s="159"/>
      <c r="Q275" s="159"/>
      <c r="R275" s="159"/>
      <c r="S275" s="159"/>
      <c r="T275" s="159"/>
      <c r="U275" s="159"/>
      <c r="V275" s="5"/>
    </row>
    <row r="276" spans="1:22" ht="15.6" x14ac:dyDescent="0.3">
      <c r="A276" s="164"/>
      <c r="B276" s="13"/>
      <c r="C276" s="13"/>
      <c r="D276" s="13"/>
      <c r="E276" s="13"/>
      <c r="F276" s="13"/>
      <c r="G276" s="100"/>
      <c r="H276" s="159"/>
      <c r="I276" s="159"/>
      <c r="J276" s="159"/>
      <c r="K276" s="159"/>
      <c r="L276" s="159"/>
      <c r="M276" s="159"/>
      <c r="N276" s="159"/>
      <c r="O276" s="159"/>
      <c r="P276" s="159"/>
      <c r="Q276" s="159"/>
      <c r="R276" s="159"/>
      <c r="S276" s="159"/>
      <c r="T276" s="159"/>
      <c r="U276" s="159"/>
      <c r="V276" s="5"/>
    </row>
    <row r="277" spans="1:22" ht="18" thickBot="1" x14ac:dyDescent="0.35">
      <c r="A277" s="164"/>
      <c r="B277" s="49" t="str">
        <f>B194</f>
        <v>PM9 INVESTOR REPORT QUARTER ENDING APRIL 2009</v>
      </c>
      <c r="C277" s="13"/>
      <c r="D277" s="13"/>
      <c r="E277" s="13"/>
      <c r="F277" s="13"/>
      <c r="G277" s="100"/>
      <c r="H277" s="159"/>
      <c r="I277" s="159"/>
      <c r="J277" s="159"/>
      <c r="K277" s="159"/>
      <c r="L277" s="159"/>
      <c r="M277" s="159"/>
      <c r="N277" s="159"/>
      <c r="O277" s="159"/>
      <c r="P277" s="159"/>
      <c r="Q277" s="159"/>
      <c r="R277" s="159"/>
      <c r="S277" s="159"/>
      <c r="T277" s="159"/>
      <c r="U277" s="159"/>
      <c r="V277" s="5"/>
    </row>
    <row r="278" spans="1:22" x14ac:dyDescent="0.25">
      <c r="A278" s="101"/>
      <c r="B278" s="101"/>
      <c r="C278" s="101"/>
      <c r="D278" s="101"/>
      <c r="E278" s="101"/>
      <c r="F278" s="101"/>
      <c r="G278" s="101"/>
      <c r="H278" s="101"/>
      <c r="I278" s="101"/>
      <c r="J278" s="101"/>
      <c r="K278" s="101"/>
      <c r="L278" s="101"/>
      <c r="M278" s="101"/>
      <c r="N278" s="101"/>
      <c r="O278" s="101"/>
      <c r="P278" s="101"/>
      <c r="Q278" s="101"/>
      <c r="R278" s="101"/>
      <c r="S278" s="101"/>
      <c r="T278" s="101"/>
      <c r="U278" s="101"/>
    </row>
  </sheetData>
  <phoneticPr fontId="0" type="noConversion"/>
  <hyperlinks>
    <hyperlink ref="J9" r:id="rId1" xr:uid="{00000000-0004-0000-0E00-000000000000}"/>
    <hyperlink ref="N229" r:id="rId2" xr:uid="{00000000-0004-0000-0E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4" max="14" man="1"/>
    <brk id="194" max="14"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2D2926"/>
  </sheetPr>
  <dimension ref="A1:W278"/>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t="s">
        <v>263</v>
      </c>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0.71030000000000004</v>
      </c>
      <c r="R16" s="17" t="s">
        <v>149</v>
      </c>
      <c r="S16" s="140">
        <v>0.28970000000000001</v>
      </c>
      <c r="T16" s="16"/>
      <c r="U16" s="15"/>
      <c r="V16" s="5"/>
    </row>
    <row r="17" spans="1:22" ht="15.6" x14ac:dyDescent="0.3">
      <c r="A17" s="6"/>
      <c r="B17" s="14" t="s">
        <v>4</v>
      </c>
      <c r="C17" s="15"/>
      <c r="D17" s="15"/>
      <c r="E17" s="15"/>
      <c r="F17" s="15"/>
      <c r="G17" s="15"/>
      <c r="H17" s="15"/>
      <c r="I17" s="15"/>
      <c r="J17" s="15"/>
      <c r="K17" s="15"/>
      <c r="L17" s="15"/>
      <c r="M17" s="15"/>
      <c r="N17" s="15"/>
      <c r="O17" s="15"/>
      <c r="P17" s="15"/>
      <c r="Q17" s="169"/>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40049</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146095.52439999999</v>
      </c>
      <c r="E30" s="32"/>
      <c r="F30" s="125">
        <f>F29*F36</f>
        <v>149895.69699999999</v>
      </c>
      <c r="G30" s="31"/>
      <c r="H30" s="150">
        <f>H29*H36</f>
        <v>25334.453999999998</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144753.87479999999</v>
      </c>
      <c r="E31" s="36"/>
      <c r="F31" s="126">
        <f>F35*F29</f>
        <v>148519.149</v>
      </c>
      <c r="G31" s="35"/>
      <c r="H31" s="155">
        <f>H35*H29</f>
        <v>25101.791999999998</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146095.52439999999</v>
      </c>
      <c r="E33" s="32"/>
      <c r="F33" s="31">
        <f>F32*F36</f>
        <v>103238.0223</v>
      </c>
      <c r="G33" s="31"/>
      <c r="H33" s="31">
        <f>H32*H36</f>
        <v>14313.966509999998</v>
      </c>
      <c r="I33" s="31"/>
      <c r="J33" s="31">
        <f>J32*J36</f>
        <v>7000</v>
      </c>
      <c r="K33" s="31"/>
      <c r="L33" s="31">
        <f>L32*L36</f>
        <v>20300</v>
      </c>
      <c r="M33" s="31"/>
      <c r="N33" s="31">
        <f>N32*N36</f>
        <v>3000</v>
      </c>
      <c r="O33" s="31"/>
      <c r="P33" s="31">
        <f>P32*P36</f>
        <v>45300</v>
      </c>
      <c r="Q33" s="31"/>
      <c r="R33" s="31"/>
      <c r="S33" s="161"/>
      <c r="T33" s="31">
        <f>SUM(C33:P33)</f>
        <v>339247.51321</v>
      </c>
      <c r="U33" s="34"/>
      <c r="V33" s="5"/>
    </row>
    <row r="34" spans="1:22" ht="15.6" x14ac:dyDescent="0.3">
      <c r="A34" s="28"/>
      <c r="B34" s="29" t="s">
        <v>291</v>
      </c>
      <c r="C34" s="36"/>
      <c r="D34" s="35">
        <f>D35*D32</f>
        <v>144753.87479999999</v>
      </c>
      <c r="E34" s="36"/>
      <c r="F34" s="35">
        <f>F35*F32</f>
        <v>102289.9491</v>
      </c>
      <c r="G34" s="35"/>
      <c r="H34" s="35">
        <f>H35*H32</f>
        <v>14182.512479999999</v>
      </c>
      <c r="I34" s="35"/>
      <c r="J34" s="35">
        <f>J35*J32</f>
        <v>7000</v>
      </c>
      <c r="K34" s="35"/>
      <c r="L34" s="35">
        <f>L35*L32</f>
        <v>20300</v>
      </c>
      <c r="M34" s="35"/>
      <c r="N34" s="35">
        <f>N35*N32</f>
        <v>3000</v>
      </c>
      <c r="O34" s="35"/>
      <c r="P34" s="35">
        <f>P35*P32</f>
        <v>45300</v>
      </c>
      <c r="Q34" s="35"/>
      <c r="R34" s="35"/>
      <c r="S34" s="37"/>
      <c r="T34" s="35">
        <f>SUM(C34:P34)</f>
        <v>336826.33637999999</v>
      </c>
      <c r="U34" s="34"/>
      <c r="V34" s="5"/>
    </row>
    <row r="35" spans="1:22" ht="15.6" x14ac:dyDescent="0.3">
      <c r="A35" s="28"/>
      <c r="B35" s="123" t="s">
        <v>139</v>
      </c>
      <c r="C35" s="127"/>
      <c r="D35" s="167">
        <v>0.41836380000000001</v>
      </c>
      <c r="E35" s="168"/>
      <c r="F35" s="167">
        <v>0.41836380000000001</v>
      </c>
      <c r="G35" s="167"/>
      <c r="H35" s="167">
        <v>0.41836319999999999</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67">
        <v>0.42224139999999999</v>
      </c>
      <c r="E36" s="168"/>
      <c r="F36" s="167">
        <v>0.42224139999999999</v>
      </c>
      <c r="G36" s="167"/>
      <c r="H36" s="167">
        <v>0.42224089999999997</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1.53688E-2</v>
      </c>
      <c r="E38" s="25"/>
      <c r="F38" s="38">
        <v>1.461E-2</v>
      </c>
      <c r="G38" s="39"/>
      <c r="H38" s="38">
        <v>1.06313E-2</v>
      </c>
      <c r="I38" s="39"/>
      <c r="J38" s="38">
        <v>1.6468799999999999E-2</v>
      </c>
      <c r="K38" s="39"/>
      <c r="L38" s="38">
        <v>1.5709999999999998E-2</v>
      </c>
      <c r="M38" s="39"/>
      <c r="N38" s="38">
        <v>1.8768799999999999E-2</v>
      </c>
      <c r="O38" s="39"/>
      <c r="P38" s="38">
        <v>1.8010000000000002E-2</v>
      </c>
      <c r="Q38" s="39"/>
      <c r="R38" s="38"/>
      <c r="S38" s="160"/>
      <c r="T38" s="39"/>
      <c r="U38" s="25"/>
      <c r="V38" s="5"/>
    </row>
    <row r="39" spans="1:22" ht="15.6" x14ac:dyDescent="0.3">
      <c r="A39" s="24"/>
      <c r="B39" s="25" t="s">
        <v>14</v>
      </c>
      <c r="C39" s="25"/>
      <c r="D39" s="38">
        <v>2.2425E-2</v>
      </c>
      <c r="E39" s="25"/>
      <c r="F39" s="38">
        <v>2.1229999999999999E-2</v>
      </c>
      <c r="G39" s="39"/>
      <c r="H39" s="38">
        <v>1.4175E-2</v>
      </c>
      <c r="I39" s="39"/>
      <c r="J39" s="38">
        <v>2.3525000000000001E-2</v>
      </c>
      <c r="K39" s="39"/>
      <c r="L39" s="38">
        <v>2.2329999999999999E-2</v>
      </c>
      <c r="M39" s="39"/>
      <c r="N39" s="38">
        <v>2.5825000000000001E-2</v>
      </c>
      <c r="O39" s="39"/>
      <c r="P39" s="38">
        <v>2.4629999999999999E-2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1.53688E-2</v>
      </c>
      <c r="E41" s="25"/>
      <c r="F41" s="38">
        <v>1.54688E-2</v>
      </c>
      <c r="G41" s="39"/>
      <c r="H41" s="38">
        <v>1.5598799999999999E-2</v>
      </c>
      <c r="I41" s="39"/>
      <c r="J41" s="38">
        <f>+J38</f>
        <v>1.6468799999999999E-2</v>
      </c>
      <c r="K41" s="39"/>
      <c r="L41" s="38">
        <v>1.6763799999999999E-2</v>
      </c>
      <c r="M41" s="39"/>
      <c r="N41" s="38">
        <f>+N38</f>
        <v>1.8768799999999999E-2</v>
      </c>
      <c r="O41" s="39"/>
      <c r="P41" s="38">
        <v>1.9208800000000002E-2</v>
      </c>
      <c r="Q41" s="39"/>
      <c r="R41" s="38"/>
      <c r="S41" s="160"/>
      <c r="T41" s="39">
        <f>SUMPRODUCT(D41:P41,D33:P33)/T33</f>
        <v>1.6057932581445281E-2</v>
      </c>
      <c r="U41" s="25"/>
      <c r="V41" s="5"/>
    </row>
    <row r="42" spans="1:22" ht="15.6" x14ac:dyDescent="0.3">
      <c r="A42" s="24"/>
      <c r="B42" s="25" t="s">
        <v>294</v>
      </c>
      <c r="C42" s="25"/>
      <c r="D42" s="38">
        <f>+D39</f>
        <v>2.2425E-2</v>
      </c>
      <c r="E42" s="25"/>
      <c r="F42" s="38">
        <v>2.2525E-2</v>
      </c>
      <c r="G42" s="39"/>
      <c r="H42" s="38">
        <v>2.2655000000000002E-2</v>
      </c>
      <c r="I42" s="39"/>
      <c r="J42" s="38">
        <f>+J39</f>
        <v>2.3525000000000001E-2</v>
      </c>
      <c r="K42" s="39"/>
      <c r="L42" s="38">
        <v>2.3820000000000001E-2</v>
      </c>
      <c r="M42" s="39"/>
      <c r="N42" s="38">
        <f>+N39</f>
        <v>2.5825000000000001E-2</v>
      </c>
      <c r="O42" s="39"/>
      <c r="P42" s="38">
        <v>2.6265E-2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0.28940420421479401</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40042</v>
      </c>
      <c r="U53" s="25"/>
      <c r="V53" s="5"/>
    </row>
    <row r="54" spans="1:23" ht="15.6" x14ac:dyDescent="0.3">
      <c r="A54" s="24"/>
      <c r="B54" s="25" t="s">
        <v>130</v>
      </c>
      <c r="C54" s="25"/>
      <c r="D54" s="25"/>
      <c r="E54" s="25"/>
      <c r="F54" s="25"/>
      <c r="G54" s="25"/>
      <c r="H54" s="58"/>
      <c r="I54" s="58"/>
      <c r="J54" s="58"/>
      <c r="K54" s="58"/>
      <c r="L54" s="58"/>
      <c r="M54" s="58"/>
      <c r="N54" s="58"/>
      <c r="O54" s="58"/>
      <c r="P54" s="25">
        <f>+T54-R54+1</f>
        <v>87</v>
      </c>
      <c r="Q54" s="25"/>
      <c r="R54" s="45">
        <v>39861</v>
      </c>
      <c r="S54" s="46"/>
      <c r="T54" s="45">
        <v>39947</v>
      </c>
      <c r="U54" s="25"/>
      <c r="V54" s="5"/>
    </row>
    <row r="55" spans="1:23" ht="15.6" x14ac:dyDescent="0.3">
      <c r="A55" s="24"/>
      <c r="B55" s="25" t="s">
        <v>131</v>
      </c>
      <c r="C55" s="25"/>
      <c r="D55" s="25"/>
      <c r="E55" s="25"/>
      <c r="F55" s="25"/>
      <c r="G55" s="25"/>
      <c r="H55" s="25"/>
      <c r="I55" s="25"/>
      <c r="J55" s="25"/>
      <c r="K55" s="25"/>
      <c r="L55" s="25"/>
      <c r="M55" s="25"/>
      <c r="N55" s="25"/>
      <c r="O55" s="25"/>
      <c r="P55" s="25">
        <f>+T55-R55+1</f>
        <v>94</v>
      </c>
      <c r="Q55" s="25"/>
      <c r="R55" s="45">
        <v>39948</v>
      </c>
      <c r="S55" s="46"/>
      <c r="T55" s="45">
        <v>40041</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40028</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287</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339248</v>
      </c>
      <c r="M66" s="34"/>
      <c r="N66" s="34">
        <f>2421+360+121+1</f>
        <v>2903</v>
      </c>
      <c r="O66" s="34"/>
      <c r="P66" s="34">
        <f>360+121</f>
        <v>481</v>
      </c>
      <c r="Q66" s="34"/>
      <c r="R66" s="34">
        <v>0</v>
      </c>
      <c r="S66" s="34"/>
      <c r="T66" s="53">
        <f>+L66-N66+P66-R66</f>
        <v>336826</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339248</v>
      </c>
      <c r="M69" s="34"/>
      <c r="N69" s="34">
        <f>SUM(N66:N68)</f>
        <v>2903</v>
      </c>
      <c r="O69" s="34"/>
      <c r="P69" s="34">
        <f>SUM(P66:P68)</f>
        <v>481</v>
      </c>
      <c r="Q69" s="34"/>
      <c r="R69" s="34">
        <f>SUM(R66:R68)</f>
        <v>0</v>
      </c>
      <c r="S69" s="34"/>
      <c r="T69" s="54">
        <f>SUM(T66:T68)</f>
        <v>336826</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2"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2" ht="15.6" x14ac:dyDescent="0.3">
      <c r="A82" s="24"/>
      <c r="B82" s="25" t="s">
        <v>27</v>
      </c>
      <c r="C82" s="34"/>
      <c r="D82" s="34"/>
      <c r="E82" s="34"/>
      <c r="F82" s="54"/>
      <c r="G82" s="34"/>
      <c r="H82" s="54"/>
      <c r="I82" s="54"/>
      <c r="J82" s="54">
        <f>SUM(J69:J81)</f>
        <v>700000</v>
      </c>
      <c r="K82" s="34"/>
      <c r="L82" s="54">
        <f>SUM(L69:L81)</f>
        <v>339248</v>
      </c>
      <c r="M82" s="34"/>
      <c r="N82" s="34"/>
      <c r="O82" s="34"/>
      <c r="P82" s="34"/>
      <c r="Q82" s="34"/>
      <c r="R82" s="54"/>
      <c r="S82" s="34"/>
      <c r="T82" s="54">
        <f>SUM(T69:T81)</f>
        <v>336826</v>
      </c>
      <c r="U82" s="25"/>
      <c r="V82" s="5"/>
    </row>
    <row r="83" spans="1:22"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2" ht="15.6" x14ac:dyDescent="0.3">
      <c r="A84" s="6"/>
      <c r="B84" s="8"/>
      <c r="C84" s="8"/>
      <c r="D84" s="8"/>
      <c r="E84" s="8"/>
      <c r="F84" s="8"/>
      <c r="G84" s="8"/>
      <c r="H84" s="8"/>
      <c r="I84" s="8"/>
      <c r="J84" s="8"/>
      <c r="K84" s="8"/>
      <c r="L84" s="8"/>
      <c r="M84" s="8"/>
      <c r="N84" s="8"/>
      <c r="O84" s="8"/>
      <c r="P84" s="8"/>
      <c r="Q84" s="8"/>
      <c r="R84" s="8"/>
      <c r="S84" s="8"/>
      <c r="T84" s="8"/>
      <c r="U84" s="8"/>
      <c r="V84" s="5"/>
    </row>
    <row r="85" spans="1:22" ht="15.6" x14ac:dyDescent="0.3">
      <c r="A85" s="6"/>
      <c r="B85" s="51" t="s">
        <v>28</v>
      </c>
      <c r="C85" s="14"/>
      <c r="D85" s="14"/>
      <c r="E85" s="14"/>
      <c r="F85" s="14"/>
      <c r="G85" s="14"/>
      <c r="H85" s="17"/>
      <c r="I85" s="17"/>
      <c r="J85" s="158" t="s">
        <v>101</v>
      </c>
      <c r="K85" s="17"/>
      <c r="L85" s="157">
        <f>+R195</f>
        <v>40025</v>
      </c>
      <c r="M85" s="17"/>
      <c r="N85" s="17"/>
      <c r="O85" s="17"/>
      <c r="P85" s="17"/>
      <c r="Q85" s="17"/>
      <c r="R85" s="17" t="s">
        <v>114</v>
      </c>
      <c r="S85" s="17"/>
      <c r="T85" s="17" t="s">
        <v>122</v>
      </c>
      <c r="U85" s="8"/>
      <c r="V85" s="5"/>
    </row>
    <row r="86" spans="1:22"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2" ht="15.6" x14ac:dyDescent="0.3">
      <c r="A87" s="24"/>
      <c r="B87" s="25" t="s">
        <v>30</v>
      </c>
      <c r="C87" s="25"/>
      <c r="D87" s="25"/>
      <c r="E87" s="25"/>
      <c r="F87" s="25"/>
      <c r="G87" s="25"/>
      <c r="H87" s="40"/>
      <c r="I87" s="57"/>
      <c r="J87" s="40"/>
      <c r="K87" s="25"/>
      <c r="L87" s="128"/>
      <c r="M87" s="25"/>
      <c r="N87" s="25"/>
      <c r="O87" s="25"/>
      <c r="P87" s="25"/>
      <c r="Q87" s="25"/>
      <c r="R87" s="34">
        <f>2903-502</f>
        <v>2401</v>
      </c>
      <c r="S87" s="25"/>
      <c r="T87" s="53"/>
      <c r="U87" s="25"/>
      <c r="V87" s="5"/>
    </row>
    <row r="88" spans="1:22" ht="15.6" x14ac:dyDescent="0.3">
      <c r="A88" s="24"/>
      <c r="B88" s="25" t="s">
        <v>254</v>
      </c>
      <c r="C88" s="25"/>
      <c r="D88" s="25"/>
      <c r="E88" s="25"/>
      <c r="F88" s="25"/>
      <c r="G88" s="25"/>
      <c r="H88" s="40"/>
      <c r="I88" s="57"/>
      <c r="J88" s="40"/>
      <c r="K88" s="25"/>
      <c r="L88" s="128"/>
      <c r="M88" s="25"/>
      <c r="N88" s="25"/>
      <c r="O88" s="25"/>
      <c r="P88" s="25"/>
      <c r="Q88" s="25"/>
      <c r="R88" s="34"/>
      <c r="S88" s="25"/>
      <c r="T88" s="53">
        <f>2836+1020-426-134+13+2</f>
        <v>3311</v>
      </c>
      <c r="U88" s="25"/>
      <c r="V88" s="5"/>
    </row>
    <row r="89" spans="1:22" ht="15.6" x14ac:dyDescent="0.3">
      <c r="A89" s="24"/>
      <c r="B89" s="25" t="s">
        <v>255</v>
      </c>
      <c r="C89" s="25"/>
      <c r="D89" s="25"/>
      <c r="E89" s="25"/>
      <c r="F89" s="25"/>
      <c r="G89" s="25"/>
      <c r="H89" s="40"/>
      <c r="I89" s="57"/>
      <c r="J89" s="40"/>
      <c r="K89" s="25"/>
      <c r="L89" s="128"/>
      <c r="M89" s="25"/>
      <c r="N89" s="25"/>
      <c r="O89" s="25"/>
      <c r="P89" s="25"/>
      <c r="Q89" s="25"/>
      <c r="R89" s="34"/>
      <c r="S89" s="25"/>
      <c r="T89" s="53">
        <f>77+157</f>
        <v>234</v>
      </c>
      <c r="U89" s="25"/>
      <c r="V89" s="5"/>
    </row>
    <row r="90" spans="1:22" ht="15.6" x14ac:dyDescent="0.3">
      <c r="A90" s="24"/>
      <c r="B90" s="25" t="s">
        <v>256</v>
      </c>
      <c r="C90" s="25"/>
      <c r="D90" s="25"/>
      <c r="E90" s="25"/>
      <c r="F90" s="25"/>
      <c r="G90" s="25"/>
      <c r="H90" s="40"/>
      <c r="I90" s="57"/>
      <c r="J90" s="40"/>
      <c r="K90" s="25"/>
      <c r="L90" s="128"/>
      <c r="M90" s="25"/>
      <c r="N90" s="25"/>
      <c r="O90" s="25"/>
      <c r="P90" s="25"/>
      <c r="Q90" s="25"/>
      <c r="R90" s="34"/>
      <c r="S90" s="25"/>
      <c r="T90" s="53">
        <v>68</v>
      </c>
      <c r="U90" s="25"/>
      <c r="V90" s="5"/>
    </row>
    <row r="91" spans="1:22" ht="15.6" x14ac:dyDescent="0.3">
      <c r="A91" s="24"/>
      <c r="B91" s="25" t="s">
        <v>270</v>
      </c>
      <c r="C91" s="25"/>
      <c r="D91" s="25"/>
      <c r="E91" s="25"/>
      <c r="F91" s="25"/>
      <c r="G91" s="25"/>
      <c r="H91" s="40"/>
      <c r="I91" s="57"/>
      <c r="J91" s="40"/>
      <c r="K91" s="25"/>
      <c r="L91" s="128"/>
      <c r="M91" s="25"/>
      <c r="N91" s="25"/>
      <c r="O91" s="25"/>
      <c r="P91" s="25"/>
      <c r="Q91" s="25"/>
      <c r="R91" s="34"/>
      <c r="S91" s="25"/>
      <c r="T91" s="53">
        <v>0</v>
      </c>
      <c r="U91" s="25"/>
      <c r="V91" s="5"/>
    </row>
    <row r="92" spans="1:22" ht="15.6" x14ac:dyDescent="0.3">
      <c r="A92" s="24"/>
      <c r="B92" s="25" t="s">
        <v>144</v>
      </c>
      <c r="C92" s="25"/>
      <c r="D92" s="25"/>
      <c r="E92" s="25"/>
      <c r="F92" s="25"/>
      <c r="G92" s="25"/>
      <c r="H92" s="25"/>
      <c r="I92" s="25"/>
      <c r="J92" s="25"/>
      <c r="K92" s="25"/>
      <c r="L92" s="25"/>
      <c r="M92" s="25"/>
      <c r="N92" s="25"/>
      <c r="O92" s="25"/>
      <c r="P92" s="25"/>
      <c r="Q92" s="25"/>
      <c r="R92" s="34"/>
      <c r="S92" s="25"/>
      <c r="T92" s="53">
        <v>0</v>
      </c>
      <c r="U92" s="25"/>
      <c r="V92" s="5"/>
    </row>
    <row r="93" spans="1:22" ht="15.6" x14ac:dyDescent="0.3">
      <c r="A93" s="24"/>
      <c r="B93" s="25" t="s">
        <v>233</v>
      </c>
      <c r="C93" s="25"/>
      <c r="D93" s="25"/>
      <c r="E93" s="25"/>
      <c r="F93" s="25"/>
      <c r="G93" s="25"/>
      <c r="H93" s="25"/>
      <c r="I93" s="25"/>
      <c r="J93" s="25"/>
      <c r="K93" s="25"/>
      <c r="L93" s="25"/>
      <c r="M93" s="25"/>
      <c r="N93" s="25"/>
      <c r="O93" s="25"/>
      <c r="P93" s="25"/>
      <c r="Q93" s="25"/>
      <c r="R93" s="34"/>
      <c r="S93" s="25"/>
      <c r="T93" s="53">
        <v>0</v>
      </c>
      <c r="U93" s="25"/>
      <c r="V93" s="5"/>
    </row>
    <row r="94" spans="1:22" ht="15.6" x14ac:dyDescent="0.3">
      <c r="A94" s="24"/>
      <c r="B94" s="25" t="s">
        <v>32</v>
      </c>
      <c r="C94" s="25"/>
      <c r="D94" s="25"/>
      <c r="E94" s="25"/>
      <c r="F94" s="25"/>
      <c r="G94" s="25"/>
      <c r="H94" s="25"/>
      <c r="I94" s="25"/>
      <c r="J94" s="25"/>
      <c r="K94" s="25"/>
      <c r="L94" s="25"/>
      <c r="M94" s="25"/>
      <c r="N94" s="25"/>
      <c r="O94" s="25"/>
      <c r="P94" s="25"/>
      <c r="Q94" s="25"/>
      <c r="R94" s="34">
        <f>SUM(R86:R93)</f>
        <v>2401</v>
      </c>
      <c r="S94" s="25"/>
      <c r="T94" s="54">
        <f>SUM(T86:T93)</f>
        <v>3613</v>
      </c>
      <c r="U94" s="25"/>
      <c r="V94" s="5"/>
    </row>
    <row r="95" spans="1:22" ht="15.6" x14ac:dyDescent="0.3">
      <c r="A95" s="24"/>
      <c r="B95" s="25" t="s">
        <v>176</v>
      </c>
      <c r="C95" s="25"/>
      <c r="D95" s="25"/>
      <c r="E95" s="25"/>
      <c r="F95" s="25"/>
      <c r="G95" s="25"/>
      <c r="H95" s="25"/>
      <c r="I95" s="25"/>
      <c r="J95" s="25"/>
      <c r="K95" s="25"/>
      <c r="L95" s="25"/>
      <c r="M95" s="25"/>
      <c r="N95" s="25"/>
      <c r="O95" s="25"/>
      <c r="P95" s="25"/>
      <c r="Q95" s="25"/>
      <c r="R95" s="34">
        <v>-6</v>
      </c>
      <c r="S95" s="25"/>
      <c r="T95" s="54">
        <f>-R95</f>
        <v>6</v>
      </c>
      <c r="U95" s="25"/>
      <c r="V95" s="5"/>
    </row>
    <row r="96" spans="1:22" ht="15.6" x14ac:dyDescent="0.3">
      <c r="A96" s="24"/>
      <c r="B96" s="25" t="s">
        <v>33</v>
      </c>
      <c r="C96" s="25"/>
      <c r="D96" s="25"/>
      <c r="E96" s="25"/>
      <c r="F96" s="25"/>
      <c r="G96" s="25"/>
      <c r="H96" s="25"/>
      <c r="I96" s="25"/>
      <c r="J96" s="25"/>
      <c r="K96" s="25"/>
      <c r="L96" s="25"/>
      <c r="M96" s="25"/>
      <c r="N96" s="25"/>
      <c r="O96" s="25"/>
      <c r="P96" s="25"/>
      <c r="Q96" s="25"/>
      <c r="R96" s="34">
        <f>-T96</f>
        <v>0</v>
      </c>
      <c r="S96" s="25"/>
      <c r="T96" s="53">
        <v>0</v>
      </c>
      <c r="U96" s="25"/>
      <c r="V96" s="5"/>
    </row>
    <row r="97" spans="1:23" ht="15.6" x14ac:dyDescent="0.3">
      <c r="A97" s="24"/>
      <c r="B97" s="25" t="s">
        <v>278</v>
      </c>
      <c r="C97" s="25"/>
      <c r="D97" s="25"/>
      <c r="E97" s="25"/>
      <c r="F97" s="25"/>
      <c r="G97" s="25"/>
      <c r="H97" s="25"/>
      <c r="I97" s="25"/>
      <c r="J97" s="25"/>
      <c r="K97" s="25"/>
      <c r="L97" s="25"/>
      <c r="M97" s="25"/>
      <c r="N97" s="25"/>
      <c r="O97" s="25"/>
      <c r="P97" s="25"/>
      <c r="Q97" s="25"/>
      <c r="R97" s="34"/>
      <c r="S97" s="25"/>
      <c r="T97" s="53">
        <v>267</v>
      </c>
      <c r="U97" s="25"/>
      <c r="V97" s="5"/>
    </row>
    <row r="98" spans="1:23" ht="15.6" x14ac:dyDescent="0.3">
      <c r="A98" s="24"/>
      <c r="B98" s="25" t="s">
        <v>34</v>
      </c>
      <c r="C98" s="25"/>
      <c r="D98" s="25"/>
      <c r="E98" s="25"/>
      <c r="F98" s="25"/>
      <c r="G98" s="25"/>
      <c r="H98" s="25"/>
      <c r="I98" s="25"/>
      <c r="J98" s="25"/>
      <c r="K98" s="25"/>
      <c r="L98" s="25"/>
      <c r="M98" s="25"/>
      <c r="N98" s="25"/>
      <c r="O98" s="25"/>
      <c r="P98" s="25"/>
      <c r="Q98" s="25"/>
      <c r="R98" s="34">
        <f>R94+R96+R95</f>
        <v>2395</v>
      </c>
      <c r="S98" s="25"/>
      <c r="T98" s="54">
        <f>T94+T96+T95+T97</f>
        <v>3886</v>
      </c>
      <c r="U98" s="25"/>
      <c r="V98" s="5"/>
      <c r="W98" s="166"/>
    </row>
    <row r="99" spans="1:23" ht="15.6" x14ac:dyDescent="0.3">
      <c r="A99" s="24"/>
      <c r="B99" s="119" t="s">
        <v>35</v>
      </c>
      <c r="C99" s="25"/>
      <c r="D99" s="25"/>
      <c r="E99" s="25"/>
      <c r="F99" s="25"/>
      <c r="G99" s="25"/>
      <c r="H99" s="25"/>
      <c r="I99" s="25"/>
      <c r="J99" s="25"/>
      <c r="K99" s="25"/>
      <c r="L99" s="25"/>
      <c r="M99" s="25"/>
      <c r="N99" s="25"/>
      <c r="O99" s="25"/>
      <c r="P99" s="25"/>
      <c r="Q99" s="25"/>
      <c r="R99" s="34"/>
      <c r="S99" s="25"/>
      <c r="T99" s="53"/>
      <c r="U99" s="25"/>
      <c r="V99" s="5"/>
    </row>
    <row r="100" spans="1:23" ht="15.6" x14ac:dyDescent="0.3">
      <c r="A100" s="24">
        <v>1</v>
      </c>
      <c r="B100" s="25" t="s">
        <v>36</v>
      </c>
      <c r="C100" s="25"/>
      <c r="D100" s="25"/>
      <c r="E100" s="25"/>
      <c r="F100" s="25"/>
      <c r="G100" s="25"/>
      <c r="H100" s="25"/>
      <c r="I100" s="25"/>
      <c r="J100" s="25"/>
      <c r="K100" s="25"/>
      <c r="L100" s="25"/>
      <c r="M100" s="25"/>
      <c r="N100" s="25"/>
      <c r="O100" s="25"/>
      <c r="P100" s="25"/>
      <c r="Q100" s="25"/>
      <c r="R100" s="25"/>
      <c r="S100" s="25"/>
      <c r="T100" s="53">
        <v>0</v>
      </c>
      <c r="U100" s="25"/>
      <c r="V100" s="5"/>
    </row>
    <row r="101" spans="1:23" ht="15.6" x14ac:dyDescent="0.3">
      <c r="A101" s="24">
        <f>+A100+1</f>
        <v>2</v>
      </c>
      <c r="B101" s="25" t="s">
        <v>37</v>
      </c>
      <c r="C101" s="25"/>
      <c r="D101" s="25"/>
      <c r="E101" s="25"/>
      <c r="F101" s="25"/>
      <c r="G101" s="25"/>
      <c r="H101" s="25"/>
      <c r="I101" s="25"/>
      <c r="J101" s="25"/>
      <c r="K101" s="25"/>
      <c r="L101" s="25"/>
      <c r="M101" s="25"/>
      <c r="N101" s="25"/>
      <c r="O101" s="25"/>
      <c r="P101" s="25"/>
      <c r="Q101" s="25"/>
      <c r="R101" s="25"/>
      <c r="S101" s="25"/>
      <c r="T101" s="53">
        <v>-2</v>
      </c>
      <c r="U101" s="25"/>
      <c r="V101" s="5"/>
    </row>
    <row r="102" spans="1:23" ht="15.6" x14ac:dyDescent="0.3">
      <c r="A102" s="24">
        <f>+A101+1</f>
        <v>3</v>
      </c>
      <c r="B102" s="25" t="s">
        <v>160</v>
      </c>
      <c r="C102" s="25"/>
      <c r="D102" s="25"/>
      <c r="E102" s="25"/>
      <c r="F102" s="25"/>
      <c r="G102" s="25"/>
      <c r="H102" s="25"/>
      <c r="I102" s="25"/>
      <c r="J102" s="25"/>
      <c r="K102" s="25"/>
      <c r="L102" s="25"/>
      <c r="M102" s="25"/>
      <c r="N102" s="25"/>
      <c r="O102" s="25"/>
      <c r="P102" s="25"/>
      <c r="Q102" s="25"/>
      <c r="R102" s="25"/>
      <c r="S102" s="25"/>
      <c r="T102" s="53">
        <f>-129-133-4</f>
        <v>-266</v>
      </c>
      <c r="U102" s="25"/>
      <c r="V102" s="5"/>
    </row>
    <row r="103" spans="1:23" ht="15.6" x14ac:dyDescent="0.3">
      <c r="A103" s="24" t="s">
        <v>136</v>
      </c>
      <c r="B103" s="25" t="s">
        <v>125</v>
      </c>
      <c r="C103" s="25"/>
      <c r="D103" s="25"/>
      <c r="E103" s="25"/>
      <c r="F103" s="25"/>
      <c r="G103" s="25"/>
      <c r="H103" s="25"/>
      <c r="I103" s="25"/>
      <c r="J103" s="25"/>
      <c r="K103" s="25"/>
      <c r="L103" s="25"/>
      <c r="M103" s="25"/>
      <c r="N103" s="25"/>
      <c r="O103" s="25"/>
      <c r="P103" s="25"/>
      <c r="Q103" s="25"/>
      <c r="R103" s="25"/>
      <c r="S103" s="25"/>
      <c r="T103" s="53">
        <f>-888-47</f>
        <v>-935</v>
      </c>
      <c r="U103" s="25"/>
      <c r="V103" s="5"/>
    </row>
    <row r="104" spans="1:23" ht="15.6" x14ac:dyDescent="0.3">
      <c r="A104" s="24" t="s">
        <v>137</v>
      </c>
      <c r="B104" s="25" t="s">
        <v>267</v>
      </c>
      <c r="C104" s="25"/>
      <c r="D104" s="25"/>
      <c r="E104" s="25"/>
      <c r="F104" s="25"/>
      <c r="G104" s="25"/>
      <c r="H104" s="25"/>
      <c r="I104" s="25"/>
      <c r="J104" s="25"/>
      <c r="K104" s="25"/>
      <c r="L104" s="25"/>
      <c r="M104" s="25"/>
      <c r="N104" s="25"/>
      <c r="O104" s="25"/>
      <c r="P104" s="25"/>
      <c r="Q104" s="25"/>
      <c r="R104" s="25"/>
      <c r="S104" s="25"/>
      <c r="T104" s="53">
        <v>-2</v>
      </c>
      <c r="U104" s="25"/>
      <c r="V104" s="5"/>
    </row>
    <row r="105" spans="1:23" ht="15.6" x14ac:dyDescent="0.3">
      <c r="A105" s="24" t="s">
        <v>162</v>
      </c>
      <c r="B105" s="25" t="s">
        <v>218</v>
      </c>
      <c r="C105" s="25"/>
      <c r="D105" s="25"/>
      <c r="E105" s="25"/>
      <c r="F105" s="25"/>
      <c r="G105" s="25"/>
      <c r="H105" s="25"/>
      <c r="I105" s="25"/>
      <c r="J105" s="25"/>
      <c r="K105" s="25"/>
      <c r="L105" s="25"/>
      <c r="M105" s="25"/>
      <c r="N105" s="25"/>
      <c r="O105" s="25"/>
      <c r="P105" s="25"/>
      <c r="Q105" s="25"/>
      <c r="R105" s="25"/>
      <c r="S105" s="25"/>
      <c r="T105" s="53">
        <v>-578</v>
      </c>
      <c r="U105" s="25"/>
      <c r="V105" s="5"/>
      <c r="W105" s="110"/>
    </row>
    <row r="106" spans="1:23" ht="15.6" x14ac:dyDescent="0.3">
      <c r="A106" s="24" t="s">
        <v>163</v>
      </c>
      <c r="B106" s="25" t="s">
        <v>219</v>
      </c>
      <c r="C106" s="25"/>
      <c r="D106" s="25"/>
      <c r="E106" s="25"/>
      <c r="F106" s="25"/>
      <c r="G106" s="25"/>
      <c r="H106" s="25"/>
      <c r="I106" s="25"/>
      <c r="J106" s="25"/>
      <c r="K106" s="25"/>
      <c r="L106" s="25"/>
      <c r="M106" s="25"/>
      <c r="N106" s="25"/>
      <c r="O106" s="25"/>
      <c r="P106" s="25"/>
      <c r="Q106" s="25"/>
      <c r="R106" s="25"/>
      <c r="S106" s="25"/>
      <c r="T106" s="53">
        <v>-411</v>
      </c>
      <c r="U106" s="25"/>
      <c r="V106" s="5"/>
      <c r="W106" s="110"/>
    </row>
    <row r="107" spans="1:23" ht="15.6" x14ac:dyDescent="0.3">
      <c r="A107" s="24" t="s">
        <v>252</v>
      </c>
      <c r="B107" s="25" t="s">
        <v>242</v>
      </c>
      <c r="C107" s="25"/>
      <c r="D107" s="25"/>
      <c r="E107" s="25"/>
      <c r="F107" s="25"/>
      <c r="G107" s="25"/>
      <c r="H107" s="25"/>
      <c r="I107" s="25"/>
      <c r="J107" s="25"/>
      <c r="K107" s="25"/>
      <c r="L107" s="25"/>
      <c r="M107" s="25"/>
      <c r="N107" s="25"/>
      <c r="O107" s="25"/>
      <c r="P107" s="25"/>
      <c r="Q107" s="25"/>
      <c r="R107" s="25"/>
      <c r="S107" s="25"/>
      <c r="T107" s="53">
        <v>-58</v>
      </c>
      <c r="U107" s="25"/>
      <c r="V107" s="170"/>
      <c r="W107" s="110"/>
    </row>
    <row r="108" spans="1:23" ht="15.6" x14ac:dyDescent="0.3">
      <c r="A108" s="24" t="s">
        <v>245</v>
      </c>
      <c r="B108" s="25" t="s">
        <v>220</v>
      </c>
      <c r="C108" s="25"/>
      <c r="D108" s="25"/>
      <c r="E108" s="25"/>
      <c r="F108" s="25"/>
      <c r="G108" s="25"/>
      <c r="H108" s="25"/>
      <c r="I108" s="25"/>
      <c r="J108" s="25"/>
      <c r="K108" s="25"/>
      <c r="L108" s="25"/>
      <c r="M108" s="25"/>
      <c r="N108" s="25"/>
      <c r="O108" s="25"/>
      <c r="P108" s="25"/>
      <c r="Q108" s="25"/>
      <c r="R108" s="25"/>
      <c r="S108" s="25"/>
      <c r="T108" s="53">
        <v>-30</v>
      </c>
      <c r="U108" s="25"/>
      <c r="V108" s="5"/>
      <c r="W108" s="110"/>
    </row>
    <row r="109" spans="1:23" ht="15.6" x14ac:dyDescent="0.3">
      <c r="A109" s="24" t="s">
        <v>246</v>
      </c>
      <c r="B109" s="25" t="s">
        <v>221</v>
      </c>
      <c r="C109" s="25"/>
      <c r="D109" s="25"/>
      <c r="E109" s="25"/>
      <c r="F109" s="25"/>
      <c r="G109" s="25"/>
      <c r="H109" s="25"/>
      <c r="I109" s="25"/>
      <c r="J109" s="25"/>
      <c r="K109" s="25"/>
      <c r="L109" s="25"/>
      <c r="M109" s="25"/>
      <c r="N109" s="25"/>
      <c r="O109" s="25"/>
      <c r="P109" s="25"/>
      <c r="Q109" s="25"/>
      <c r="R109" s="25"/>
      <c r="S109" s="25"/>
      <c r="T109" s="53">
        <v>-87</v>
      </c>
      <c r="U109" s="25"/>
      <c r="V109" s="5"/>
      <c r="W109" s="110"/>
    </row>
    <row r="110" spans="1:23" ht="15.6" x14ac:dyDescent="0.3">
      <c r="A110" s="24" t="s">
        <v>247</v>
      </c>
      <c r="B110" s="25" t="s">
        <v>222</v>
      </c>
      <c r="C110" s="25"/>
      <c r="D110" s="25"/>
      <c r="E110" s="25"/>
      <c r="F110" s="25"/>
      <c r="G110" s="25"/>
      <c r="H110" s="25"/>
      <c r="I110" s="25"/>
      <c r="J110" s="25"/>
      <c r="K110" s="25"/>
      <c r="L110" s="25"/>
      <c r="M110" s="25"/>
      <c r="N110" s="25"/>
      <c r="O110" s="25"/>
      <c r="P110" s="25"/>
      <c r="Q110" s="25"/>
      <c r="R110" s="25"/>
      <c r="S110" s="25"/>
      <c r="T110" s="53">
        <v>-15</v>
      </c>
      <c r="U110" s="25"/>
      <c r="V110" s="5"/>
      <c r="W110" s="110"/>
    </row>
    <row r="111" spans="1:23" ht="15.6" x14ac:dyDescent="0.3">
      <c r="A111" s="24" t="s">
        <v>248</v>
      </c>
      <c r="B111" s="25" t="s">
        <v>223</v>
      </c>
      <c r="C111" s="25"/>
      <c r="D111" s="25"/>
      <c r="E111" s="25"/>
      <c r="F111" s="25"/>
      <c r="G111" s="25"/>
      <c r="H111" s="25"/>
      <c r="I111" s="25"/>
      <c r="J111" s="25"/>
      <c r="K111" s="25"/>
      <c r="L111" s="25"/>
      <c r="M111" s="25"/>
      <c r="N111" s="25"/>
      <c r="O111" s="25"/>
      <c r="P111" s="25"/>
      <c r="Q111" s="25"/>
      <c r="R111" s="25"/>
      <c r="S111" s="25"/>
      <c r="T111" s="53">
        <v>-224</v>
      </c>
      <c r="U111" s="25"/>
      <c r="V111" s="5"/>
      <c r="W111" s="110"/>
    </row>
    <row r="112" spans="1:23" ht="15.6" x14ac:dyDescent="0.3">
      <c r="A112" s="24">
        <v>7</v>
      </c>
      <c r="B112" s="25" t="s">
        <v>38</v>
      </c>
      <c r="C112" s="25"/>
      <c r="D112" s="25"/>
      <c r="E112" s="25"/>
      <c r="F112" s="25"/>
      <c r="G112" s="25"/>
      <c r="H112" s="25"/>
      <c r="I112" s="25"/>
      <c r="J112" s="25"/>
      <c r="K112" s="25"/>
      <c r="L112" s="25"/>
      <c r="M112" s="25"/>
      <c r="N112" s="25"/>
      <c r="O112" s="25"/>
      <c r="P112" s="25"/>
      <c r="Q112" s="25"/>
      <c r="R112" s="25"/>
      <c r="S112" s="25"/>
      <c r="T112" s="53">
        <v>-8</v>
      </c>
      <c r="U112" s="25"/>
      <c r="V112" s="5"/>
    </row>
    <row r="113" spans="1:22" ht="15.6" x14ac:dyDescent="0.3">
      <c r="A113" s="24">
        <f t="shared" ref="A113:A118" si="0">+A112+1</f>
        <v>8</v>
      </c>
      <c r="B113" s="25" t="s">
        <v>49</v>
      </c>
      <c r="C113" s="25"/>
      <c r="D113" s="25"/>
      <c r="E113" s="25"/>
      <c r="F113" s="25"/>
      <c r="G113" s="25"/>
      <c r="H113" s="25"/>
      <c r="I113" s="25"/>
      <c r="J113" s="25"/>
      <c r="K113" s="25"/>
      <c r="L113" s="25"/>
      <c r="M113" s="25"/>
      <c r="N113" s="25"/>
      <c r="O113" s="25"/>
      <c r="P113" s="25"/>
      <c r="Q113" s="25"/>
      <c r="R113" s="34">
        <f>-T113</f>
        <v>502</v>
      </c>
      <c r="S113" s="25"/>
      <c r="T113" s="53">
        <v>-502</v>
      </c>
      <c r="U113" s="25"/>
      <c r="V113" s="5"/>
    </row>
    <row r="114" spans="1:22" ht="15.6" x14ac:dyDescent="0.3">
      <c r="A114" s="24">
        <f t="shared" si="0"/>
        <v>9</v>
      </c>
      <c r="B114" s="25" t="s">
        <v>134</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39</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40</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161</v>
      </c>
      <c r="C117" s="25"/>
      <c r="D117" s="25"/>
      <c r="E117" s="25"/>
      <c r="F117" s="25"/>
      <c r="G117" s="25"/>
      <c r="H117" s="25"/>
      <c r="I117" s="25"/>
      <c r="J117" s="25"/>
      <c r="K117" s="25"/>
      <c r="L117" s="25"/>
      <c r="M117" s="25"/>
      <c r="N117" s="25"/>
      <c r="O117" s="25"/>
      <c r="P117" s="25"/>
      <c r="Q117" s="25"/>
      <c r="R117" s="25"/>
      <c r="S117" s="25"/>
      <c r="T117" s="53">
        <v>-129</v>
      </c>
      <c r="U117" s="25"/>
      <c r="V117" s="5"/>
    </row>
    <row r="118" spans="1:22" ht="15.6" x14ac:dyDescent="0.3">
      <c r="A118" s="24">
        <f t="shared" si="0"/>
        <v>13</v>
      </c>
      <c r="B118" s="25" t="s">
        <v>135</v>
      </c>
      <c r="C118" s="25"/>
      <c r="D118" s="25"/>
      <c r="E118" s="25"/>
      <c r="F118" s="25"/>
      <c r="G118" s="25"/>
      <c r="H118" s="25"/>
      <c r="I118" s="25"/>
      <c r="J118" s="25"/>
      <c r="K118" s="25"/>
      <c r="L118" s="25"/>
      <c r="M118" s="25"/>
      <c r="N118" s="25"/>
      <c r="O118" s="25"/>
      <c r="P118" s="25"/>
      <c r="Q118" s="25"/>
      <c r="R118" s="25"/>
      <c r="S118" s="25"/>
      <c r="T118" s="53">
        <f>-T98-SUM(T100:T117)</f>
        <v>-639</v>
      </c>
      <c r="U118" s="25"/>
      <c r="V118" s="5"/>
    </row>
    <row r="119" spans="1:22" ht="15.6" x14ac:dyDescent="0.3">
      <c r="A119" s="24"/>
      <c r="B119" s="119" t="s">
        <v>41</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229</v>
      </c>
      <c r="C120" s="25"/>
      <c r="D120" s="25"/>
      <c r="E120" s="25"/>
      <c r="F120" s="25"/>
      <c r="G120" s="25"/>
      <c r="H120" s="25"/>
      <c r="I120" s="25"/>
      <c r="J120" s="25"/>
      <c r="K120" s="25"/>
      <c r="L120" s="25"/>
      <c r="M120" s="25"/>
      <c r="N120" s="25"/>
      <c r="O120" s="25"/>
      <c r="P120" s="25"/>
      <c r="Q120" s="25"/>
      <c r="R120" s="34">
        <v>0</v>
      </c>
      <c r="S120" s="34"/>
      <c r="T120" s="53"/>
      <c r="U120" s="25"/>
      <c r="V120" s="5"/>
    </row>
    <row r="121" spans="1:22" ht="15.6" x14ac:dyDescent="0.3">
      <c r="A121" s="24"/>
      <c r="B121" s="25" t="s">
        <v>230</v>
      </c>
      <c r="C121" s="25"/>
      <c r="D121" s="25"/>
      <c r="E121" s="25"/>
      <c r="F121" s="25"/>
      <c r="G121" s="25"/>
      <c r="H121" s="25"/>
      <c r="I121" s="25"/>
      <c r="J121" s="25"/>
      <c r="K121" s="25"/>
      <c r="L121" s="25"/>
      <c r="M121" s="25"/>
      <c r="N121" s="25"/>
      <c r="O121" s="25"/>
      <c r="P121" s="25"/>
      <c r="Q121" s="25"/>
      <c r="R121" s="34">
        <v>-2</v>
      </c>
      <c r="S121" s="34"/>
      <c r="T121" s="53"/>
      <c r="U121" s="25"/>
      <c r="V121" s="5"/>
    </row>
    <row r="122" spans="1:22" ht="15.6" x14ac:dyDescent="0.3">
      <c r="A122" s="24"/>
      <c r="B122" s="25" t="s">
        <v>42</v>
      </c>
      <c r="C122" s="25"/>
      <c r="D122" s="25"/>
      <c r="E122" s="25"/>
      <c r="F122" s="25"/>
      <c r="G122" s="25"/>
      <c r="H122" s="25"/>
      <c r="I122" s="25"/>
      <c r="J122" s="25"/>
      <c r="K122" s="25"/>
      <c r="L122" s="25"/>
      <c r="M122" s="25"/>
      <c r="N122" s="25"/>
      <c r="O122" s="25"/>
      <c r="P122" s="25"/>
      <c r="Q122" s="25"/>
      <c r="R122" s="34">
        <f>-Q179</f>
        <v>-473</v>
      </c>
      <c r="S122" s="34"/>
      <c r="T122" s="53"/>
      <c r="U122" s="25"/>
      <c r="V122" s="5"/>
    </row>
    <row r="123" spans="1:22" ht="15.6" x14ac:dyDescent="0.3">
      <c r="A123" s="24"/>
      <c r="B123" s="25" t="s">
        <v>235</v>
      </c>
      <c r="C123" s="25"/>
      <c r="D123" s="25"/>
      <c r="E123" s="25"/>
      <c r="F123" s="25"/>
      <c r="G123" s="25"/>
      <c r="H123" s="25"/>
      <c r="I123" s="25"/>
      <c r="J123" s="25"/>
      <c r="K123" s="25"/>
      <c r="L123" s="25"/>
      <c r="M123" s="25"/>
      <c r="N123" s="25"/>
      <c r="O123" s="25"/>
      <c r="P123" s="25"/>
      <c r="Q123" s="25"/>
      <c r="R123" s="34">
        <v>-1342</v>
      </c>
      <c r="S123" s="34"/>
      <c r="T123" s="53"/>
      <c r="U123" s="25"/>
      <c r="V123" s="5"/>
    </row>
    <row r="124" spans="1:22" ht="15.6" x14ac:dyDescent="0.3">
      <c r="A124" s="24"/>
      <c r="B124" s="25" t="s">
        <v>236</v>
      </c>
      <c r="C124" s="25"/>
      <c r="D124" s="25"/>
      <c r="E124" s="25"/>
      <c r="F124" s="25"/>
      <c r="G124" s="25"/>
      <c r="H124" s="25"/>
      <c r="I124" s="25"/>
      <c r="J124" s="25"/>
      <c r="K124" s="25"/>
      <c r="L124" s="25"/>
      <c r="M124" s="25"/>
      <c r="N124" s="25"/>
      <c r="O124" s="25"/>
      <c r="P124" s="25"/>
      <c r="Q124" s="25"/>
      <c r="R124" s="34">
        <v>-948</v>
      </c>
      <c r="S124" s="34"/>
      <c r="T124" s="53"/>
      <c r="U124" s="25"/>
      <c r="V124" s="5"/>
    </row>
    <row r="125" spans="1:22" ht="15.6" x14ac:dyDescent="0.3">
      <c r="A125" s="24"/>
      <c r="B125" s="25" t="s">
        <v>241</v>
      </c>
      <c r="C125" s="25"/>
      <c r="D125" s="25"/>
      <c r="E125" s="25"/>
      <c r="F125" s="25"/>
      <c r="G125" s="25"/>
      <c r="H125" s="25"/>
      <c r="I125" s="25"/>
      <c r="J125" s="25"/>
      <c r="K125" s="25"/>
      <c r="L125" s="25"/>
      <c r="M125" s="25"/>
      <c r="N125" s="25"/>
      <c r="O125" s="25"/>
      <c r="P125" s="25"/>
      <c r="Q125" s="25"/>
      <c r="R125" s="34">
        <v>-132</v>
      </c>
      <c r="S125" s="34"/>
      <c r="T125" s="53"/>
      <c r="U125" s="25"/>
      <c r="V125" s="5"/>
    </row>
    <row r="126" spans="1:22" ht="15.6" x14ac:dyDescent="0.3">
      <c r="A126" s="24"/>
      <c r="B126" s="25" t="s">
        <v>237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238</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239</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240</v>
      </c>
      <c r="C129" s="25"/>
      <c r="D129" s="25"/>
      <c r="E129" s="25"/>
      <c r="F129" s="25"/>
      <c r="G129" s="25"/>
      <c r="H129" s="25"/>
      <c r="I129" s="25"/>
      <c r="J129" s="25"/>
      <c r="K129" s="25"/>
      <c r="L129" s="25"/>
      <c r="M129" s="25"/>
      <c r="N129" s="25"/>
      <c r="O129" s="25"/>
      <c r="P129" s="25"/>
      <c r="Q129" s="25"/>
      <c r="R129" s="34">
        <v>0</v>
      </c>
      <c r="S129" s="34"/>
      <c r="T129" s="53"/>
      <c r="U129" s="25"/>
      <c r="V129" s="5"/>
    </row>
    <row r="130" spans="1:22" ht="15.6" x14ac:dyDescent="0.3">
      <c r="A130" s="24"/>
      <c r="B130" s="25" t="s">
        <v>43</v>
      </c>
      <c r="C130" s="25"/>
      <c r="D130" s="25"/>
      <c r="E130" s="25"/>
      <c r="F130" s="25"/>
      <c r="G130" s="25"/>
      <c r="H130" s="25"/>
      <c r="I130" s="25"/>
      <c r="J130" s="25"/>
      <c r="K130" s="25"/>
      <c r="L130" s="25"/>
      <c r="M130" s="25"/>
      <c r="N130" s="25"/>
      <c r="O130" s="25"/>
      <c r="P130" s="25"/>
      <c r="Q130" s="25"/>
      <c r="R130" s="34">
        <f>SUM(R120:R129)</f>
        <v>-2897</v>
      </c>
      <c r="S130" s="34"/>
      <c r="T130" s="34">
        <f>SUM(T99:T128)</f>
        <v>-3886</v>
      </c>
      <c r="U130" s="25"/>
      <c r="V130" s="5"/>
    </row>
    <row r="131" spans="1:22" ht="15.6" x14ac:dyDescent="0.3">
      <c r="A131" s="24"/>
      <c r="B131" s="25" t="s">
        <v>44</v>
      </c>
      <c r="C131" s="25"/>
      <c r="D131" s="25"/>
      <c r="E131" s="25"/>
      <c r="F131" s="25"/>
      <c r="G131" s="25"/>
      <c r="H131" s="25"/>
      <c r="I131" s="25"/>
      <c r="J131" s="25"/>
      <c r="K131" s="25"/>
      <c r="L131" s="25"/>
      <c r="M131" s="25"/>
      <c r="N131" s="25"/>
      <c r="O131" s="25"/>
      <c r="P131" s="25"/>
      <c r="Q131" s="25"/>
      <c r="R131" s="34">
        <f>R98+R130+R113</f>
        <v>0</v>
      </c>
      <c r="S131" s="34"/>
      <c r="T131" s="34">
        <f>T98+T130</f>
        <v>0</v>
      </c>
      <c r="U131" s="25"/>
      <c r="V131" s="5"/>
    </row>
    <row r="132" spans="1:22" ht="15.6" x14ac:dyDescent="0.3">
      <c r="A132" s="24"/>
      <c r="B132" s="25"/>
      <c r="C132" s="25"/>
      <c r="D132" s="25"/>
      <c r="E132" s="25"/>
      <c r="F132" s="25"/>
      <c r="G132" s="25"/>
      <c r="H132" s="25"/>
      <c r="I132" s="25"/>
      <c r="J132" s="25"/>
      <c r="K132" s="25"/>
      <c r="L132" s="25"/>
      <c r="M132" s="25"/>
      <c r="N132" s="25"/>
      <c r="O132" s="25"/>
      <c r="P132" s="25"/>
      <c r="Q132" s="25"/>
      <c r="R132" s="34"/>
      <c r="S132" s="34"/>
      <c r="T132" s="34"/>
      <c r="U132" s="25"/>
      <c r="V132" s="5"/>
    </row>
    <row r="133" spans="1:22" ht="15.6" x14ac:dyDescent="0.3">
      <c r="A133" s="6"/>
      <c r="B133" s="8"/>
      <c r="C133" s="8"/>
      <c r="D133" s="8"/>
      <c r="E133" s="8"/>
      <c r="F133" s="8"/>
      <c r="G133" s="8"/>
      <c r="H133" s="8"/>
      <c r="I133" s="8"/>
      <c r="J133" s="8"/>
      <c r="K133" s="8"/>
      <c r="L133" s="8"/>
      <c r="M133" s="8"/>
      <c r="N133" s="8"/>
      <c r="O133" s="8"/>
      <c r="P133" s="8"/>
      <c r="Q133" s="8"/>
      <c r="R133" s="8"/>
      <c r="S133" s="8"/>
      <c r="T133" s="52"/>
      <c r="U133" s="8"/>
      <c r="V133" s="5"/>
    </row>
    <row r="134" spans="1:22" ht="18" thickBot="1" x14ac:dyDescent="0.35">
      <c r="A134" s="102"/>
      <c r="B134" s="103" t="str">
        <f>B61</f>
        <v>PM9 INVESTOR REPORT QUARTER ENDING JULY 2009</v>
      </c>
      <c r="C134" s="104"/>
      <c r="D134" s="104"/>
      <c r="E134" s="104"/>
      <c r="F134" s="104"/>
      <c r="G134" s="104"/>
      <c r="H134" s="104"/>
      <c r="I134" s="104"/>
      <c r="J134" s="104"/>
      <c r="K134" s="104"/>
      <c r="L134" s="104"/>
      <c r="M134" s="104"/>
      <c r="N134" s="104"/>
      <c r="O134" s="104"/>
      <c r="P134" s="104"/>
      <c r="Q134" s="104"/>
      <c r="R134" s="104"/>
      <c r="S134" s="104"/>
      <c r="T134" s="107"/>
      <c r="U134" s="106"/>
      <c r="V134" s="5"/>
    </row>
    <row r="135" spans="1:22" ht="15.6" x14ac:dyDescent="0.3">
      <c r="A135" s="2"/>
      <c r="B135" s="60" t="s">
        <v>45</v>
      </c>
      <c r="C135" s="4"/>
      <c r="D135" s="4"/>
      <c r="E135" s="4"/>
      <c r="F135" s="4"/>
      <c r="G135" s="4"/>
      <c r="H135" s="4"/>
      <c r="I135" s="4"/>
      <c r="J135" s="4"/>
      <c r="K135" s="4"/>
      <c r="L135" s="4"/>
      <c r="M135" s="4"/>
      <c r="N135" s="4"/>
      <c r="O135" s="4"/>
      <c r="P135" s="4"/>
      <c r="Q135" s="4"/>
      <c r="R135" s="4"/>
      <c r="S135" s="4"/>
      <c r="T135" s="50"/>
      <c r="U135" s="4"/>
      <c r="V135" s="5"/>
    </row>
    <row r="136" spans="1:22" ht="15.6" x14ac:dyDescent="0.3">
      <c r="A136" s="6"/>
      <c r="B136" s="21"/>
      <c r="C136" s="8"/>
      <c r="D136" s="8"/>
      <c r="E136" s="8"/>
      <c r="F136" s="8"/>
      <c r="G136" s="8"/>
      <c r="H136" s="8"/>
      <c r="I136" s="8"/>
      <c r="J136" s="8"/>
      <c r="K136" s="8"/>
      <c r="L136" s="8"/>
      <c r="M136" s="8"/>
      <c r="N136" s="8"/>
      <c r="O136" s="8"/>
      <c r="P136" s="8"/>
      <c r="Q136" s="8"/>
      <c r="R136" s="8"/>
      <c r="S136" s="8"/>
      <c r="T136" s="52"/>
      <c r="U136" s="8"/>
      <c r="V136" s="5"/>
    </row>
    <row r="137" spans="1:22" ht="15.6" x14ac:dyDescent="0.3">
      <c r="A137" s="6"/>
      <c r="B137" s="120" t="s">
        <v>46</v>
      </c>
      <c r="C137" s="8"/>
      <c r="D137" s="8"/>
      <c r="E137" s="8"/>
      <c r="F137" s="8"/>
      <c r="G137" s="8"/>
      <c r="H137" s="8"/>
      <c r="I137" s="8"/>
      <c r="J137" s="8"/>
      <c r="K137" s="8"/>
      <c r="L137" s="8"/>
      <c r="M137" s="8"/>
      <c r="N137" s="8"/>
      <c r="O137" s="8"/>
      <c r="P137" s="8"/>
      <c r="Q137" s="8"/>
      <c r="R137" s="8"/>
      <c r="S137" s="8"/>
      <c r="T137" s="52"/>
      <c r="U137" s="8"/>
      <c r="V137" s="5"/>
    </row>
    <row r="138" spans="1:22" ht="15.6" x14ac:dyDescent="0.3">
      <c r="A138" s="24"/>
      <c r="B138" s="25" t="s">
        <v>47</v>
      </c>
      <c r="C138" s="25"/>
      <c r="D138" s="25"/>
      <c r="E138" s="25"/>
      <c r="F138" s="25"/>
      <c r="G138" s="25"/>
      <c r="H138" s="25"/>
      <c r="I138" s="25"/>
      <c r="J138" s="25"/>
      <c r="K138" s="25"/>
      <c r="L138" s="25"/>
      <c r="M138" s="25"/>
      <c r="N138" s="25"/>
      <c r="O138" s="25"/>
      <c r="P138" s="25"/>
      <c r="Q138" s="25"/>
      <c r="R138" s="25"/>
      <c r="S138" s="25"/>
      <c r="T138" s="53">
        <f>+T32*0.0176</f>
        <v>12320</v>
      </c>
      <c r="U138" s="25"/>
      <c r="V138" s="5"/>
    </row>
    <row r="139" spans="1:22" ht="15.6" x14ac:dyDescent="0.3">
      <c r="A139" s="24"/>
      <c r="B139" s="25" t="s">
        <v>48</v>
      </c>
      <c r="C139" s="25"/>
      <c r="D139" s="25"/>
      <c r="E139" s="25"/>
      <c r="F139" s="25"/>
      <c r="G139" s="25"/>
      <c r="H139" s="25"/>
      <c r="I139" s="25"/>
      <c r="J139" s="25"/>
      <c r="K139" s="25"/>
      <c r="L139" s="25"/>
      <c r="M139" s="25"/>
      <c r="N139" s="25"/>
      <c r="O139" s="25"/>
      <c r="P139" s="25"/>
      <c r="Q139" s="25"/>
      <c r="R139" s="25"/>
      <c r="S139" s="25"/>
      <c r="T139" s="53">
        <v>12320</v>
      </c>
      <c r="U139" s="25"/>
      <c r="V139" s="5"/>
    </row>
    <row r="140" spans="1:22" ht="15.6" x14ac:dyDescent="0.3">
      <c r="A140" s="24"/>
      <c r="B140" s="25" t="s">
        <v>145</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132</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133</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232</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49</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138</v>
      </c>
      <c r="C145" s="25"/>
      <c r="D145" s="25"/>
      <c r="E145" s="25"/>
      <c r="F145" s="25"/>
      <c r="G145" s="25"/>
      <c r="H145" s="25"/>
      <c r="I145" s="25"/>
      <c r="J145" s="25"/>
      <c r="K145" s="25"/>
      <c r="L145" s="25"/>
      <c r="M145" s="25"/>
      <c r="N145" s="25"/>
      <c r="O145" s="25"/>
      <c r="P145" s="25"/>
      <c r="Q145" s="25"/>
      <c r="R145" s="25"/>
      <c r="S145" s="25"/>
      <c r="T145" s="53">
        <v>0</v>
      </c>
      <c r="U145" s="25"/>
      <c r="V145" s="5"/>
    </row>
    <row r="146" spans="1:23" ht="15.6" x14ac:dyDescent="0.3">
      <c r="A146" s="24"/>
      <c r="B146" s="25" t="s">
        <v>231</v>
      </c>
      <c r="C146" s="25"/>
      <c r="D146" s="25"/>
      <c r="E146" s="25"/>
      <c r="F146" s="25"/>
      <c r="G146" s="25"/>
      <c r="H146" s="25"/>
      <c r="I146" s="25"/>
      <c r="J146" s="25"/>
      <c r="K146" s="25"/>
      <c r="L146" s="25"/>
      <c r="M146" s="25"/>
      <c r="N146" s="25"/>
      <c r="O146" s="25"/>
      <c r="P146" s="25"/>
      <c r="Q146" s="25"/>
      <c r="R146" s="25"/>
      <c r="S146" s="25"/>
      <c r="T146" s="53">
        <v>0</v>
      </c>
      <c r="U146" s="25"/>
      <c r="V146" s="5"/>
      <c r="W146" s="110"/>
    </row>
    <row r="147" spans="1:23" ht="15.6" x14ac:dyDescent="0.3">
      <c r="A147" s="24"/>
      <c r="B147" s="25" t="s">
        <v>50</v>
      </c>
      <c r="C147" s="25"/>
      <c r="D147" s="25"/>
      <c r="E147" s="25"/>
      <c r="F147" s="25"/>
      <c r="G147" s="25"/>
      <c r="H147" s="25"/>
      <c r="I147" s="25"/>
      <c r="J147" s="25"/>
      <c r="K147" s="25"/>
      <c r="L147" s="25"/>
      <c r="M147" s="25"/>
      <c r="N147" s="25"/>
      <c r="O147" s="25"/>
      <c r="P147" s="25"/>
      <c r="Q147" s="25"/>
      <c r="R147" s="25"/>
      <c r="S147" s="25"/>
      <c r="T147" s="53">
        <f>SUM(T139:T146)</f>
        <v>12320</v>
      </c>
      <c r="U147" s="25"/>
      <c r="V147" s="5"/>
    </row>
    <row r="148" spans="1:23" ht="15.6" x14ac:dyDescent="0.3">
      <c r="A148" s="24"/>
      <c r="B148" s="25"/>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141" t="s">
        <v>264</v>
      </c>
      <c r="C149" s="25"/>
      <c r="D149" s="25"/>
      <c r="E149" s="25"/>
      <c r="F149" s="25"/>
      <c r="G149" s="25"/>
      <c r="H149" s="25"/>
      <c r="I149" s="25"/>
      <c r="J149" s="25"/>
      <c r="K149" s="25"/>
      <c r="L149" s="25"/>
      <c r="M149" s="25"/>
      <c r="N149" s="25"/>
      <c r="O149" s="25"/>
      <c r="P149" s="25"/>
      <c r="Q149" s="25"/>
      <c r="R149" s="25"/>
      <c r="S149" s="25"/>
      <c r="T149" s="53"/>
      <c r="U149" s="25"/>
      <c r="V149" s="5"/>
    </row>
    <row r="150" spans="1:23" ht="15.6" x14ac:dyDescent="0.3">
      <c r="A150" s="24"/>
      <c r="B150" s="25" t="s">
        <v>170</v>
      </c>
      <c r="C150" s="25"/>
      <c r="D150" s="25"/>
      <c r="E150" s="25"/>
      <c r="F150" s="25"/>
      <c r="G150" s="25"/>
      <c r="H150" s="25"/>
      <c r="I150" s="25"/>
      <c r="J150" s="25"/>
      <c r="K150" s="25"/>
      <c r="L150" s="25"/>
      <c r="M150" s="25"/>
      <c r="N150" s="25"/>
      <c r="O150" s="25"/>
      <c r="P150" s="25"/>
      <c r="Q150" s="25"/>
      <c r="R150" s="25"/>
      <c r="S150" s="25"/>
      <c r="T150" s="53">
        <v>10000</v>
      </c>
      <c r="U150" s="25"/>
      <c r="V150" s="5"/>
    </row>
    <row r="151" spans="1:23" ht="15.6" x14ac:dyDescent="0.3">
      <c r="A151" s="24"/>
      <c r="B151" s="25" t="s">
        <v>260</v>
      </c>
      <c r="C151" s="25"/>
      <c r="D151" s="25"/>
      <c r="E151" s="25"/>
      <c r="F151" s="25"/>
      <c r="G151" s="25"/>
      <c r="H151" s="25"/>
      <c r="I151" s="25"/>
      <c r="J151" s="25"/>
      <c r="K151" s="25"/>
      <c r="L151" s="25"/>
      <c r="M151" s="25"/>
      <c r="N151" s="25"/>
      <c r="O151" s="25"/>
      <c r="P151" s="25"/>
      <c r="Q151" s="25"/>
      <c r="R151" s="25"/>
      <c r="S151" s="25"/>
      <c r="T151" s="53">
        <v>6000</v>
      </c>
      <c r="U151" s="25"/>
      <c r="V151" s="5"/>
    </row>
    <row r="152" spans="1:23" ht="15.6" x14ac:dyDescent="0.3">
      <c r="A152" s="24"/>
      <c r="B152" s="25" t="s">
        <v>228</v>
      </c>
      <c r="C152" s="25"/>
      <c r="D152" s="25"/>
      <c r="E152" s="25"/>
      <c r="F152" s="25"/>
      <c r="G152" s="25"/>
      <c r="H152" s="25"/>
      <c r="I152" s="25"/>
      <c r="J152" s="25"/>
      <c r="K152" s="25"/>
      <c r="L152" s="25"/>
      <c r="M152" s="25"/>
      <c r="N152" s="25"/>
      <c r="O152" s="25"/>
      <c r="P152" s="25"/>
      <c r="Q152" s="25"/>
      <c r="R152" s="25"/>
      <c r="S152" s="25"/>
      <c r="T152" s="53">
        <v>0</v>
      </c>
      <c r="U152" s="25"/>
      <c r="V152" s="5"/>
    </row>
    <row r="153" spans="1:23" ht="15.6" x14ac:dyDescent="0.3">
      <c r="A153" s="24"/>
      <c r="B153" s="25" t="s">
        <v>266</v>
      </c>
      <c r="C153" s="25"/>
      <c r="D153" s="25"/>
      <c r="E153" s="25"/>
      <c r="F153" s="25"/>
      <c r="G153" s="25"/>
      <c r="H153" s="25"/>
      <c r="I153" s="25"/>
      <c r="J153" s="25"/>
      <c r="K153" s="25"/>
      <c r="L153" s="25"/>
      <c r="M153" s="25"/>
      <c r="N153" s="25"/>
      <c r="O153" s="25"/>
      <c r="P153" s="25"/>
      <c r="Q153" s="25"/>
      <c r="R153" s="25"/>
      <c r="S153" s="25"/>
      <c r="T153" s="53">
        <v>6000</v>
      </c>
      <c r="U153" s="25"/>
      <c r="V153" s="5"/>
    </row>
    <row r="154" spans="1:23" ht="15.6" x14ac:dyDescent="0.3">
      <c r="A154" s="24"/>
      <c r="B154" s="25"/>
      <c r="C154" s="25"/>
      <c r="D154" s="25"/>
      <c r="E154" s="25"/>
      <c r="F154" s="25"/>
      <c r="G154" s="25"/>
      <c r="H154" s="25"/>
      <c r="I154" s="25"/>
      <c r="J154" s="25"/>
      <c r="K154" s="25"/>
      <c r="L154" s="25"/>
      <c r="M154" s="25"/>
      <c r="N154" s="25"/>
      <c r="O154" s="25"/>
      <c r="P154" s="25"/>
      <c r="Q154" s="25"/>
      <c r="R154" s="25"/>
      <c r="S154" s="25"/>
      <c r="T154" s="53"/>
      <c r="U154" s="25"/>
      <c r="V154" s="5"/>
    </row>
    <row r="155" spans="1:23" ht="15.6" x14ac:dyDescent="0.3">
      <c r="A155" s="24"/>
      <c r="B155" s="25"/>
      <c r="C155" s="25"/>
      <c r="D155" s="25"/>
      <c r="E155" s="25"/>
      <c r="F155" s="25"/>
      <c r="G155" s="25"/>
      <c r="H155" s="25"/>
      <c r="I155" s="25"/>
      <c r="J155" s="25"/>
      <c r="K155" s="25"/>
      <c r="L155" s="25"/>
      <c r="M155" s="25"/>
      <c r="N155" s="25"/>
      <c r="O155" s="25"/>
      <c r="P155" s="25"/>
      <c r="Q155" s="25"/>
      <c r="R155" s="25"/>
      <c r="S155" s="25"/>
      <c r="T155" s="61"/>
      <c r="U155" s="25"/>
      <c r="V155" s="5"/>
    </row>
    <row r="156" spans="1:23" ht="15.6" x14ac:dyDescent="0.3">
      <c r="A156" s="6"/>
      <c r="B156" s="120" t="s">
        <v>25</v>
      </c>
      <c r="C156" s="8"/>
      <c r="D156" s="8"/>
      <c r="E156" s="8"/>
      <c r="F156" s="8"/>
      <c r="G156" s="8"/>
      <c r="H156" s="8"/>
      <c r="I156" s="8"/>
      <c r="J156" s="8"/>
      <c r="K156" s="8"/>
      <c r="L156" s="8"/>
      <c r="M156" s="8"/>
      <c r="N156" s="8"/>
      <c r="O156" s="8"/>
      <c r="P156" s="8"/>
      <c r="Q156" s="8"/>
      <c r="R156" s="8"/>
      <c r="S156" s="8"/>
      <c r="T156" s="52"/>
      <c r="U156" s="8"/>
      <c r="V156" s="5"/>
    </row>
    <row r="157" spans="1:23" ht="15.6" x14ac:dyDescent="0.3">
      <c r="A157" s="24"/>
      <c r="B157" s="25" t="s">
        <v>51</v>
      </c>
      <c r="C157" s="25"/>
      <c r="D157" s="25"/>
      <c r="E157" s="25"/>
      <c r="F157" s="25"/>
      <c r="G157" s="25"/>
      <c r="H157" s="25"/>
      <c r="I157" s="25"/>
      <c r="J157" s="25"/>
      <c r="K157" s="25"/>
      <c r="L157" s="25"/>
      <c r="M157" s="25"/>
      <c r="N157" s="25"/>
      <c r="O157" s="25"/>
      <c r="P157" s="25"/>
      <c r="Q157" s="25"/>
      <c r="R157" s="25"/>
      <c r="S157" s="25"/>
      <c r="T157" s="59" t="s">
        <v>127</v>
      </c>
      <c r="U157" s="25"/>
      <c r="V157" s="5"/>
    </row>
    <row r="158" spans="1:23" ht="15.6" x14ac:dyDescent="0.3">
      <c r="A158" s="24"/>
      <c r="B158" s="25" t="s">
        <v>52</v>
      </c>
      <c r="C158" s="160"/>
      <c r="D158" s="160"/>
      <c r="E158" s="160"/>
      <c r="F158" s="160"/>
      <c r="G158" s="160"/>
      <c r="H158" s="160"/>
      <c r="I158" s="160"/>
      <c r="J158" s="160"/>
      <c r="K158" s="160"/>
      <c r="L158" s="160"/>
      <c r="M158" s="160"/>
      <c r="N158" s="160"/>
      <c r="O158" s="160"/>
      <c r="P158" s="160"/>
      <c r="Q158" s="160"/>
      <c r="R158" s="160"/>
      <c r="S158" s="160"/>
      <c r="T158" s="59" t="s">
        <v>127</v>
      </c>
      <c r="U158" s="25"/>
      <c r="V158" s="5"/>
    </row>
    <row r="159" spans="1:23" ht="15.6" x14ac:dyDescent="0.3">
      <c r="A159" s="24"/>
      <c r="B159" s="25" t="s">
        <v>53</v>
      </c>
      <c r="C159" s="25"/>
      <c r="D159" s="25"/>
      <c r="E159" s="25"/>
      <c r="F159" s="25"/>
      <c r="G159" s="25"/>
      <c r="H159" s="25"/>
      <c r="I159" s="25"/>
      <c r="J159" s="25"/>
      <c r="K159" s="25"/>
      <c r="L159" s="25"/>
      <c r="M159" s="25"/>
      <c r="N159" s="25"/>
      <c r="O159" s="25"/>
      <c r="P159" s="25"/>
      <c r="Q159" s="25"/>
      <c r="R159" s="25"/>
      <c r="S159" s="25"/>
      <c r="T159" s="59" t="s">
        <v>127</v>
      </c>
      <c r="U159" s="25"/>
      <c r="V159" s="5"/>
    </row>
    <row r="160" spans="1:23" ht="15.6" x14ac:dyDescent="0.3">
      <c r="A160" s="24"/>
      <c r="B160" s="25" t="s">
        <v>54</v>
      </c>
      <c r="C160" s="25"/>
      <c r="D160" s="25"/>
      <c r="E160" s="25"/>
      <c r="F160" s="25"/>
      <c r="G160" s="25"/>
      <c r="H160" s="25"/>
      <c r="I160" s="25"/>
      <c r="J160" s="25"/>
      <c r="K160" s="25"/>
      <c r="L160" s="25"/>
      <c r="M160" s="25"/>
      <c r="N160" s="25"/>
      <c r="O160" s="25"/>
      <c r="P160" s="25"/>
      <c r="Q160" s="25"/>
      <c r="R160" s="25"/>
      <c r="S160" s="25"/>
      <c r="T160" s="59" t="s">
        <v>127</v>
      </c>
      <c r="U160" s="25"/>
      <c r="V160" s="5"/>
    </row>
    <row r="161" spans="1:22" ht="15.6" x14ac:dyDescent="0.3">
      <c r="A161" s="24"/>
      <c r="B161" s="25"/>
      <c r="C161" s="25"/>
      <c r="D161" s="25"/>
      <c r="E161" s="25"/>
      <c r="F161" s="25"/>
      <c r="G161" s="25"/>
      <c r="H161" s="25"/>
      <c r="I161" s="25"/>
      <c r="J161" s="25"/>
      <c r="K161" s="25"/>
      <c r="L161" s="25"/>
      <c r="M161" s="25"/>
      <c r="N161" s="25"/>
      <c r="O161" s="25"/>
      <c r="P161" s="25"/>
      <c r="Q161" s="25"/>
      <c r="R161" s="25"/>
      <c r="S161" s="25"/>
      <c r="T161" s="61"/>
      <c r="U161" s="25"/>
      <c r="V161" s="5"/>
    </row>
    <row r="162" spans="1:22" ht="15.6" x14ac:dyDescent="0.3">
      <c r="A162" s="6"/>
      <c r="B162" s="120" t="s">
        <v>55</v>
      </c>
      <c r="C162" s="8"/>
      <c r="D162" s="8"/>
      <c r="E162" s="8"/>
      <c r="F162" s="8"/>
      <c r="G162" s="8"/>
      <c r="H162" s="8"/>
      <c r="I162" s="8"/>
      <c r="J162" s="8"/>
      <c r="K162" s="8"/>
      <c r="L162" s="8"/>
      <c r="M162" s="8"/>
      <c r="N162" s="8"/>
      <c r="O162" s="8"/>
      <c r="P162" s="8"/>
      <c r="Q162" s="8"/>
      <c r="R162" s="8"/>
      <c r="S162" s="8"/>
      <c r="T162" s="63"/>
      <c r="U162" s="8"/>
      <c r="V162" s="5"/>
    </row>
    <row r="163" spans="1:22" ht="15.6" x14ac:dyDescent="0.3">
      <c r="A163" s="24"/>
      <c r="B163" s="25" t="s">
        <v>56</v>
      </c>
      <c r="C163" s="25"/>
      <c r="D163" s="25"/>
      <c r="E163" s="25"/>
      <c r="F163" s="25"/>
      <c r="G163" s="25"/>
      <c r="H163" s="25"/>
      <c r="I163" s="25"/>
      <c r="J163" s="25"/>
      <c r="K163" s="25"/>
      <c r="L163" s="25"/>
      <c r="M163" s="25"/>
      <c r="N163" s="25"/>
      <c r="O163" s="25"/>
      <c r="P163" s="25"/>
      <c r="Q163" s="25"/>
      <c r="R163" s="25"/>
      <c r="S163" s="25"/>
      <c r="T163" s="53">
        <v>0</v>
      </c>
      <c r="U163" s="25"/>
      <c r="V163" s="5"/>
    </row>
    <row r="164" spans="1:22" ht="15.6" x14ac:dyDescent="0.3">
      <c r="A164" s="24"/>
      <c r="B164" s="25" t="s">
        <v>57</v>
      </c>
      <c r="C164" s="25"/>
      <c r="D164" s="25"/>
      <c r="E164" s="25"/>
      <c r="F164" s="25"/>
      <c r="G164" s="25"/>
      <c r="H164" s="25"/>
      <c r="I164" s="25"/>
      <c r="J164" s="25"/>
      <c r="K164" s="25"/>
      <c r="L164" s="25"/>
      <c r="M164" s="25"/>
      <c r="N164" s="25"/>
      <c r="O164" s="25"/>
      <c r="P164" s="25"/>
      <c r="Q164" s="25"/>
      <c r="R164" s="25"/>
      <c r="S164" s="25"/>
      <c r="T164" s="53">
        <f>-T113</f>
        <v>502</v>
      </c>
      <c r="U164" s="25"/>
      <c r="V164" s="5"/>
    </row>
    <row r="165" spans="1:22" ht="15.6" x14ac:dyDescent="0.3">
      <c r="A165" s="24"/>
      <c r="B165" s="25" t="s">
        <v>58</v>
      </c>
      <c r="C165" s="25"/>
      <c r="D165" s="25"/>
      <c r="E165" s="25"/>
      <c r="F165" s="25"/>
      <c r="G165" s="25"/>
      <c r="H165" s="25"/>
      <c r="I165" s="25"/>
      <c r="J165" s="25"/>
      <c r="K165" s="25"/>
      <c r="L165" s="25"/>
      <c r="M165" s="25"/>
      <c r="N165" s="25"/>
      <c r="O165" s="25"/>
      <c r="P165" s="25"/>
      <c r="Q165" s="25"/>
      <c r="R165" s="25"/>
      <c r="S165" s="25"/>
      <c r="T165" s="53">
        <f>T164+T163</f>
        <v>502</v>
      </c>
      <c r="U165" s="25"/>
      <c r="V165" s="5"/>
    </row>
    <row r="166" spans="1:22" ht="15.6" x14ac:dyDescent="0.3">
      <c r="A166" s="24"/>
      <c r="B166" s="25" t="s">
        <v>309</v>
      </c>
      <c r="C166" s="25"/>
      <c r="D166" s="25"/>
      <c r="E166" s="25"/>
      <c r="F166" s="25"/>
      <c r="G166" s="25"/>
      <c r="H166" s="25"/>
      <c r="I166" s="25"/>
      <c r="J166" s="25"/>
      <c r="K166" s="25"/>
      <c r="L166" s="25"/>
      <c r="M166" s="25"/>
      <c r="N166" s="25"/>
      <c r="O166" s="25"/>
      <c r="P166" s="25"/>
      <c r="Q166" s="25"/>
      <c r="R166" s="25"/>
      <c r="S166" s="25"/>
      <c r="T166" s="53">
        <f>T113</f>
        <v>-502</v>
      </c>
      <c r="U166" s="25"/>
      <c r="V166" s="5"/>
    </row>
    <row r="167" spans="1:22" ht="15.6" x14ac:dyDescent="0.3">
      <c r="A167" s="24"/>
      <c r="B167" s="25" t="s">
        <v>59</v>
      </c>
      <c r="C167" s="25"/>
      <c r="D167" s="25"/>
      <c r="E167" s="25"/>
      <c r="F167" s="25"/>
      <c r="G167" s="25"/>
      <c r="H167" s="25"/>
      <c r="I167" s="25"/>
      <c r="J167" s="25"/>
      <c r="K167" s="25"/>
      <c r="L167" s="25"/>
      <c r="M167" s="25"/>
      <c r="N167" s="25"/>
      <c r="O167" s="25"/>
      <c r="P167" s="25"/>
      <c r="Q167" s="25"/>
      <c r="R167" s="25"/>
      <c r="S167" s="25"/>
      <c r="T167" s="53">
        <f>T165+T166</f>
        <v>0</v>
      </c>
      <c r="U167" s="25"/>
      <c r="V167" s="5"/>
    </row>
    <row r="168" spans="1:22" ht="16.2" thickBot="1" x14ac:dyDescent="0.35">
      <c r="A168" s="24"/>
      <c r="B168" s="25"/>
      <c r="C168" s="25"/>
      <c r="D168" s="25"/>
      <c r="E168" s="25"/>
      <c r="F168" s="25"/>
      <c r="G168" s="25"/>
      <c r="H168" s="25"/>
      <c r="I168" s="25"/>
      <c r="J168" s="25"/>
      <c r="K168" s="25"/>
      <c r="L168" s="25"/>
      <c r="M168" s="25"/>
      <c r="N168" s="25"/>
      <c r="O168" s="25"/>
      <c r="P168" s="25"/>
      <c r="Q168" s="25"/>
      <c r="R168" s="25"/>
      <c r="S168" s="25"/>
      <c r="T168" s="61"/>
      <c r="U168" s="25"/>
      <c r="V168" s="5"/>
    </row>
    <row r="169" spans="1:22" ht="15.6" x14ac:dyDescent="0.3">
      <c r="A169" s="2"/>
      <c r="B169" s="4"/>
      <c r="C169" s="4"/>
      <c r="D169" s="4"/>
      <c r="E169" s="4"/>
      <c r="F169" s="4"/>
      <c r="G169" s="4"/>
      <c r="H169" s="4"/>
      <c r="I169" s="4"/>
      <c r="J169" s="4"/>
      <c r="K169" s="4"/>
      <c r="L169" s="4"/>
      <c r="M169" s="4"/>
      <c r="N169" s="4"/>
      <c r="O169" s="4"/>
      <c r="P169" s="4"/>
      <c r="Q169" s="4"/>
      <c r="R169" s="4"/>
      <c r="S169" s="4"/>
      <c r="T169" s="50"/>
      <c r="U169" s="4"/>
      <c r="V169" s="5"/>
    </row>
    <row r="170" spans="1:22" ht="15.6" x14ac:dyDescent="0.3">
      <c r="A170" s="6"/>
      <c r="B170" s="120" t="s">
        <v>60</v>
      </c>
      <c r="C170" s="8"/>
      <c r="D170" s="8"/>
      <c r="E170" s="8"/>
      <c r="F170" s="8"/>
      <c r="G170" s="8"/>
      <c r="H170" s="8"/>
      <c r="I170" s="8"/>
      <c r="J170" s="8"/>
      <c r="K170" s="8"/>
      <c r="L170" s="8"/>
      <c r="M170" s="8"/>
      <c r="N170" s="8"/>
      <c r="O170" s="8"/>
      <c r="P170" s="8"/>
      <c r="Q170" s="8"/>
      <c r="R170" s="8"/>
      <c r="S170" s="8"/>
      <c r="T170" s="52"/>
      <c r="U170" s="8"/>
      <c r="V170" s="5"/>
    </row>
    <row r="171" spans="1:22" ht="15.6" x14ac:dyDescent="0.3">
      <c r="A171" s="6"/>
      <c r="B171" s="21"/>
      <c r="C171" s="8"/>
      <c r="D171" s="8"/>
      <c r="E171" s="8"/>
      <c r="F171" s="8"/>
      <c r="G171" s="8"/>
      <c r="H171" s="8"/>
      <c r="I171" s="8"/>
      <c r="J171" s="8"/>
      <c r="K171" s="8"/>
      <c r="L171" s="8"/>
      <c r="M171" s="8"/>
      <c r="N171" s="8"/>
      <c r="O171" s="8"/>
      <c r="P171" s="8"/>
      <c r="Q171" s="8"/>
      <c r="R171" s="8"/>
      <c r="S171" s="8"/>
      <c r="T171" s="52"/>
      <c r="U171" s="8"/>
      <c r="V171" s="5"/>
    </row>
    <row r="172" spans="1:22" ht="15.6" x14ac:dyDescent="0.3">
      <c r="A172" s="24"/>
      <c r="B172" s="25" t="s">
        <v>61</v>
      </c>
      <c r="C172" s="25"/>
      <c r="D172" s="25"/>
      <c r="E172" s="25"/>
      <c r="F172" s="25"/>
      <c r="G172" s="25"/>
      <c r="H172" s="25"/>
      <c r="I172" s="25"/>
      <c r="J172" s="25"/>
      <c r="K172" s="25"/>
      <c r="L172" s="25"/>
      <c r="M172" s="25"/>
      <c r="N172" s="25"/>
      <c r="O172" s="25"/>
      <c r="P172" s="25"/>
      <c r="Q172" s="25"/>
      <c r="R172" s="25"/>
      <c r="S172" s="25"/>
      <c r="T172" s="53">
        <f>T69</f>
        <v>336826</v>
      </c>
      <c r="U172" s="25"/>
      <c r="V172" s="5"/>
    </row>
    <row r="173" spans="1:22" ht="15.6" x14ac:dyDescent="0.3">
      <c r="A173" s="24"/>
      <c r="B173" s="25" t="s">
        <v>62</v>
      </c>
      <c r="C173" s="25"/>
      <c r="D173" s="25"/>
      <c r="E173" s="25"/>
      <c r="F173" s="25"/>
      <c r="G173" s="25"/>
      <c r="H173" s="25"/>
      <c r="I173" s="25"/>
      <c r="J173" s="25"/>
      <c r="K173" s="25"/>
      <c r="L173" s="25"/>
      <c r="M173" s="25"/>
      <c r="N173" s="25"/>
      <c r="O173" s="25"/>
      <c r="P173" s="25"/>
      <c r="Q173" s="25"/>
      <c r="R173" s="25"/>
      <c r="S173" s="25"/>
      <c r="T173" s="53">
        <f>T82</f>
        <v>336826</v>
      </c>
      <c r="U173" s="25"/>
      <c r="V173" s="5"/>
    </row>
    <row r="174" spans="1:22" ht="16.2" thickBot="1" x14ac:dyDescent="0.35">
      <c r="A174" s="24"/>
      <c r="B174" s="25"/>
      <c r="C174" s="25"/>
      <c r="D174" s="25"/>
      <c r="E174" s="25"/>
      <c r="F174" s="25"/>
      <c r="G174" s="25"/>
      <c r="H174" s="25"/>
      <c r="I174" s="25"/>
      <c r="J174" s="25"/>
      <c r="K174" s="25"/>
      <c r="L174" s="25"/>
      <c r="M174" s="25"/>
      <c r="N174" s="25"/>
      <c r="O174" s="25"/>
      <c r="P174" s="25"/>
      <c r="Q174" s="25"/>
      <c r="R174" s="25"/>
      <c r="S174" s="25"/>
      <c r="T174" s="61"/>
      <c r="U174" s="25"/>
      <c r="V174" s="5"/>
    </row>
    <row r="175" spans="1:22" ht="15.6" x14ac:dyDescent="0.3">
      <c r="A175" s="2"/>
      <c r="B175" s="4"/>
      <c r="C175" s="4"/>
      <c r="D175" s="4"/>
      <c r="E175" s="4"/>
      <c r="F175" s="4"/>
      <c r="G175" s="4"/>
      <c r="H175" s="4"/>
      <c r="I175" s="4"/>
      <c r="J175" s="4"/>
      <c r="K175" s="4"/>
      <c r="L175" s="4"/>
      <c r="M175" s="4"/>
      <c r="N175" s="4"/>
      <c r="O175" s="4"/>
      <c r="P175" s="4"/>
      <c r="Q175" s="4"/>
      <c r="R175" s="4"/>
      <c r="S175" s="4"/>
      <c r="T175" s="50"/>
      <c r="U175" s="4"/>
      <c r="V175" s="5"/>
    </row>
    <row r="176" spans="1:22" ht="15.6" x14ac:dyDescent="0.3">
      <c r="A176" s="6"/>
      <c r="B176" s="120" t="s">
        <v>63</v>
      </c>
      <c r="C176" s="118"/>
      <c r="D176" s="118"/>
      <c r="E176" s="118"/>
      <c r="F176" s="118"/>
      <c r="G176" s="118"/>
      <c r="H176" s="121"/>
      <c r="I176" s="121"/>
      <c r="J176" s="121"/>
      <c r="K176" s="121"/>
      <c r="L176" s="121"/>
      <c r="M176" s="121"/>
      <c r="N176" s="121"/>
      <c r="O176" s="121"/>
      <c r="P176" s="121"/>
      <c r="Q176" s="121" t="s">
        <v>107</v>
      </c>
      <c r="R176" s="121" t="s">
        <v>234</v>
      </c>
      <c r="S176" s="112"/>
      <c r="T176" s="122" t="s">
        <v>123</v>
      </c>
      <c r="U176" s="10"/>
      <c r="V176" s="5"/>
    </row>
    <row r="177" spans="1:22" ht="15.6" x14ac:dyDescent="0.3">
      <c r="A177" s="24"/>
      <c r="B177" s="25" t="s">
        <v>64</v>
      </c>
      <c r="C177" s="25"/>
      <c r="D177" s="25"/>
      <c r="E177" s="25"/>
      <c r="F177" s="25"/>
      <c r="G177" s="25"/>
      <c r="H177" s="25"/>
      <c r="I177" s="25"/>
      <c r="J177" s="25"/>
      <c r="K177" s="25"/>
      <c r="L177" s="25"/>
      <c r="M177" s="25"/>
      <c r="N177" s="25"/>
      <c r="O177" s="25"/>
      <c r="P177" s="25"/>
      <c r="Q177" s="53">
        <v>112000</v>
      </c>
      <c r="R177" s="40"/>
      <c r="S177" s="25"/>
      <c r="T177" s="53"/>
      <c r="U177" s="25"/>
      <c r="V177" s="5"/>
    </row>
    <row r="178" spans="1:22" ht="15.6" x14ac:dyDescent="0.3">
      <c r="A178" s="24"/>
      <c r="B178" s="25" t="s">
        <v>65</v>
      </c>
      <c r="C178" s="25"/>
      <c r="D178" s="25"/>
      <c r="E178" s="25"/>
      <c r="F178" s="25"/>
      <c r="G178" s="25"/>
      <c r="H178" s="25"/>
      <c r="I178" s="25"/>
      <c r="J178" s="25"/>
      <c r="K178" s="25"/>
      <c r="L178" s="25"/>
      <c r="M178" s="25"/>
      <c r="N178" s="25"/>
      <c r="O178" s="25"/>
      <c r="P178" s="25"/>
      <c r="Q178" s="53">
        <f>+'April 09'!Q180</f>
        <v>43112</v>
      </c>
      <c r="R178" s="53">
        <f>+'April 09'!R180</f>
        <v>2407</v>
      </c>
      <c r="S178" s="25"/>
      <c r="T178" s="53">
        <f>Q178+R178</f>
        <v>45519</v>
      </c>
      <c r="U178" s="25"/>
      <c r="V178" s="5"/>
    </row>
    <row r="179" spans="1:22" ht="15.6" x14ac:dyDescent="0.3">
      <c r="A179" s="24"/>
      <c r="B179" s="25" t="s">
        <v>66</v>
      </c>
      <c r="C179" s="25"/>
      <c r="D179" s="25"/>
      <c r="E179" s="25"/>
      <c r="F179" s="25"/>
      <c r="G179" s="25"/>
      <c r="H179" s="25"/>
      <c r="I179" s="25"/>
      <c r="J179" s="25"/>
      <c r="K179" s="25"/>
      <c r="L179" s="25"/>
      <c r="M179" s="25"/>
      <c r="N179" s="25"/>
      <c r="O179" s="25"/>
      <c r="P179" s="25"/>
      <c r="Q179" s="34">
        <f>361+112</f>
        <v>473</v>
      </c>
      <c r="R179" s="34">
        <v>0</v>
      </c>
      <c r="S179" s="25"/>
      <c r="T179" s="53">
        <f>Q179+R179</f>
        <v>473</v>
      </c>
      <c r="U179" s="25"/>
      <c r="V179" s="5"/>
    </row>
    <row r="180" spans="1:22" ht="15.6" x14ac:dyDescent="0.3">
      <c r="A180" s="24"/>
      <c r="B180" s="25" t="s">
        <v>67</v>
      </c>
      <c r="C180" s="25"/>
      <c r="D180" s="25"/>
      <c r="E180" s="25"/>
      <c r="F180" s="25"/>
      <c r="G180" s="25"/>
      <c r="H180" s="25"/>
      <c r="I180" s="25"/>
      <c r="J180" s="25"/>
      <c r="K180" s="25"/>
      <c r="L180" s="25"/>
      <c r="M180" s="25"/>
      <c r="N180" s="25"/>
      <c r="O180" s="25"/>
      <c r="P180" s="25"/>
      <c r="Q180" s="53">
        <f>Q178+Q179</f>
        <v>43585</v>
      </c>
      <c r="R180" s="53">
        <f>R179+R178</f>
        <v>2407</v>
      </c>
      <c r="S180" s="25"/>
      <c r="T180" s="53">
        <f>Q180+R180</f>
        <v>45992</v>
      </c>
      <c r="U180" s="25"/>
      <c r="V180" s="5"/>
    </row>
    <row r="181" spans="1:22" ht="15.6" x14ac:dyDescent="0.3">
      <c r="A181" s="24"/>
      <c r="B181" s="25" t="s">
        <v>68</v>
      </c>
      <c r="C181" s="25"/>
      <c r="D181" s="25"/>
      <c r="E181" s="25"/>
      <c r="F181" s="25"/>
      <c r="G181" s="25"/>
      <c r="H181" s="25"/>
      <c r="I181" s="25"/>
      <c r="J181" s="25"/>
      <c r="K181" s="25"/>
      <c r="L181" s="25"/>
      <c r="M181" s="25"/>
      <c r="N181" s="25"/>
      <c r="O181" s="25"/>
      <c r="P181" s="25"/>
      <c r="Q181" s="53">
        <f>Q177-Q180-R180</f>
        <v>66008</v>
      </c>
      <c r="R181" s="40"/>
      <c r="S181" s="25"/>
      <c r="T181" s="53"/>
      <c r="U181" s="25"/>
      <c r="V181" s="5"/>
    </row>
    <row r="182" spans="1:22" ht="16.2" thickBot="1" x14ac:dyDescent="0.35">
      <c r="A182" s="24"/>
      <c r="B182" s="25"/>
      <c r="C182" s="25"/>
      <c r="D182" s="25"/>
      <c r="E182" s="25"/>
      <c r="F182" s="25"/>
      <c r="G182" s="25"/>
      <c r="H182" s="25"/>
      <c r="I182" s="25"/>
      <c r="J182" s="25"/>
      <c r="K182" s="25"/>
      <c r="L182" s="25"/>
      <c r="M182" s="25"/>
      <c r="N182" s="25"/>
      <c r="O182" s="25"/>
      <c r="P182" s="25"/>
      <c r="Q182" s="25"/>
      <c r="R182" s="25"/>
      <c r="S182" s="25"/>
      <c r="T182" s="61"/>
      <c r="U182" s="25"/>
      <c r="V182" s="5"/>
    </row>
    <row r="183" spans="1:22" ht="15.6" x14ac:dyDescent="0.3">
      <c r="A183" s="2"/>
      <c r="B183" s="4"/>
      <c r="C183" s="4"/>
      <c r="D183" s="4"/>
      <c r="E183" s="4"/>
      <c r="F183" s="4"/>
      <c r="G183" s="4"/>
      <c r="H183" s="4"/>
      <c r="I183" s="4"/>
      <c r="J183" s="4"/>
      <c r="K183" s="4"/>
      <c r="L183" s="4"/>
      <c r="M183" s="4"/>
      <c r="N183" s="4"/>
      <c r="O183" s="4"/>
      <c r="P183" s="4"/>
      <c r="Q183" s="4"/>
      <c r="R183" s="4"/>
      <c r="S183" s="4"/>
      <c r="T183" s="50"/>
      <c r="U183" s="4"/>
      <c r="V183" s="5"/>
    </row>
    <row r="184" spans="1:22" ht="15.6" x14ac:dyDescent="0.3">
      <c r="A184" s="6"/>
      <c r="B184" s="120" t="s">
        <v>69</v>
      </c>
      <c r="C184" s="8"/>
      <c r="D184" s="8"/>
      <c r="E184" s="8"/>
      <c r="F184" s="8"/>
      <c r="G184" s="8"/>
      <c r="H184" s="8"/>
      <c r="I184" s="8"/>
      <c r="J184" s="8"/>
      <c r="K184" s="8"/>
      <c r="L184" s="8"/>
      <c r="M184" s="8"/>
      <c r="N184" s="8"/>
      <c r="O184" s="8"/>
      <c r="P184" s="8"/>
      <c r="Q184" s="8"/>
      <c r="R184" s="8"/>
      <c r="S184" s="8"/>
      <c r="T184" s="65"/>
      <c r="U184" s="8"/>
      <c r="V184" s="5"/>
    </row>
    <row r="185" spans="1:22" ht="15.6" x14ac:dyDescent="0.3">
      <c r="A185" s="24"/>
      <c r="B185" s="25" t="s">
        <v>70</v>
      </c>
      <c r="C185" s="25"/>
      <c r="D185" s="25"/>
      <c r="E185" s="25"/>
      <c r="F185" s="25"/>
      <c r="G185" s="25"/>
      <c r="H185" s="25"/>
      <c r="I185" s="25"/>
      <c r="J185" s="25"/>
      <c r="K185" s="25"/>
      <c r="L185" s="25"/>
      <c r="M185" s="25"/>
      <c r="N185" s="25"/>
      <c r="O185" s="25"/>
      <c r="P185" s="25"/>
      <c r="Q185" s="25"/>
      <c r="R185" s="25"/>
      <c r="S185" s="25"/>
      <c r="T185" s="59">
        <f>(T98+T100+T101+T102+T103+T104)/-(T105+T106+T107)</f>
        <v>2.5606494746895891</v>
      </c>
      <c r="U185" s="25" t="s">
        <v>124</v>
      </c>
      <c r="V185" s="5"/>
    </row>
    <row r="186" spans="1:22" ht="15.6" x14ac:dyDescent="0.3">
      <c r="A186" s="24"/>
      <c r="B186" s="25" t="s">
        <v>71</v>
      </c>
      <c r="C186" s="25"/>
      <c r="D186" s="25"/>
      <c r="E186" s="25"/>
      <c r="F186" s="25"/>
      <c r="G186" s="25"/>
      <c r="H186" s="25"/>
      <c r="I186" s="25"/>
      <c r="J186" s="25"/>
      <c r="K186" s="25"/>
      <c r="L186" s="25"/>
      <c r="M186" s="25"/>
      <c r="N186" s="25"/>
      <c r="O186" s="25"/>
      <c r="P186" s="25"/>
      <c r="Q186" s="25"/>
      <c r="R186" s="25"/>
      <c r="S186" s="25"/>
      <c r="T186" s="66">
        <v>1.43</v>
      </c>
      <c r="U186" s="25" t="s">
        <v>124</v>
      </c>
      <c r="V186" s="5"/>
    </row>
    <row r="187" spans="1:22" ht="15.6" x14ac:dyDescent="0.3">
      <c r="A187" s="24"/>
      <c r="B187" s="25" t="s">
        <v>72</v>
      </c>
      <c r="C187" s="25"/>
      <c r="D187" s="25"/>
      <c r="E187" s="25"/>
      <c r="F187" s="25"/>
      <c r="G187" s="25"/>
      <c r="H187" s="25"/>
      <c r="I187" s="25"/>
      <c r="J187" s="25"/>
      <c r="K187" s="25"/>
      <c r="L187" s="25"/>
      <c r="M187" s="25"/>
      <c r="N187" s="25"/>
      <c r="O187" s="25"/>
      <c r="P187" s="25"/>
      <c r="Q187" s="25"/>
      <c r="R187" s="25"/>
      <c r="S187" s="25"/>
      <c r="T187" s="59">
        <f>(T98+T100+T101+T102+T103+T104+T105+T106+T107)/-(T108+T109)</f>
        <v>13.965811965811966</v>
      </c>
      <c r="U187" s="25" t="s">
        <v>124</v>
      </c>
      <c r="V187" s="5"/>
    </row>
    <row r="188" spans="1:22" ht="15.6" x14ac:dyDescent="0.3">
      <c r="A188" s="24"/>
      <c r="B188" s="25" t="s">
        <v>73</v>
      </c>
      <c r="C188" s="25"/>
      <c r="D188" s="25"/>
      <c r="E188" s="25"/>
      <c r="F188" s="25"/>
      <c r="G188" s="25"/>
      <c r="H188" s="25"/>
      <c r="I188" s="25"/>
      <c r="J188" s="25"/>
      <c r="K188" s="25"/>
      <c r="L188" s="25"/>
      <c r="M188" s="25"/>
      <c r="N188" s="25"/>
      <c r="O188" s="25"/>
      <c r="P188" s="25"/>
      <c r="Q188" s="25"/>
      <c r="R188" s="25"/>
      <c r="S188" s="25"/>
      <c r="T188" s="67">
        <v>6.89</v>
      </c>
      <c r="U188" s="25" t="s">
        <v>124</v>
      </c>
      <c r="V188" s="5"/>
    </row>
    <row r="189" spans="1:22" ht="15.6" x14ac:dyDescent="0.3">
      <c r="A189" s="24"/>
      <c r="B189" s="25" t="s">
        <v>243</v>
      </c>
      <c r="C189" s="25"/>
      <c r="D189" s="25"/>
      <c r="E189" s="25"/>
      <c r="F189" s="25"/>
      <c r="G189" s="25"/>
      <c r="H189" s="25"/>
      <c r="I189" s="25"/>
      <c r="J189" s="25"/>
      <c r="K189" s="25"/>
      <c r="L189" s="25"/>
      <c r="M189" s="25"/>
      <c r="N189" s="25"/>
      <c r="O189" s="25"/>
      <c r="P189" s="25"/>
      <c r="Q189" s="25"/>
      <c r="R189" s="25"/>
      <c r="S189" s="25"/>
      <c r="T189" s="59">
        <f>(T98+T100+T101+T102+T103+T104+T105+T106+T107+T108+T109)/-(T110+T111)</f>
        <v>6.3472803347280333</v>
      </c>
      <c r="U189" s="25" t="s">
        <v>124</v>
      </c>
      <c r="V189" s="5"/>
    </row>
    <row r="190" spans="1:22" ht="15.6" x14ac:dyDescent="0.3">
      <c r="A190" s="24"/>
      <c r="B190" s="25" t="s">
        <v>244</v>
      </c>
      <c r="C190" s="25"/>
      <c r="D190" s="25"/>
      <c r="E190" s="25"/>
      <c r="F190" s="25"/>
      <c r="G190" s="25"/>
      <c r="H190" s="25"/>
      <c r="I190" s="25"/>
      <c r="J190" s="25"/>
      <c r="K190" s="25"/>
      <c r="L190" s="25"/>
      <c r="M190" s="25"/>
      <c r="N190" s="25"/>
      <c r="O190" s="25"/>
      <c r="P190" s="25"/>
      <c r="Q190" s="25"/>
      <c r="R190" s="25"/>
      <c r="S190" s="25"/>
      <c r="T190" s="67">
        <v>3.17</v>
      </c>
      <c r="U190" s="25" t="s">
        <v>124</v>
      </c>
      <c r="V190" s="5"/>
    </row>
    <row r="191" spans="1:22"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5"/>
    </row>
    <row r="193" spans="1:22" ht="15.6" x14ac:dyDescent="0.3">
      <c r="A193" s="6"/>
      <c r="B193" s="8"/>
      <c r="C193" s="8"/>
      <c r="D193" s="8"/>
      <c r="E193" s="8"/>
      <c r="F193" s="8"/>
      <c r="G193" s="8"/>
      <c r="H193" s="8"/>
      <c r="I193" s="8"/>
      <c r="J193" s="8"/>
      <c r="K193" s="8"/>
      <c r="L193" s="8"/>
      <c r="M193" s="8"/>
      <c r="N193" s="8"/>
      <c r="O193" s="8"/>
      <c r="P193" s="8"/>
      <c r="Q193" s="8"/>
      <c r="R193" s="8"/>
      <c r="S193" s="8"/>
      <c r="T193" s="8"/>
      <c r="U193" s="8"/>
      <c r="V193" s="5"/>
    </row>
    <row r="194" spans="1:22" ht="18" thickBot="1" x14ac:dyDescent="0.35">
      <c r="A194" s="102"/>
      <c r="B194" s="103" t="str">
        <f>B134</f>
        <v>PM9 INVESTOR REPORT QUARTER ENDING JULY 2009</v>
      </c>
      <c r="C194" s="162"/>
      <c r="D194" s="162"/>
      <c r="E194" s="162"/>
      <c r="F194" s="162"/>
      <c r="G194" s="162"/>
      <c r="H194" s="162"/>
      <c r="I194" s="162"/>
      <c r="J194" s="162"/>
      <c r="K194" s="162"/>
      <c r="L194" s="162"/>
      <c r="M194" s="162"/>
      <c r="N194" s="162"/>
      <c r="O194" s="162"/>
      <c r="P194" s="162"/>
      <c r="Q194" s="162"/>
      <c r="R194" s="162"/>
      <c r="S194" s="162"/>
      <c r="T194" s="162"/>
      <c r="U194" s="163"/>
      <c r="V194" s="5"/>
    </row>
    <row r="195" spans="1:22" ht="15.6" x14ac:dyDescent="0.3">
      <c r="A195" s="68"/>
      <c r="B195" s="60" t="s">
        <v>74</v>
      </c>
      <c r="C195" s="69"/>
      <c r="D195" s="69"/>
      <c r="E195" s="69"/>
      <c r="F195" s="69"/>
      <c r="G195" s="70"/>
      <c r="H195" s="70"/>
      <c r="I195" s="70"/>
      <c r="J195" s="70"/>
      <c r="K195" s="70"/>
      <c r="L195" s="70"/>
      <c r="M195" s="70"/>
      <c r="N195" s="70"/>
      <c r="O195" s="70"/>
      <c r="P195" s="70"/>
      <c r="Q195" s="70"/>
      <c r="R195" s="71">
        <v>40025</v>
      </c>
      <c r="S195" s="4"/>
      <c r="T195" s="4"/>
      <c r="U195" s="4"/>
      <c r="V195" s="5"/>
    </row>
    <row r="196" spans="1:22" ht="15.6" x14ac:dyDescent="0.3">
      <c r="A196" s="72"/>
      <c r="B196" s="73"/>
      <c r="C196" s="74"/>
      <c r="D196" s="74"/>
      <c r="E196" s="74"/>
      <c r="F196" s="74"/>
      <c r="G196" s="75"/>
      <c r="H196" s="75"/>
      <c r="I196" s="75"/>
      <c r="J196" s="75"/>
      <c r="K196" s="75"/>
      <c r="L196" s="75"/>
      <c r="M196" s="75"/>
      <c r="N196" s="75"/>
      <c r="O196" s="75"/>
      <c r="P196" s="75"/>
      <c r="Q196" s="75"/>
      <c r="R196" s="75"/>
      <c r="S196" s="8"/>
      <c r="T196" s="8"/>
      <c r="U196" s="8"/>
      <c r="V196" s="5"/>
    </row>
    <row r="197" spans="1:22" ht="15.6" x14ac:dyDescent="0.3">
      <c r="A197" s="76"/>
      <c r="B197" s="77" t="s">
        <v>75</v>
      </c>
      <c r="C197" s="78"/>
      <c r="D197" s="78"/>
      <c r="E197" s="78"/>
      <c r="F197" s="78"/>
      <c r="G197" s="64"/>
      <c r="H197" s="64"/>
      <c r="I197" s="64"/>
      <c r="J197" s="64"/>
      <c r="K197" s="64"/>
      <c r="L197" s="64"/>
      <c r="M197" s="64"/>
      <c r="N197" s="64"/>
      <c r="O197" s="64"/>
      <c r="P197" s="64"/>
      <c r="Q197" s="64"/>
      <c r="R197" s="79">
        <v>5.8209999999999998E-2</v>
      </c>
      <c r="S197" s="25"/>
      <c r="T197" s="25"/>
      <c r="U197" s="25"/>
      <c r="V197" s="5"/>
    </row>
    <row r="198" spans="1:22" ht="15.6" x14ac:dyDescent="0.3">
      <c r="A198" s="76"/>
      <c r="B198" s="77" t="s">
        <v>164</v>
      </c>
      <c r="C198" s="78"/>
      <c r="D198" s="78"/>
      <c r="E198" s="78"/>
      <c r="F198" s="78"/>
      <c r="G198" s="64"/>
      <c r="H198" s="64"/>
      <c r="I198" s="64"/>
      <c r="J198" s="64"/>
      <c r="K198" s="64"/>
      <c r="L198" s="64"/>
      <c r="M198" s="64"/>
      <c r="N198" s="64"/>
      <c r="O198" s="64"/>
      <c r="P198" s="64"/>
      <c r="Q198" s="64"/>
      <c r="R198" s="39">
        <f>'Oct 05'!R193</f>
        <v>4.8438496428571419E-2</v>
      </c>
      <c r="S198" s="25"/>
      <c r="T198" s="25"/>
      <c r="U198" s="25"/>
      <c r="V198" s="5"/>
    </row>
    <row r="199" spans="1:22" ht="15.6" x14ac:dyDescent="0.3">
      <c r="A199" s="76"/>
      <c r="B199" s="77" t="s">
        <v>76</v>
      </c>
      <c r="C199" s="78"/>
      <c r="D199" s="78"/>
      <c r="E199" s="78"/>
      <c r="F199" s="78"/>
      <c r="G199" s="64"/>
      <c r="H199" s="64"/>
      <c r="I199" s="64"/>
      <c r="J199" s="64"/>
      <c r="K199" s="64"/>
      <c r="L199" s="64"/>
      <c r="M199" s="64"/>
      <c r="N199" s="64"/>
      <c r="O199" s="64"/>
      <c r="P199" s="64"/>
      <c r="Q199" s="64"/>
      <c r="R199" s="79">
        <f>R197-R198</f>
        <v>9.7715035714285789E-3</v>
      </c>
      <c r="S199" s="25"/>
      <c r="T199" s="25"/>
      <c r="U199" s="25"/>
      <c r="V199" s="5"/>
    </row>
    <row r="200" spans="1:22" ht="15.6" x14ac:dyDescent="0.3">
      <c r="A200" s="76"/>
      <c r="B200" s="77" t="s">
        <v>77</v>
      </c>
      <c r="C200" s="78"/>
      <c r="D200" s="78"/>
      <c r="E200" s="78"/>
      <c r="F200" s="78"/>
      <c r="G200" s="64"/>
      <c r="H200" s="64"/>
      <c r="I200" s="64"/>
      <c r="J200" s="64"/>
      <c r="K200" s="64"/>
      <c r="L200" s="64"/>
      <c r="M200" s="64"/>
      <c r="N200" s="64"/>
      <c r="O200" s="64"/>
      <c r="P200" s="64"/>
      <c r="Q200" s="64"/>
      <c r="R200" s="79">
        <v>3.5659999999999997E-2</v>
      </c>
      <c r="S200" s="25"/>
      <c r="T200" s="25"/>
      <c r="U200" s="25"/>
      <c r="V200" s="5"/>
    </row>
    <row r="201" spans="1:22" ht="15.6" x14ac:dyDescent="0.3">
      <c r="A201" s="76"/>
      <c r="B201" s="77" t="s">
        <v>257</v>
      </c>
      <c r="C201" s="78"/>
      <c r="D201" s="78"/>
      <c r="E201" s="78"/>
      <c r="F201" s="78"/>
      <c r="G201" s="64"/>
      <c r="H201" s="64"/>
      <c r="I201" s="64"/>
      <c r="J201" s="64"/>
      <c r="K201" s="64"/>
      <c r="L201" s="64"/>
      <c r="M201" s="64"/>
      <c r="N201" s="64"/>
      <c r="O201" s="64"/>
      <c r="P201" s="64"/>
      <c r="Q201" s="64"/>
      <c r="R201" s="79">
        <f>+T41</f>
        <v>1.6057932581445281E-2</v>
      </c>
      <c r="S201" s="25"/>
      <c r="T201" s="25"/>
      <c r="U201" s="25"/>
      <c r="V201" s="5"/>
    </row>
    <row r="202" spans="1:22" ht="15.6" x14ac:dyDescent="0.3">
      <c r="A202" s="76"/>
      <c r="B202" s="77" t="s">
        <v>78</v>
      </c>
      <c r="C202" s="78"/>
      <c r="D202" s="78"/>
      <c r="E202" s="78"/>
      <c r="F202" s="78"/>
      <c r="G202" s="64"/>
      <c r="H202" s="64"/>
      <c r="I202" s="64"/>
      <c r="J202" s="64"/>
      <c r="K202" s="64"/>
      <c r="L202" s="64"/>
      <c r="M202" s="64"/>
      <c r="N202" s="64"/>
      <c r="O202" s="64"/>
      <c r="P202" s="64"/>
      <c r="Q202" s="64"/>
      <c r="R202" s="79">
        <f>R200-R201</f>
        <v>1.9602067418554716E-2</v>
      </c>
      <c r="S202" s="25"/>
      <c r="T202" s="25"/>
      <c r="U202" s="25"/>
      <c r="V202" s="5"/>
    </row>
    <row r="203" spans="1:22" ht="15.6" x14ac:dyDescent="0.3">
      <c r="A203" s="76"/>
      <c r="B203" s="77" t="s">
        <v>268</v>
      </c>
      <c r="C203" s="78"/>
      <c r="D203" s="78"/>
      <c r="E203" s="78"/>
      <c r="F203" s="78"/>
      <c r="G203" s="64"/>
      <c r="H203" s="64"/>
      <c r="I203" s="64"/>
      <c r="J203" s="64"/>
      <c r="K203" s="64"/>
      <c r="L203" s="64"/>
      <c r="M203" s="64"/>
      <c r="N203" s="64"/>
      <c r="O203" s="64"/>
      <c r="P203" s="64"/>
      <c r="Q203" s="64"/>
      <c r="R203" s="79">
        <f>+T98/L69</f>
        <v>1.1454746969768429E-2</v>
      </c>
      <c r="S203" s="25"/>
      <c r="T203" s="25"/>
      <c r="U203" s="25"/>
      <c r="V203" s="5"/>
    </row>
    <row r="204" spans="1:22" ht="15.6" x14ac:dyDescent="0.3">
      <c r="A204" s="76"/>
      <c r="B204" s="77" t="s">
        <v>249</v>
      </c>
      <c r="C204" s="78"/>
      <c r="D204" s="78"/>
      <c r="E204" s="78"/>
      <c r="F204" s="78"/>
      <c r="G204" s="64"/>
      <c r="H204" s="64"/>
      <c r="I204" s="64"/>
      <c r="J204" s="64"/>
      <c r="K204" s="64"/>
      <c r="L204" s="64"/>
      <c r="M204" s="64"/>
      <c r="N204" s="64"/>
      <c r="O204" s="64"/>
      <c r="P204" s="64"/>
      <c r="Q204" s="64"/>
      <c r="R204" s="132">
        <v>51622</v>
      </c>
      <c r="S204" s="25"/>
      <c r="T204" s="25"/>
      <c r="U204" s="25"/>
      <c r="V204" s="5"/>
    </row>
    <row r="205" spans="1:22" ht="15.6" x14ac:dyDescent="0.3">
      <c r="A205" s="76"/>
      <c r="B205" s="77" t="s">
        <v>250</v>
      </c>
      <c r="C205" s="78"/>
      <c r="D205" s="78"/>
      <c r="E205" s="78"/>
      <c r="F205" s="78"/>
      <c r="G205" s="64"/>
      <c r="H205" s="64"/>
      <c r="I205" s="64"/>
      <c r="J205" s="64"/>
      <c r="K205" s="64"/>
      <c r="L205" s="64"/>
      <c r="M205" s="64"/>
      <c r="N205" s="64"/>
      <c r="O205" s="64"/>
      <c r="P205" s="64"/>
      <c r="Q205" s="64"/>
      <c r="R205" s="132">
        <v>51622</v>
      </c>
      <c r="S205" s="25"/>
      <c r="T205" s="25"/>
      <c r="U205" s="25"/>
      <c r="V205" s="5"/>
    </row>
    <row r="206" spans="1:22" ht="15.6" x14ac:dyDescent="0.3">
      <c r="A206" s="76"/>
      <c r="B206" s="77" t="s">
        <v>251</v>
      </c>
      <c r="C206" s="78"/>
      <c r="D206" s="78"/>
      <c r="E206" s="78"/>
      <c r="F206" s="78"/>
      <c r="G206" s="64"/>
      <c r="H206" s="64"/>
      <c r="I206" s="64"/>
      <c r="J206" s="64"/>
      <c r="K206" s="64"/>
      <c r="L206" s="64"/>
      <c r="M206" s="64"/>
      <c r="N206" s="64"/>
      <c r="O206" s="64"/>
      <c r="P206" s="64"/>
      <c r="Q206" s="64"/>
      <c r="R206" s="132">
        <v>51622</v>
      </c>
      <c r="S206" s="25"/>
      <c r="T206" s="25"/>
      <c r="U206" s="25"/>
      <c r="V206" s="5"/>
    </row>
    <row r="207" spans="1:22" ht="15.6" x14ac:dyDescent="0.3">
      <c r="A207" s="76"/>
      <c r="B207" s="77" t="s">
        <v>79</v>
      </c>
      <c r="C207" s="78"/>
      <c r="D207" s="78"/>
      <c r="E207" s="78"/>
      <c r="F207" s="78"/>
      <c r="G207" s="64"/>
      <c r="H207" s="64"/>
      <c r="I207" s="64"/>
      <c r="J207" s="64"/>
      <c r="K207" s="64"/>
      <c r="L207" s="64"/>
      <c r="M207" s="64"/>
      <c r="N207" s="64"/>
      <c r="O207" s="64"/>
      <c r="P207" s="64"/>
      <c r="Q207" s="64"/>
      <c r="R207" s="136">
        <v>20.95</v>
      </c>
      <c r="S207" s="25" t="s">
        <v>119</v>
      </c>
      <c r="T207" s="25"/>
      <c r="U207" s="25"/>
      <c r="V207" s="5"/>
    </row>
    <row r="208" spans="1:22" ht="15.6" x14ac:dyDescent="0.3">
      <c r="A208" s="76"/>
      <c r="B208" s="77" t="s">
        <v>80</v>
      </c>
      <c r="C208" s="78"/>
      <c r="D208" s="78"/>
      <c r="E208" s="78"/>
      <c r="F208" s="78"/>
      <c r="G208" s="64"/>
      <c r="H208" s="64"/>
      <c r="I208" s="64"/>
      <c r="J208" s="64"/>
      <c r="K208" s="64"/>
      <c r="L208" s="64"/>
      <c r="M208" s="64"/>
      <c r="N208" s="64"/>
      <c r="O208" s="64"/>
      <c r="P208" s="64"/>
      <c r="Q208" s="64"/>
      <c r="R208" s="136">
        <v>17.059999999999999</v>
      </c>
      <c r="S208" s="25" t="s">
        <v>119</v>
      </c>
      <c r="T208" s="25"/>
      <c r="U208" s="25"/>
      <c r="V208" s="5"/>
    </row>
    <row r="209" spans="1:22" ht="15.6" x14ac:dyDescent="0.3">
      <c r="A209" s="76"/>
      <c r="B209" s="77" t="s">
        <v>81</v>
      </c>
      <c r="C209" s="78"/>
      <c r="D209" s="78"/>
      <c r="E209" s="78"/>
      <c r="F209" s="78"/>
      <c r="G209" s="64"/>
      <c r="H209" s="64"/>
      <c r="I209" s="64"/>
      <c r="J209" s="64"/>
      <c r="K209" s="64"/>
      <c r="L209" s="64"/>
      <c r="M209" s="64"/>
      <c r="N209" s="64"/>
      <c r="O209" s="64"/>
      <c r="P209" s="64"/>
      <c r="Q209" s="64"/>
      <c r="R209" s="79">
        <f>+N66/L66</f>
        <v>8.5571617223977742E-3</v>
      </c>
      <c r="S209" s="25"/>
      <c r="T209" s="25"/>
      <c r="U209" s="25"/>
      <c r="V209" s="5"/>
    </row>
    <row r="210" spans="1:22" ht="15.6" x14ac:dyDescent="0.3">
      <c r="A210" s="76"/>
      <c r="B210" s="77" t="s">
        <v>82</v>
      </c>
      <c r="C210" s="78"/>
      <c r="D210" s="78"/>
      <c r="E210" s="78"/>
      <c r="F210" s="78"/>
      <c r="G210" s="64"/>
      <c r="H210" s="64"/>
      <c r="I210" s="64"/>
      <c r="J210" s="64"/>
      <c r="K210" s="64"/>
      <c r="L210" s="64"/>
      <c r="M210" s="64"/>
      <c r="N210" s="64"/>
      <c r="O210" s="64"/>
      <c r="P210" s="64"/>
      <c r="Q210" s="64"/>
      <c r="R210" s="79">
        <v>0.1827</v>
      </c>
      <c r="S210" s="25"/>
      <c r="T210" s="25"/>
      <c r="U210" s="25"/>
      <c r="V210" s="5"/>
    </row>
    <row r="211" spans="1:22" ht="15.6" x14ac:dyDescent="0.3">
      <c r="A211" s="76"/>
      <c r="B211" s="77"/>
      <c r="C211" s="77"/>
      <c r="D211" s="77"/>
      <c r="E211" s="77"/>
      <c r="F211" s="77"/>
      <c r="G211" s="25"/>
      <c r="H211" s="25"/>
      <c r="I211" s="25"/>
      <c r="J211" s="25"/>
      <c r="K211" s="25"/>
      <c r="L211" s="25"/>
      <c r="M211" s="25"/>
      <c r="N211" s="25"/>
      <c r="O211" s="25"/>
      <c r="P211" s="25"/>
      <c r="Q211" s="25"/>
      <c r="R211" s="61"/>
      <c r="S211" s="25"/>
      <c r="T211" s="80"/>
      <c r="U211" s="25"/>
      <c r="V211" s="5"/>
    </row>
    <row r="212" spans="1:22" ht="15.6" x14ac:dyDescent="0.3">
      <c r="A212" s="81"/>
      <c r="B212" s="14" t="s">
        <v>83</v>
      </c>
      <c r="C212" s="82"/>
      <c r="D212" s="82"/>
      <c r="E212" s="82"/>
      <c r="F212" s="83"/>
      <c r="G212" s="82"/>
      <c r="H212" s="17"/>
      <c r="I212" s="17"/>
      <c r="J212" s="17"/>
      <c r="K212" s="17"/>
      <c r="L212" s="17"/>
      <c r="M212" s="17"/>
      <c r="N212" s="17"/>
      <c r="O212" s="17"/>
      <c r="P212" s="17"/>
      <c r="Q212" s="17" t="s">
        <v>108</v>
      </c>
      <c r="R212" s="84" t="s">
        <v>115</v>
      </c>
      <c r="S212" s="8"/>
      <c r="T212" s="8"/>
      <c r="U212" s="8"/>
      <c r="V212" s="5"/>
    </row>
    <row r="213" spans="1:22" ht="15.6" x14ac:dyDescent="0.3">
      <c r="A213" s="85"/>
      <c r="B213" s="77" t="s">
        <v>84</v>
      </c>
      <c r="C213" s="54"/>
      <c r="D213" s="54"/>
      <c r="E213" s="54"/>
      <c r="F213" s="25"/>
      <c r="G213" s="25"/>
      <c r="H213" s="30"/>
      <c r="I213" s="30"/>
      <c r="J213" s="30"/>
      <c r="K213" s="30"/>
      <c r="L213" s="30"/>
      <c r="M213" s="30"/>
      <c r="N213" s="30"/>
      <c r="O213" s="30"/>
      <c r="P213" s="30"/>
      <c r="Q213" s="30">
        <v>0</v>
      </c>
      <c r="R213" s="86">
        <v>0</v>
      </c>
      <c r="S213" s="25"/>
      <c r="T213" s="80"/>
      <c r="U213" s="87"/>
      <c r="V213" s="5"/>
    </row>
    <row r="214" spans="1:22" ht="15.6" x14ac:dyDescent="0.3">
      <c r="A214" s="85"/>
      <c r="B214" s="77" t="s">
        <v>156</v>
      </c>
      <c r="C214" s="54"/>
      <c r="D214" s="54"/>
      <c r="E214" s="54"/>
      <c r="F214" s="25"/>
      <c r="G214" s="25"/>
      <c r="H214" s="30"/>
      <c r="I214" s="30"/>
      <c r="J214" s="30"/>
      <c r="K214" s="30"/>
      <c r="L214" s="30"/>
      <c r="M214" s="30"/>
      <c r="N214" s="30"/>
      <c r="O214" s="30"/>
      <c r="P214" s="30"/>
      <c r="Q214" s="156">
        <f>+P253</f>
        <v>104</v>
      </c>
      <c r="R214" s="86">
        <f>+R253</f>
        <v>16314</v>
      </c>
      <c r="S214" s="25"/>
      <c r="T214" s="80"/>
      <c r="U214" s="87"/>
      <c r="V214" s="5"/>
    </row>
    <row r="215" spans="1:22" ht="15.6" x14ac:dyDescent="0.3">
      <c r="A215" s="85"/>
      <c r="B215" s="77" t="s">
        <v>85</v>
      </c>
      <c r="C215" s="54"/>
      <c r="D215" s="54"/>
      <c r="E215" s="54"/>
      <c r="F215" s="25"/>
      <c r="G215" s="25"/>
      <c r="H215" s="30"/>
      <c r="I215" s="30"/>
      <c r="J215" s="30"/>
      <c r="K215" s="30"/>
      <c r="L215" s="30"/>
      <c r="M215" s="30"/>
      <c r="N215" s="30"/>
      <c r="O215" s="30"/>
      <c r="P215" s="30"/>
      <c r="Q215" s="156">
        <f>+P265</f>
        <v>1</v>
      </c>
      <c r="R215" s="86">
        <f>+R265</f>
        <v>52</v>
      </c>
      <c r="S215" s="25"/>
      <c r="T215" s="80"/>
      <c r="U215" s="87"/>
      <c r="V215" s="5"/>
    </row>
    <row r="216" spans="1:22" ht="15.6" x14ac:dyDescent="0.3">
      <c r="A216" s="85"/>
      <c r="B216" s="123" t="s">
        <v>86</v>
      </c>
      <c r="C216" s="54"/>
      <c r="D216" s="54"/>
      <c r="E216" s="54"/>
      <c r="F216" s="25"/>
      <c r="G216" s="25"/>
      <c r="H216" s="25"/>
      <c r="I216" s="25"/>
      <c r="J216" s="25"/>
      <c r="K216" s="25"/>
      <c r="L216" s="25"/>
      <c r="M216" s="25"/>
      <c r="N216" s="25"/>
      <c r="O216" s="25"/>
      <c r="P216" s="25"/>
      <c r="Q216" s="25"/>
      <c r="R216" s="86">
        <v>0</v>
      </c>
      <c r="S216" s="25"/>
      <c r="T216" s="80"/>
      <c r="U216" s="87"/>
      <c r="V216" s="5"/>
    </row>
    <row r="217" spans="1:22" ht="15.6" x14ac:dyDescent="0.3">
      <c r="A217" s="85"/>
      <c r="B217" s="123" t="s">
        <v>87</v>
      </c>
      <c r="C217" s="54"/>
      <c r="D217" s="54"/>
      <c r="E217" s="54"/>
      <c r="F217" s="25"/>
      <c r="G217" s="25"/>
      <c r="H217" s="25"/>
      <c r="I217" s="25"/>
      <c r="J217" s="25"/>
      <c r="K217" s="25"/>
      <c r="L217" s="25"/>
      <c r="M217" s="25"/>
      <c r="N217" s="25"/>
      <c r="O217" s="25"/>
      <c r="P217" s="25"/>
      <c r="Q217" s="25"/>
      <c r="R217" s="62" t="s">
        <v>116</v>
      </c>
      <c r="S217" s="25"/>
      <c r="T217" s="80"/>
      <c r="U217" s="87"/>
      <c r="V217" s="5"/>
    </row>
    <row r="218" spans="1:22" ht="15.6" x14ac:dyDescent="0.3">
      <c r="A218" s="88"/>
      <c r="B218" s="123" t="s">
        <v>88</v>
      </c>
      <c r="C218" s="77"/>
      <c r="D218" s="77"/>
      <c r="E218" s="77"/>
      <c r="F218" s="77"/>
      <c r="G218" s="25"/>
      <c r="H218" s="25"/>
      <c r="I218" s="25"/>
      <c r="J218" s="25"/>
      <c r="K218" s="25"/>
      <c r="L218" s="25"/>
      <c r="M218" s="25"/>
      <c r="N218" s="25"/>
      <c r="O218" s="25"/>
      <c r="P218" s="25"/>
      <c r="Q218" s="25"/>
      <c r="R218" s="86"/>
      <c r="S218" s="25"/>
      <c r="T218" s="80"/>
      <c r="U218" s="89"/>
      <c r="V218" s="5"/>
    </row>
    <row r="219" spans="1:22" ht="15.6" x14ac:dyDescent="0.3">
      <c r="A219" s="88"/>
      <c r="B219" s="134" t="s">
        <v>89</v>
      </c>
      <c r="C219" s="77"/>
      <c r="D219" s="77"/>
      <c r="E219" s="77"/>
      <c r="F219" s="77"/>
      <c r="G219" s="25"/>
      <c r="H219" s="25"/>
      <c r="I219" s="25"/>
      <c r="J219" s="25"/>
      <c r="K219" s="25"/>
      <c r="L219" s="25"/>
      <c r="M219" s="25"/>
      <c r="N219" s="25"/>
      <c r="O219" s="25"/>
      <c r="P219" s="25"/>
      <c r="Q219" s="30"/>
      <c r="R219" s="86">
        <f>T164</f>
        <v>502</v>
      </c>
      <c r="S219" s="25"/>
      <c r="T219" s="80"/>
      <c r="U219" s="89"/>
      <c r="V219" s="5"/>
    </row>
    <row r="220" spans="1:22" ht="15.6" x14ac:dyDescent="0.3">
      <c r="A220" s="85"/>
      <c r="B220" s="77" t="s">
        <v>90</v>
      </c>
      <c r="C220" s="54"/>
      <c r="D220" s="54"/>
      <c r="E220" s="54"/>
      <c r="F220" s="54"/>
      <c r="G220" s="25"/>
      <c r="H220" s="25"/>
      <c r="I220" s="25"/>
      <c r="J220" s="25"/>
      <c r="K220" s="25"/>
      <c r="L220" s="25"/>
      <c r="M220" s="25"/>
      <c r="N220" s="25"/>
      <c r="O220" s="25"/>
      <c r="P220" s="25"/>
      <c r="Q220" s="30"/>
      <c r="R220" s="86">
        <f>'April 09'!R220+'July 09'!R219</f>
        <v>1403</v>
      </c>
      <c r="S220" s="25"/>
      <c r="T220" s="80"/>
      <c r="U220" s="89"/>
      <c r="V220" s="5"/>
    </row>
    <row r="221" spans="1:22" ht="15.6" x14ac:dyDescent="0.3">
      <c r="A221" s="88"/>
      <c r="B221" s="123" t="s">
        <v>288</v>
      </c>
      <c r="C221" s="77"/>
      <c r="D221" s="77"/>
      <c r="E221" s="77"/>
      <c r="F221" s="77"/>
      <c r="G221" s="25"/>
      <c r="H221" s="25"/>
      <c r="I221" s="25"/>
      <c r="J221" s="25"/>
      <c r="K221" s="25"/>
      <c r="L221" s="25"/>
      <c r="M221" s="25"/>
      <c r="N221" s="25"/>
      <c r="O221" s="25"/>
      <c r="P221" s="25"/>
      <c r="Q221" s="30"/>
      <c r="R221" s="86"/>
      <c r="S221" s="25"/>
      <c r="T221" s="80"/>
      <c r="U221" s="89"/>
      <c r="V221" s="5"/>
    </row>
    <row r="222" spans="1:22" ht="15.6" x14ac:dyDescent="0.3">
      <c r="A222" s="88"/>
      <c r="B222" s="77" t="s">
        <v>286</v>
      </c>
      <c r="C222" s="77"/>
      <c r="D222" s="77"/>
      <c r="E222" s="77"/>
      <c r="F222" s="77"/>
      <c r="G222" s="25"/>
      <c r="H222" s="25"/>
      <c r="I222" s="25"/>
      <c r="J222" s="25"/>
      <c r="K222" s="25"/>
      <c r="L222" s="25"/>
      <c r="M222" s="25"/>
      <c r="N222" s="25"/>
      <c r="O222" s="25"/>
      <c r="P222" s="25"/>
      <c r="Q222" s="30">
        <v>0</v>
      </c>
      <c r="R222" s="86">
        <v>0</v>
      </c>
      <c r="S222" s="25"/>
      <c r="T222" s="80"/>
      <c r="U222" s="89"/>
      <c r="V222" s="5"/>
    </row>
    <row r="223" spans="1:22" ht="15.6" x14ac:dyDescent="0.3">
      <c r="A223" s="85"/>
      <c r="B223" s="77" t="s">
        <v>92</v>
      </c>
      <c r="C223" s="90"/>
      <c r="D223" s="90"/>
      <c r="E223" s="90"/>
      <c r="F223" s="91"/>
      <c r="G223" s="25"/>
      <c r="H223" s="25"/>
      <c r="I223" s="25"/>
      <c r="J223" s="25"/>
      <c r="K223" s="25"/>
      <c r="L223" s="25"/>
      <c r="M223" s="25"/>
      <c r="N223" s="25"/>
      <c r="O223" s="25"/>
      <c r="P223" s="25"/>
      <c r="Q223" s="30"/>
      <c r="R223" s="62">
        <v>0</v>
      </c>
      <c r="S223" s="25"/>
      <c r="T223" s="80"/>
      <c r="U223" s="89"/>
      <c r="V223" s="5"/>
    </row>
    <row r="224" spans="1:22" ht="15.6" x14ac:dyDescent="0.3">
      <c r="A224" s="85"/>
      <c r="B224" s="77" t="s">
        <v>93</v>
      </c>
      <c r="C224" s="90"/>
      <c r="D224" s="90"/>
      <c r="E224" s="90"/>
      <c r="F224" s="91"/>
      <c r="G224" s="25"/>
      <c r="H224" s="25"/>
      <c r="I224" s="25"/>
      <c r="J224" s="25"/>
      <c r="K224" s="25"/>
      <c r="L224" s="25"/>
      <c r="M224" s="25"/>
      <c r="N224" s="25"/>
      <c r="O224" s="25"/>
      <c r="P224" s="25"/>
      <c r="Q224" s="30"/>
      <c r="R224" s="62">
        <v>0</v>
      </c>
      <c r="S224" s="25"/>
      <c r="T224" s="80"/>
      <c r="U224" s="89"/>
      <c r="V224" s="5"/>
    </row>
    <row r="225" spans="1:23" ht="15.6" x14ac:dyDescent="0.3">
      <c r="A225" s="85"/>
      <c r="B225" s="123" t="s">
        <v>258</v>
      </c>
      <c r="C225" s="90"/>
      <c r="D225" s="90"/>
      <c r="E225" s="90"/>
      <c r="F225" s="91"/>
      <c r="G225" s="25"/>
      <c r="H225" s="25"/>
      <c r="I225" s="25"/>
      <c r="J225" s="25"/>
      <c r="K225" s="25"/>
      <c r="L225" s="25"/>
      <c r="M225" s="25"/>
      <c r="N225" s="25"/>
      <c r="O225" s="25"/>
      <c r="P225" s="25"/>
      <c r="Q225" s="30"/>
      <c r="R225" s="92"/>
      <c r="S225" s="25"/>
      <c r="T225" s="80"/>
      <c r="U225" s="89"/>
      <c r="V225" s="5"/>
    </row>
    <row r="226" spans="1:23" ht="15.6" x14ac:dyDescent="0.3">
      <c r="A226" s="85"/>
      <c r="B226" s="77" t="s">
        <v>286</v>
      </c>
      <c r="C226" s="90"/>
      <c r="D226" s="90"/>
      <c r="E226" s="90"/>
      <c r="F226" s="91"/>
      <c r="G226" s="25"/>
      <c r="H226" s="25"/>
      <c r="I226" s="25"/>
      <c r="J226" s="25"/>
      <c r="K226" s="25"/>
      <c r="L226" s="25"/>
      <c r="M226" s="25"/>
      <c r="N226" s="25"/>
      <c r="O226" s="25"/>
      <c r="P226" s="25"/>
      <c r="Q226" s="30">
        <v>7</v>
      </c>
      <c r="R226" s="86">
        <v>942</v>
      </c>
      <c r="S226" s="25"/>
      <c r="T226" s="80"/>
      <c r="U226" s="89"/>
      <c r="V226" s="5"/>
    </row>
    <row r="227" spans="1:23" ht="15.6" x14ac:dyDescent="0.3">
      <c r="A227" s="85"/>
      <c r="B227" s="77" t="s">
        <v>259</v>
      </c>
      <c r="C227" s="90"/>
      <c r="D227" s="90"/>
      <c r="E227" s="90"/>
      <c r="F227" s="91"/>
      <c r="G227" s="25"/>
      <c r="H227" s="25"/>
      <c r="I227" s="25"/>
      <c r="J227" s="25"/>
      <c r="K227" s="25"/>
      <c r="L227" s="25"/>
      <c r="M227" s="25"/>
      <c r="N227" s="25"/>
      <c r="O227" s="25"/>
      <c r="P227" s="25"/>
      <c r="Q227" s="25"/>
      <c r="R227" s="62">
        <v>33.46</v>
      </c>
      <c r="S227" s="25"/>
      <c r="T227" s="80"/>
      <c r="U227" s="89"/>
      <c r="V227" s="5"/>
    </row>
    <row r="228" spans="1:23" ht="15.6" x14ac:dyDescent="0.3">
      <c r="A228" s="85"/>
      <c r="B228" s="77"/>
      <c r="C228" s="90"/>
      <c r="D228" s="90"/>
      <c r="E228" s="90"/>
      <c r="F228" s="91"/>
      <c r="G228" s="25"/>
      <c r="H228" s="25"/>
      <c r="I228" s="25"/>
      <c r="J228" s="25"/>
      <c r="K228" s="25"/>
      <c r="L228" s="25"/>
      <c r="M228" s="25"/>
      <c r="N228" s="25"/>
      <c r="O228" s="25"/>
      <c r="P228" s="25"/>
      <c r="Q228" s="25"/>
      <c r="R228" s="92"/>
      <c r="S228" s="25"/>
      <c r="T228" s="80"/>
      <c r="U228" s="89"/>
      <c r="V228" s="5"/>
    </row>
    <row r="229" spans="1:23" ht="17.399999999999999" x14ac:dyDescent="0.3">
      <c r="A229" s="85"/>
      <c r="B229" s="153" t="s">
        <v>208</v>
      </c>
      <c r="C229" s="90"/>
      <c r="D229" s="90"/>
      <c r="E229" s="90"/>
      <c r="F229" s="91"/>
      <c r="G229" s="25"/>
      <c r="H229" s="25"/>
      <c r="I229" s="25"/>
      <c r="J229" s="25"/>
      <c r="K229" s="25"/>
      <c r="L229" s="25"/>
      <c r="M229" s="25"/>
      <c r="N229" s="154" t="s">
        <v>207</v>
      </c>
      <c r="O229" s="25"/>
      <c r="P229" s="25"/>
      <c r="Q229" s="25"/>
      <c r="R229" s="92"/>
      <c r="S229" s="25"/>
      <c r="T229" s="80"/>
      <c r="U229" s="89"/>
      <c r="V229" s="5"/>
    </row>
    <row r="230" spans="1:23" ht="15.6" x14ac:dyDescent="0.3">
      <c r="A230" s="85"/>
      <c r="B230" s="77"/>
      <c r="C230" s="90"/>
      <c r="D230" s="90"/>
      <c r="E230" s="90"/>
      <c r="F230" s="91"/>
      <c r="G230" s="25"/>
      <c r="H230" s="25"/>
      <c r="I230" s="25"/>
      <c r="J230" s="25"/>
      <c r="K230" s="25"/>
      <c r="L230" s="25"/>
      <c r="M230" s="25"/>
      <c r="N230" s="25"/>
      <c r="O230" s="25"/>
      <c r="P230" s="25"/>
      <c r="Q230" s="25"/>
      <c r="R230" s="92"/>
      <c r="S230" s="25"/>
      <c r="T230" s="80"/>
      <c r="U230" s="89"/>
      <c r="V230" s="5"/>
    </row>
    <row r="231" spans="1:23" ht="15.6" x14ac:dyDescent="0.3">
      <c r="A231" s="6"/>
      <c r="B231" s="14" t="s">
        <v>177</v>
      </c>
      <c r="C231" s="82"/>
      <c r="D231" s="82"/>
      <c r="E231" s="82"/>
      <c r="F231" s="83"/>
      <c r="G231" s="82"/>
      <c r="H231" s="17"/>
      <c r="I231" s="17"/>
      <c r="J231" s="17"/>
      <c r="K231" s="17"/>
      <c r="L231" s="17"/>
      <c r="M231" s="17"/>
      <c r="N231" s="17"/>
      <c r="O231" s="17"/>
      <c r="P231" s="84" t="s">
        <v>108</v>
      </c>
      <c r="Q231" s="17" t="s">
        <v>109</v>
      </c>
      <c r="R231" s="84" t="s">
        <v>117</v>
      </c>
      <c r="S231" s="17" t="s">
        <v>109</v>
      </c>
      <c r="T231" s="8"/>
      <c r="U231" s="93"/>
      <c r="V231" s="5"/>
    </row>
    <row r="232" spans="1:23" ht="15.6" x14ac:dyDescent="0.3">
      <c r="A232" s="24"/>
      <c r="B232" s="54" t="s">
        <v>94</v>
      </c>
      <c r="C232" s="94"/>
      <c r="D232" s="94"/>
      <c r="E232" s="94"/>
      <c r="F232" s="25"/>
      <c r="G232" s="94"/>
      <c r="H232" s="94"/>
      <c r="I232" s="94"/>
      <c r="J232" s="94"/>
      <c r="K232" s="94"/>
      <c r="L232" s="94"/>
      <c r="M232" s="94"/>
      <c r="N232" s="94"/>
      <c r="O232" s="94"/>
      <c r="P232" s="54">
        <v>2679</v>
      </c>
      <c r="Q232" s="95">
        <f t="shared" ref="Q232:Q239" si="1">P232/$P$241</f>
        <v>0.98929098966026585</v>
      </c>
      <c r="R232" s="53">
        <v>316407</v>
      </c>
      <c r="S232" s="135">
        <f t="shared" ref="S232:S239" si="2">R232/$R$241</f>
        <v>0.98735255570117952</v>
      </c>
      <c r="T232" s="80"/>
      <c r="U232" s="89"/>
      <c r="V232" s="5"/>
    </row>
    <row r="233" spans="1:23" ht="15.6" x14ac:dyDescent="0.3">
      <c r="A233" s="24"/>
      <c r="B233" s="54" t="s">
        <v>95</v>
      </c>
      <c r="C233" s="94"/>
      <c r="D233" s="94"/>
      <c r="E233" s="94"/>
      <c r="F233" s="25"/>
      <c r="G233" s="95"/>
      <c r="H233" s="94"/>
      <c r="I233" s="94"/>
      <c r="J233" s="94"/>
      <c r="K233" s="94"/>
      <c r="L233" s="94"/>
      <c r="M233" s="94"/>
      <c r="N233" s="94"/>
      <c r="O233" s="94"/>
      <c r="P233" s="54">
        <v>23</v>
      </c>
      <c r="Q233" s="95">
        <f t="shared" si="1"/>
        <v>8.4933530280649934E-3</v>
      </c>
      <c r="R233" s="53">
        <v>3372</v>
      </c>
      <c r="S233" s="135">
        <f t="shared" si="2"/>
        <v>1.0522374087249578E-2</v>
      </c>
      <c r="T233" s="80"/>
      <c r="U233" s="89"/>
      <c r="V233" s="5"/>
      <c r="W233" s="110"/>
    </row>
    <row r="234" spans="1:23" ht="15.6" x14ac:dyDescent="0.3">
      <c r="A234" s="24"/>
      <c r="B234" s="54" t="s">
        <v>96</v>
      </c>
      <c r="C234" s="94"/>
      <c r="D234" s="94"/>
      <c r="E234" s="94"/>
      <c r="F234" s="25"/>
      <c r="G234" s="95"/>
      <c r="H234" s="94"/>
      <c r="I234" s="94"/>
      <c r="J234" s="94"/>
      <c r="K234" s="94"/>
      <c r="L234" s="94"/>
      <c r="M234" s="94"/>
      <c r="N234" s="94"/>
      <c r="O234" s="94"/>
      <c r="P234" s="54">
        <v>3</v>
      </c>
      <c r="Q234" s="95">
        <f t="shared" si="1"/>
        <v>1.1078286558345643E-3</v>
      </c>
      <c r="R234" s="53">
        <v>202</v>
      </c>
      <c r="S234" s="135">
        <f t="shared" si="2"/>
        <v>6.3034388067153462E-4</v>
      </c>
      <c r="T234" s="80"/>
      <c r="U234" s="89"/>
      <c r="V234" s="5"/>
    </row>
    <row r="235" spans="1:23" ht="15.6" x14ac:dyDescent="0.3">
      <c r="A235" s="24"/>
      <c r="B235" s="54" t="s">
        <v>171</v>
      </c>
      <c r="C235" s="94"/>
      <c r="D235" s="94"/>
      <c r="E235" s="94"/>
      <c r="F235" s="25"/>
      <c r="G235" s="95"/>
      <c r="H235" s="94"/>
      <c r="I235" s="94"/>
      <c r="J235" s="94"/>
      <c r="K235" s="94"/>
      <c r="L235" s="94"/>
      <c r="M235" s="94"/>
      <c r="N235" s="94"/>
      <c r="O235" s="94"/>
      <c r="P235" s="54">
        <v>0</v>
      </c>
      <c r="Q235" s="95">
        <f t="shared" si="1"/>
        <v>0</v>
      </c>
      <c r="R235" s="53">
        <v>0</v>
      </c>
      <c r="S235" s="135">
        <f t="shared" si="2"/>
        <v>0</v>
      </c>
      <c r="T235" s="80"/>
      <c r="U235" s="89"/>
      <c r="V235" s="5"/>
      <c r="W235" s="110"/>
    </row>
    <row r="236" spans="1:23" ht="15.6" x14ac:dyDescent="0.3">
      <c r="A236" s="24"/>
      <c r="B236" s="54" t="s">
        <v>172</v>
      </c>
      <c r="C236" s="94"/>
      <c r="D236" s="94"/>
      <c r="E236" s="94"/>
      <c r="F236" s="25"/>
      <c r="G236" s="95"/>
      <c r="H236" s="94"/>
      <c r="I236" s="94"/>
      <c r="J236" s="94"/>
      <c r="K236" s="94"/>
      <c r="L236" s="94"/>
      <c r="M236" s="94"/>
      <c r="N236" s="94"/>
      <c r="O236" s="94"/>
      <c r="P236" s="54">
        <v>0</v>
      </c>
      <c r="Q236" s="95">
        <f t="shared" si="1"/>
        <v>0</v>
      </c>
      <c r="R236" s="53">
        <v>0</v>
      </c>
      <c r="S236" s="135">
        <f t="shared" si="2"/>
        <v>0</v>
      </c>
      <c r="T236" s="80"/>
      <c r="U236" s="89"/>
      <c r="V236" s="5"/>
    </row>
    <row r="237" spans="1:23" ht="15.6" x14ac:dyDescent="0.3">
      <c r="A237" s="24"/>
      <c r="B237" s="54" t="s">
        <v>173</v>
      </c>
      <c r="C237" s="94"/>
      <c r="D237" s="94"/>
      <c r="E237" s="94"/>
      <c r="F237" s="25"/>
      <c r="G237" s="95"/>
      <c r="H237" s="94"/>
      <c r="I237" s="94"/>
      <c r="J237" s="94"/>
      <c r="K237" s="94"/>
      <c r="L237" s="94"/>
      <c r="M237" s="94"/>
      <c r="N237" s="94"/>
      <c r="O237" s="94"/>
      <c r="P237" s="54">
        <v>1</v>
      </c>
      <c r="Q237" s="95">
        <f t="shared" si="1"/>
        <v>3.6927621861152144E-4</v>
      </c>
      <c r="R237" s="53">
        <v>108</v>
      </c>
      <c r="S237" s="135">
        <f t="shared" si="2"/>
        <v>3.3701554016101853E-4</v>
      </c>
      <c r="T237" s="80"/>
      <c r="U237" s="89"/>
      <c r="V237" s="5"/>
      <c r="W237" s="110"/>
    </row>
    <row r="238" spans="1:23" ht="15.6" x14ac:dyDescent="0.3">
      <c r="A238" s="24"/>
      <c r="B238" s="54" t="s">
        <v>174</v>
      </c>
      <c r="C238" s="94"/>
      <c r="D238" s="94"/>
      <c r="E238" s="94"/>
      <c r="F238" s="25"/>
      <c r="G238" s="95"/>
      <c r="H238" s="94"/>
      <c r="I238" s="94"/>
      <c r="J238" s="94"/>
      <c r="K238" s="94"/>
      <c r="L238" s="94"/>
      <c r="M238" s="94"/>
      <c r="N238" s="94"/>
      <c r="O238" s="94"/>
      <c r="P238" s="54">
        <v>0</v>
      </c>
      <c r="Q238" s="95">
        <f t="shared" si="1"/>
        <v>0</v>
      </c>
      <c r="R238" s="53">
        <v>0</v>
      </c>
      <c r="S238" s="135">
        <f t="shared" si="2"/>
        <v>0</v>
      </c>
      <c r="T238" s="80"/>
      <c r="U238" s="89"/>
      <c r="V238" s="5"/>
    </row>
    <row r="239" spans="1:23" ht="15.6" x14ac:dyDescent="0.3">
      <c r="A239" s="24"/>
      <c r="B239" s="54" t="s">
        <v>175</v>
      </c>
      <c r="C239" s="94"/>
      <c r="D239" s="94"/>
      <c r="E239" s="94"/>
      <c r="F239" s="25"/>
      <c r="G239" s="95"/>
      <c r="H239" s="94"/>
      <c r="I239" s="94"/>
      <c r="J239" s="94"/>
      <c r="K239" s="94"/>
      <c r="L239" s="94"/>
      <c r="M239" s="94"/>
      <c r="N239" s="94"/>
      <c r="O239" s="94"/>
      <c r="P239" s="54">
        <v>2</v>
      </c>
      <c r="Q239" s="95">
        <f t="shared" si="1"/>
        <v>7.3855243722304289E-4</v>
      </c>
      <c r="R239" s="53">
        <v>371</v>
      </c>
      <c r="S239" s="135">
        <f t="shared" si="2"/>
        <v>1.1577107907383137E-3</v>
      </c>
      <c r="T239" s="80"/>
      <c r="U239" s="89"/>
      <c r="V239" s="5"/>
      <c r="W239" s="110"/>
    </row>
    <row r="240" spans="1:23" ht="15.6" x14ac:dyDescent="0.3">
      <c r="A240" s="24"/>
      <c r="B240" s="54"/>
      <c r="C240" s="94"/>
      <c r="D240" s="94"/>
      <c r="E240" s="94"/>
      <c r="F240" s="25"/>
      <c r="G240" s="95"/>
      <c r="H240" s="94"/>
      <c r="I240" s="94"/>
      <c r="J240" s="94"/>
      <c r="K240" s="94"/>
      <c r="L240" s="94"/>
      <c r="M240" s="94"/>
      <c r="N240" s="94"/>
      <c r="O240" s="94"/>
      <c r="P240" s="54"/>
      <c r="Q240" s="95"/>
      <c r="R240" s="53"/>
      <c r="S240" s="135"/>
      <c r="T240" s="80"/>
      <c r="U240" s="89"/>
      <c r="V240" s="5"/>
    </row>
    <row r="241" spans="1:22" ht="15.6" x14ac:dyDescent="0.3">
      <c r="A241" s="24"/>
      <c r="B241" s="25"/>
      <c r="C241" s="25"/>
      <c r="D241" s="25"/>
      <c r="E241" s="25"/>
      <c r="F241" s="25"/>
      <c r="G241" s="25"/>
      <c r="H241" s="96"/>
      <c r="I241" s="96"/>
      <c r="J241" s="96"/>
      <c r="K241" s="96"/>
      <c r="L241" s="96"/>
      <c r="M241" s="96"/>
      <c r="N241" s="96"/>
      <c r="O241" s="96"/>
      <c r="P241" s="34">
        <f>SUM(P232:P240)</f>
        <v>2708</v>
      </c>
      <c r="Q241" s="135">
        <f>SUM(Q232:Q240)</f>
        <v>1</v>
      </c>
      <c r="R241" s="53">
        <f>SUM(R232:R240)</f>
        <v>320460</v>
      </c>
      <c r="S241" s="135">
        <f>SUM(S232:S240)</f>
        <v>0.99999999999999989</v>
      </c>
      <c r="T241" s="25"/>
      <c r="U241" s="25"/>
      <c r="V241" s="5"/>
    </row>
    <row r="242" spans="1:22" ht="15.6" x14ac:dyDescent="0.3">
      <c r="A242" s="24"/>
      <c r="B242" s="25"/>
      <c r="C242" s="25"/>
      <c r="D242" s="25"/>
      <c r="E242" s="25"/>
      <c r="F242" s="25"/>
      <c r="G242" s="25"/>
      <c r="H242" s="96"/>
      <c r="I242" s="96"/>
      <c r="J242" s="96"/>
      <c r="K242" s="96"/>
      <c r="L242" s="96"/>
      <c r="M242" s="96"/>
      <c r="N242" s="96"/>
      <c r="O242" s="96"/>
      <c r="P242" s="34"/>
      <c r="Q242" s="135"/>
      <c r="R242" s="53"/>
      <c r="S242" s="135"/>
      <c r="T242" s="25"/>
      <c r="U242" s="25"/>
      <c r="V242" s="5"/>
    </row>
    <row r="243" spans="1:22" ht="15.6" x14ac:dyDescent="0.3">
      <c r="A243" s="144"/>
      <c r="B243" s="14" t="s">
        <v>279</v>
      </c>
      <c r="C243" s="82"/>
      <c r="D243" s="82"/>
      <c r="E243" s="82"/>
      <c r="F243" s="83"/>
      <c r="G243" s="82"/>
      <c r="H243" s="17"/>
      <c r="I243" s="17"/>
      <c r="J243" s="17"/>
      <c r="K243" s="17"/>
      <c r="L243" s="17"/>
      <c r="M243" s="17"/>
      <c r="N243" s="17"/>
      <c r="O243" s="17"/>
      <c r="P243" s="84" t="s">
        <v>108</v>
      </c>
      <c r="Q243" s="17" t="s">
        <v>109</v>
      </c>
      <c r="R243" s="84" t="s">
        <v>117</v>
      </c>
      <c r="S243" s="17" t="s">
        <v>109</v>
      </c>
      <c r="T243" s="142"/>
      <c r="U243" s="143"/>
      <c r="V243" s="5"/>
    </row>
    <row r="244" spans="1:22" ht="15.6" x14ac:dyDescent="0.3">
      <c r="A244" s="24"/>
      <c r="B244" s="54" t="s">
        <v>94</v>
      </c>
      <c r="C244" s="94"/>
      <c r="D244" s="94"/>
      <c r="E244" s="94"/>
      <c r="F244" s="25"/>
      <c r="G244" s="94"/>
      <c r="H244" s="94"/>
      <c r="I244" s="94"/>
      <c r="J244" s="94"/>
      <c r="K244" s="94"/>
      <c r="L244" s="94"/>
      <c r="M244" s="94"/>
      <c r="N244" s="94"/>
      <c r="O244" s="94"/>
      <c r="P244" s="54">
        <v>23</v>
      </c>
      <c r="Q244" s="95">
        <f t="shared" ref="Q244:Q251" si="3">P244/$P$253</f>
        <v>0.22115384615384615</v>
      </c>
      <c r="R244" s="53">
        <v>3914</v>
      </c>
      <c r="S244" s="135">
        <f t="shared" ref="S244:S251" si="4">R244/$R$253</f>
        <v>0.23991663601814392</v>
      </c>
      <c r="T244" s="25"/>
      <c r="U244" s="25"/>
      <c r="V244" s="5"/>
    </row>
    <row r="245" spans="1:22" ht="15.6" x14ac:dyDescent="0.3">
      <c r="A245" s="24"/>
      <c r="B245" s="54" t="s">
        <v>95</v>
      </c>
      <c r="C245" s="94"/>
      <c r="D245" s="94"/>
      <c r="E245" s="94"/>
      <c r="F245" s="25"/>
      <c r="G245" s="95"/>
      <c r="H245" s="94"/>
      <c r="I245" s="94"/>
      <c r="J245" s="94"/>
      <c r="K245" s="94"/>
      <c r="L245" s="94"/>
      <c r="M245" s="94"/>
      <c r="N245" s="94"/>
      <c r="O245" s="94"/>
      <c r="P245" s="54">
        <v>33</v>
      </c>
      <c r="Q245" s="95">
        <f t="shared" si="3"/>
        <v>0.31730769230769229</v>
      </c>
      <c r="R245" s="53">
        <v>4676</v>
      </c>
      <c r="S245" s="135">
        <f t="shared" si="4"/>
        <v>0.2866249846757386</v>
      </c>
      <c r="T245" s="25"/>
      <c r="U245" s="25"/>
      <c r="V245" s="5"/>
    </row>
    <row r="246" spans="1:22" ht="15.6" x14ac:dyDescent="0.3">
      <c r="A246" s="24"/>
      <c r="B246" s="54" t="s">
        <v>96</v>
      </c>
      <c r="C246" s="94"/>
      <c r="D246" s="94"/>
      <c r="E246" s="94"/>
      <c r="F246" s="25"/>
      <c r="G246" s="95"/>
      <c r="H246" s="94"/>
      <c r="I246" s="94"/>
      <c r="J246" s="94"/>
      <c r="K246" s="94"/>
      <c r="L246" s="94"/>
      <c r="M246" s="94"/>
      <c r="N246" s="94"/>
      <c r="O246" s="94"/>
      <c r="P246" s="54">
        <v>12</v>
      </c>
      <c r="Q246" s="95">
        <f t="shared" si="3"/>
        <v>0.11538461538461539</v>
      </c>
      <c r="R246" s="53">
        <v>2451</v>
      </c>
      <c r="S246" s="135">
        <f t="shared" si="4"/>
        <v>0.15023905847738139</v>
      </c>
      <c r="T246" s="25"/>
      <c r="U246" s="25"/>
      <c r="V246" s="5"/>
    </row>
    <row r="247" spans="1:22" ht="15.6" x14ac:dyDescent="0.3">
      <c r="A247" s="24"/>
      <c r="B247" s="54" t="s">
        <v>171</v>
      </c>
      <c r="C247" s="94"/>
      <c r="D247" s="94"/>
      <c r="E247" s="94"/>
      <c r="F247" s="25"/>
      <c r="G247" s="95"/>
      <c r="H247" s="94"/>
      <c r="I247" s="94"/>
      <c r="J247" s="94"/>
      <c r="K247" s="94"/>
      <c r="L247" s="94"/>
      <c r="M247" s="94"/>
      <c r="N247" s="94"/>
      <c r="O247" s="94"/>
      <c r="P247" s="54">
        <v>6</v>
      </c>
      <c r="Q247" s="95">
        <f t="shared" si="3"/>
        <v>5.7692307692307696E-2</v>
      </c>
      <c r="R247" s="53">
        <v>824</v>
      </c>
      <c r="S247" s="135">
        <f t="shared" si="4"/>
        <v>5.0508765477503985E-2</v>
      </c>
      <c r="T247" s="25"/>
      <c r="U247" s="25"/>
      <c r="V247" s="5"/>
    </row>
    <row r="248" spans="1:22" ht="15.6" x14ac:dyDescent="0.3">
      <c r="A248" s="24"/>
      <c r="B248" s="54" t="s">
        <v>172</v>
      </c>
      <c r="C248" s="94"/>
      <c r="D248" s="94"/>
      <c r="E248" s="94"/>
      <c r="F248" s="25"/>
      <c r="G248" s="95"/>
      <c r="H248" s="94"/>
      <c r="I248" s="94"/>
      <c r="J248" s="94"/>
      <c r="K248" s="94"/>
      <c r="L248" s="94"/>
      <c r="M248" s="94"/>
      <c r="N248" s="94"/>
      <c r="O248" s="94"/>
      <c r="P248" s="54">
        <v>4</v>
      </c>
      <c r="Q248" s="95">
        <f t="shared" si="3"/>
        <v>3.8461538461538464E-2</v>
      </c>
      <c r="R248" s="53">
        <v>765</v>
      </c>
      <c r="S248" s="135">
        <f t="shared" si="4"/>
        <v>4.6892239794041925E-2</v>
      </c>
      <c r="T248" s="25"/>
      <c r="U248" s="25"/>
      <c r="V248" s="5"/>
    </row>
    <row r="249" spans="1:22" ht="15.6" x14ac:dyDescent="0.3">
      <c r="A249" s="24"/>
      <c r="B249" s="54" t="s">
        <v>173</v>
      </c>
      <c r="C249" s="94"/>
      <c r="D249" s="94"/>
      <c r="E249" s="94"/>
      <c r="F249" s="25"/>
      <c r="G249" s="95"/>
      <c r="H249" s="94"/>
      <c r="I249" s="94"/>
      <c r="J249" s="94"/>
      <c r="K249" s="94"/>
      <c r="L249" s="94"/>
      <c r="M249" s="94"/>
      <c r="N249" s="94"/>
      <c r="O249" s="94"/>
      <c r="P249" s="54">
        <v>3</v>
      </c>
      <c r="Q249" s="95">
        <f t="shared" si="3"/>
        <v>2.8846153846153848E-2</v>
      </c>
      <c r="R249" s="53">
        <v>903</v>
      </c>
      <c r="S249" s="135">
        <f t="shared" si="4"/>
        <v>5.5351232070614195E-2</v>
      </c>
      <c r="T249" s="25"/>
      <c r="U249" s="25"/>
      <c r="V249" s="5"/>
    </row>
    <row r="250" spans="1:22" ht="15.6" x14ac:dyDescent="0.3">
      <c r="A250" s="24"/>
      <c r="B250" s="54" t="s">
        <v>174</v>
      </c>
      <c r="C250" s="94"/>
      <c r="D250" s="94"/>
      <c r="E250" s="94"/>
      <c r="F250" s="25"/>
      <c r="G250" s="95"/>
      <c r="H250" s="94"/>
      <c r="I250" s="94"/>
      <c r="J250" s="94"/>
      <c r="K250" s="94"/>
      <c r="L250" s="94"/>
      <c r="M250" s="94"/>
      <c r="N250" s="94"/>
      <c r="O250" s="94"/>
      <c r="P250" s="54">
        <v>8</v>
      </c>
      <c r="Q250" s="95">
        <f t="shared" si="3"/>
        <v>7.6923076923076927E-2</v>
      </c>
      <c r="R250" s="53">
        <v>1055</v>
      </c>
      <c r="S250" s="135">
        <f t="shared" si="4"/>
        <v>6.4668382983940176E-2</v>
      </c>
      <c r="T250" s="25"/>
      <c r="U250" s="25"/>
      <c r="V250" s="5"/>
    </row>
    <row r="251" spans="1:22" ht="15.6" x14ac:dyDescent="0.3">
      <c r="A251" s="24"/>
      <c r="B251" s="54" t="s">
        <v>175</v>
      </c>
      <c r="C251" s="94"/>
      <c r="D251" s="94"/>
      <c r="E251" s="94"/>
      <c r="F251" s="25"/>
      <c r="G251" s="95"/>
      <c r="H251" s="94"/>
      <c r="I251" s="94"/>
      <c r="J251" s="94"/>
      <c r="K251" s="94"/>
      <c r="L251" s="94"/>
      <c r="M251" s="94"/>
      <c r="N251" s="94"/>
      <c r="O251" s="94"/>
      <c r="P251" s="54">
        <v>15</v>
      </c>
      <c r="Q251" s="95">
        <f t="shared" si="3"/>
        <v>0.14423076923076922</v>
      </c>
      <c r="R251" s="53">
        <v>1726</v>
      </c>
      <c r="S251" s="135">
        <f t="shared" si="4"/>
        <v>0.10579870050263578</v>
      </c>
      <c r="T251" s="25"/>
      <c r="U251" s="25"/>
      <c r="V251" s="5"/>
    </row>
    <row r="252" spans="1:22" ht="15.6" x14ac:dyDescent="0.3">
      <c r="A252" s="24"/>
      <c r="B252" s="54"/>
      <c r="C252" s="94"/>
      <c r="D252" s="94"/>
      <c r="E252" s="94"/>
      <c r="F252" s="25"/>
      <c r="G252" s="95"/>
      <c r="H252" s="94"/>
      <c r="I252" s="94"/>
      <c r="J252" s="94"/>
      <c r="K252" s="94"/>
      <c r="L252" s="94"/>
      <c r="M252" s="94"/>
      <c r="N252" s="94"/>
      <c r="O252" s="94"/>
      <c r="P252" s="54"/>
      <c r="Q252" s="95"/>
      <c r="R252" s="53"/>
      <c r="S252" s="135"/>
      <c r="T252" s="25"/>
      <c r="U252" s="25"/>
      <c r="V252" s="5"/>
    </row>
    <row r="253" spans="1:22" ht="15.6" x14ac:dyDescent="0.3">
      <c r="A253" s="24"/>
      <c r="B253" s="25"/>
      <c r="C253" s="25"/>
      <c r="D253" s="25"/>
      <c r="E253" s="25"/>
      <c r="F253" s="25"/>
      <c r="G253" s="25"/>
      <c r="H253" s="96"/>
      <c r="I253" s="96"/>
      <c r="J253" s="96"/>
      <c r="K253" s="96"/>
      <c r="L253" s="96"/>
      <c r="M253" s="96"/>
      <c r="N253" s="96"/>
      <c r="O253" s="96"/>
      <c r="P253" s="34">
        <f>SUM(P244:P252)</f>
        <v>104</v>
      </c>
      <c r="Q253" s="135">
        <f>SUM(Q244:Q252)</f>
        <v>1</v>
      </c>
      <c r="R253" s="53">
        <f>SUM(R244:R252)</f>
        <v>16314</v>
      </c>
      <c r="S253" s="135">
        <f>SUM(S244:S252)</f>
        <v>0.99999999999999989</v>
      </c>
      <c r="T253" s="25"/>
      <c r="U253" s="25"/>
      <c r="V253" s="5"/>
    </row>
    <row r="254" spans="1:22" ht="15.6" x14ac:dyDescent="0.3">
      <c r="A254" s="24"/>
      <c r="B254" s="25"/>
      <c r="C254" s="25"/>
      <c r="D254" s="25"/>
      <c r="E254" s="25"/>
      <c r="F254" s="25"/>
      <c r="G254" s="25"/>
      <c r="H254" s="96"/>
      <c r="I254" s="96"/>
      <c r="J254" s="96"/>
      <c r="K254" s="96"/>
      <c r="L254" s="96"/>
      <c r="M254" s="96"/>
      <c r="N254" s="96"/>
      <c r="O254" s="96"/>
      <c r="P254" s="34"/>
      <c r="Q254" s="135"/>
      <c r="R254" s="53"/>
      <c r="S254" s="135"/>
      <c r="T254" s="25"/>
      <c r="U254" s="25"/>
      <c r="V254" s="5"/>
    </row>
    <row r="255" spans="1:22" ht="15.6" x14ac:dyDescent="0.3">
      <c r="A255" s="144"/>
      <c r="B255" s="14" t="s">
        <v>179</v>
      </c>
      <c r="C255" s="142"/>
      <c r="D255" s="142"/>
      <c r="E255" s="142"/>
      <c r="F255" s="142"/>
      <c r="G255" s="142"/>
      <c r="H255" s="149"/>
      <c r="I255" s="149"/>
      <c r="J255" s="149"/>
      <c r="K255" s="149"/>
      <c r="L255" s="149"/>
      <c r="M255" s="149"/>
      <c r="N255" s="149"/>
      <c r="O255" s="149"/>
      <c r="P255" s="84" t="s">
        <v>108</v>
      </c>
      <c r="Q255" s="17" t="s">
        <v>109</v>
      </c>
      <c r="R255" s="84" t="s">
        <v>117</v>
      </c>
      <c r="S255" s="17" t="s">
        <v>109</v>
      </c>
      <c r="T255" s="142"/>
      <c r="U255" s="143"/>
      <c r="V255" s="5"/>
    </row>
    <row r="256" spans="1:22" ht="15.6" x14ac:dyDescent="0.3">
      <c r="A256" s="24"/>
      <c r="B256" s="54" t="s">
        <v>94</v>
      </c>
      <c r="C256" s="25"/>
      <c r="D256" s="25"/>
      <c r="E256" s="25"/>
      <c r="F256" s="25"/>
      <c r="G256" s="25"/>
      <c r="H256" s="96"/>
      <c r="I256" s="96"/>
      <c r="J256" s="96"/>
      <c r="K256" s="96"/>
      <c r="L256" s="96"/>
      <c r="M256" s="96"/>
      <c r="N256" s="96"/>
      <c r="O256" s="96"/>
      <c r="P256" s="54">
        <v>0</v>
      </c>
      <c r="Q256" s="95">
        <f t="shared" ref="Q256:Q263" si="5">P256/$P$265</f>
        <v>0</v>
      </c>
      <c r="R256" s="53">
        <v>0</v>
      </c>
      <c r="S256" s="95">
        <f t="shared" ref="S256:S263" si="6">R256/$R$265</f>
        <v>0</v>
      </c>
      <c r="T256" s="25"/>
      <c r="U256" s="25"/>
      <c r="V256" s="5"/>
    </row>
    <row r="257" spans="1:22" ht="15.6" x14ac:dyDescent="0.3">
      <c r="A257" s="24"/>
      <c r="B257" s="54" t="s">
        <v>95</v>
      </c>
      <c r="C257" s="25"/>
      <c r="D257" s="25"/>
      <c r="E257" s="25"/>
      <c r="F257" s="25"/>
      <c r="G257" s="25"/>
      <c r="H257" s="96"/>
      <c r="I257" s="96"/>
      <c r="J257" s="96"/>
      <c r="K257" s="96"/>
      <c r="L257" s="96"/>
      <c r="M257" s="96"/>
      <c r="N257" s="96"/>
      <c r="O257" s="96"/>
      <c r="P257" s="54">
        <v>0</v>
      </c>
      <c r="Q257" s="95">
        <f t="shared" si="5"/>
        <v>0</v>
      </c>
      <c r="R257" s="53">
        <v>0</v>
      </c>
      <c r="S257" s="95">
        <f t="shared" si="6"/>
        <v>0</v>
      </c>
      <c r="T257" s="25"/>
      <c r="U257" s="25"/>
      <c r="V257" s="5"/>
    </row>
    <row r="258" spans="1:22" ht="15.6" x14ac:dyDescent="0.3">
      <c r="A258" s="24"/>
      <c r="B258" s="54" t="s">
        <v>96</v>
      </c>
      <c r="C258" s="25"/>
      <c r="D258" s="25"/>
      <c r="E258" s="25"/>
      <c r="F258" s="25"/>
      <c r="G258" s="25"/>
      <c r="H258" s="96"/>
      <c r="I258" s="96"/>
      <c r="J258" s="96"/>
      <c r="K258" s="96"/>
      <c r="L258" s="96"/>
      <c r="M258" s="96"/>
      <c r="N258" s="96"/>
      <c r="O258" s="96"/>
      <c r="P258" s="54">
        <v>0</v>
      </c>
      <c r="Q258" s="95">
        <f t="shared" si="5"/>
        <v>0</v>
      </c>
      <c r="R258" s="53">
        <v>0</v>
      </c>
      <c r="S258" s="95">
        <f t="shared" si="6"/>
        <v>0</v>
      </c>
      <c r="T258" s="25"/>
      <c r="U258" s="25"/>
      <c r="V258" s="5"/>
    </row>
    <row r="259" spans="1:22" ht="15.6" x14ac:dyDescent="0.3">
      <c r="A259" s="24"/>
      <c r="B259" s="54" t="s">
        <v>171</v>
      </c>
      <c r="C259" s="25"/>
      <c r="D259" s="25"/>
      <c r="E259" s="25"/>
      <c r="F259" s="25"/>
      <c r="G259" s="25"/>
      <c r="H259" s="96"/>
      <c r="I259" s="96"/>
      <c r="J259" s="96"/>
      <c r="K259" s="96"/>
      <c r="L259" s="96"/>
      <c r="M259" s="96"/>
      <c r="N259" s="96"/>
      <c r="O259" s="96"/>
      <c r="P259" s="54">
        <v>0</v>
      </c>
      <c r="Q259" s="95">
        <f t="shared" si="5"/>
        <v>0</v>
      </c>
      <c r="R259" s="53">
        <v>0</v>
      </c>
      <c r="S259" s="95">
        <f t="shared" si="6"/>
        <v>0</v>
      </c>
      <c r="T259" s="25"/>
      <c r="U259" s="25"/>
      <c r="V259" s="5"/>
    </row>
    <row r="260" spans="1:22" ht="15.6" x14ac:dyDescent="0.3">
      <c r="A260" s="24"/>
      <c r="B260" s="54" t="s">
        <v>172</v>
      </c>
      <c r="C260" s="25"/>
      <c r="D260" s="25"/>
      <c r="E260" s="25"/>
      <c r="F260" s="25"/>
      <c r="G260" s="25"/>
      <c r="H260" s="96"/>
      <c r="I260" s="96"/>
      <c r="J260" s="96"/>
      <c r="K260" s="96"/>
      <c r="L260" s="96"/>
      <c r="M260" s="96"/>
      <c r="N260" s="96"/>
      <c r="O260" s="96"/>
      <c r="P260" s="54">
        <v>0</v>
      </c>
      <c r="Q260" s="95">
        <f t="shared" si="5"/>
        <v>0</v>
      </c>
      <c r="R260" s="53">
        <v>0</v>
      </c>
      <c r="S260" s="95">
        <f t="shared" si="6"/>
        <v>0</v>
      </c>
      <c r="T260" s="25"/>
      <c r="U260" s="25"/>
      <c r="V260" s="5"/>
    </row>
    <row r="261" spans="1:22" ht="15.6" x14ac:dyDescent="0.3">
      <c r="A261" s="24"/>
      <c r="B261" s="54" t="s">
        <v>173</v>
      </c>
      <c r="C261" s="25"/>
      <c r="D261" s="25"/>
      <c r="E261" s="25"/>
      <c r="F261" s="25"/>
      <c r="G261" s="25"/>
      <c r="H261" s="96"/>
      <c r="I261" s="96"/>
      <c r="J261" s="96"/>
      <c r="K261" s="96"/>
      <c r="L261" s="96"/>
      <c r="M261" s="96"/>
      <c r="N261" s="96"/>
      <c r="O261" s="96"/>
      <c r="P261" s="54">
        <v>0</v>
      </c>
      <c r="Q261" s="95">
        <f t="shared" si="5"/>
        <v>0</v>
      </c>
      <c r="R261" s="53">
        <v>0</v>
      </c>
      <c r="S261" s="95">
        <f t="shared" si="6"/>
        <v>0</v>
      </c>
      <c r="T261" s="25"/>
      <c r="U261" s="25"/>
      <c r="V261" s="5"/>
    </row>
    <row r="262" spans="1:22" ht="15.6" x14ac:dyDescent="0.3">
      <c r="A262" s="24"/>
      <c r="B262" s="54" t="s">
        <v>174</v>
      </c>
      <c r="C262" s="25"/>
      <c r="D262" s="25"/>
      <c r="E262" s="25"/>
      <c r="F262" s="25"/>
      <c r="G262" s="25"/>
      <c r="H262" s="96"/>
      <c r="I262" s="96"/>
      <c r="J262" s="96"/>
      <c r="K262" s="96"/>
      <c r="L262" s="96"/>
      <c r="M262" s="96"/>
      <c r="N262" s="96"/>
      <c r="O262" s="96"/>
      <c r="P262" s="54">
        <v>0</v>
      </c>
      <c r="Q262" s="95">
        <f t="shared" si="5"/>
        <v>0</v>
      </c>
      <c r="R262" s="53">
        <v>0</v>
      </c>
      <c r="S262" s="95">
        <f t="shared" si="6"/>
        <v>0</v>
      </c>
      <c r="T262" s="25"/>
      <c r="U262" s="25"/>
      <c r="V262" s="5"/>
    </row>
    <row r="263" spans="1:22" ht="15.6" x14ac:dyDescent="0.3">
      <c r="A263" s="24"/>
      <c r="B263" s="54" t="s">
        <v>175</v>
      </c>
      <c r="C263" s="25"/>
      <c r="D263" s="25"/>
      <c r="E263" s="25"/>
      <c r="F263" s="25"/>
      <c r="G263" s="25"/>
      <c r="H263" s="96"/>
      <c r="I263" s="96"/>
      <c r="J263" s="96"/>
      <c r="K263" s="96"/>
      <c r="L263" s="96"/>
      <c r="M263" s="96"/>
      <c r="N263" s="96"/>
      <c r="O263" s="96"/>
      <c r="P263" s="54">
        <v>1</v>
      </c>
      <c r="Q263" s="95">
        <f t="shared" si="5"/>
        <v>1</v>
      </c>
      <c r="R263" s="53">
        <v>52</v>
      </c>
      <c r="S263" s="95">
        <f t="shared" si="6"/>
        <v>1</v>
      </c>
      <c r="T263" s="25"/>
      <c r="U263" s="25"/>
      <c r="V263" s="5"/>
    </row>
    <row r="264" spans="1:22" ht="15.6" x14ac:dyDescent="0.3">
      <c r="A264" s="24"/>
      <c r="B264" s="54"/>
      <c r="C264" s="25"/>
      <c r="D264" s="25"/>
      <c r="E264" s="25"/>
      <c r="F264" s="25"/>
      <c r="G264" s="25"/>
      <c r="H264" s="96"/>
      <c r="I264" s="96"/>
      <c r="J264" s="96"/>
      <c r="K264" s="96"/>
      <c r="L264" s="96"/>
      <c r="M264" s="96"/>
      <c r="N264" s="96"/>
      <c r="O264" s="96"/>
      <c r="P264" s="54"/>
      <c r="Q264" s="95"/>
      <c r="R264" s="53"/>
      <c r="S264" s="135"/>
      <c r="T264" s="25"/>
      <c r="U264" s="25"/>
      <c r="V264" s="5"/>
    </row>
    <row r="265" spans="1:22" ht="15.6" x14ac:dyDescent="0.3">
      <c r="A265" s="24"/>
      <c r="B265" s="25" t="s">
        <v>123</v>
      </c>
      <c r="C265" s="25"/>
      <c r="D265" s="25"/>
      <c r="E265" s="25"/>
      <c r="F265" s="25"/>
      <c r="G265" s="25"/>
      <c r="H265" s="96"/>
      <c r="I265" s="96"/>
      <c r="J265" s="96"/>
      <c r="K265" s="96"/>
      <c r="L265" s="96"/>
      <c r="M265" s="96"/>
      <c r="N265" s="96"/>
      <c r="O265" s="96"/>
      <c r="P265" s="34">
        <f>SUM(P256:P263)</f>
        <v>1</v>
      </c>
      <c r="Q265" s="95">
        <f>SUM(Q256:Q263)</f>
        <v>1</v>
      </c>
      <c r="R265" s="53">
        <f>SUM(R256:R263)</f>
        <v>52</v>
      </c>
      <c r="S265" s="135">
        <f>SUM(S256:S263)</f>
        <v>1</v>
      </c>
      <c r="T265" s="25"/>
      <c r="U265" s="25"/>
      <c r="V265" s="5"/>
    </row>
    <row r="266" spans="1:22" ht="15.6" x14ac:dyDescent="0.3">
      <c r="A266" s="24"/>
      <c r="B266" s="25"/>
      <c r="C266" s="25"/>
      <c r="D266" s="25"/>
      <c r="E266" s="25"/>
      <c r="F266" s="25"/>
      <c r="G266" s="25"/>
      <c r="H266" s="96"/>
      <c r="I266" s="96"/>
      <c r="J266" s="96"/>
      <c r="K266" s="96"/>
      <c r="L266" s="96"/>
      <c r="M266" s="96"/>
      <c r="N266" s="96"/>
      <c r="O266" s="96"/>
      <c r="P266" s="34"/>
      <c r="Q266" s="135"/>
      <c r="R266" s="53"/>
      <c r="S266" s="135"/>
      <c r="T266" s="25"/>
      <c r="U266" s="25"/>
      <c r="V266" s="5"/>
    </row>
    <row r="267" spans="1:22" ht="15.6" x14ac:dyDescent="0.3">
      <c r="A267" s="24"/>
      <c r="B267" s="145" t="s">
        <v>180</v>
      </c>
      <c r="C267" s="25"/>
      <c r="D267" s="25"/>
      <c r="E267" s="25"/>
      <c r="F267" s="25"/>
      <c r="G267" s="25"/>
      <c r="H267" s="96"/>
      <c r="I267" s="96"/>
      <c r="J267" s="96"/>
      <c r="K267" s="96"/>
      <c r="L267" s="96"/>
      <c r="M267" s="96"/>
      <c r="N267" s="96"/>
      <c r="O267" s="96"/>
      <c r="P267" s="165">
        <f>+P241+P253+P265</f>
        <v>2813</v>
      </c>
      <c r="Q267" s="147"/>
      <c r="R267" s="148">
        <f>+R265+R253+R241</f>
        <v>336826</v>
      </c>
      <c r="S267" s="147"/>
      <c r="T267" s="25"/>
      <c r="U267" s="25"/>
      <c r="V267" s="5"/>
    </row>
    <row r="268" spans="1:22" ht="15.6" x14ac:dyDescent="0.3">
      <c r="A268" s="24"/>
      <c r="B268" s="25"/>
      <c r="C268" s="25"/>
      <c r="D268" s="25"/>
      <c r="E268" s="25"/>
      <c r="F268" s="25"/>
      <c r="G268" s="25"/>
      <c r="H268" s="96"/>
      <c r="I268" s="96"/>
      <c r="J268" s="96"/>
      <c r="K268" s="96"/>
      <c r="L268" s="96"/>
      <c r="M268" s="96"/>
      <c r="N268" s="96"/>
      <c r="O268" s="96"/>
      <c r="P268" s="96"/>
      <c r="Q268" s="96"/>
      <c r="R268" s="53"/>
      <c r="S268" s="96"/>
      <c r="T268" s="25"/>
      <c r="U268" s="25"/>
      <c r="V268" s="5"/>
    </row>
    <row r="269" spans="1:22" ht="15.6" x14ac:dyDescent="0.3">
      <c r="A269" s="6"/>
      <c r="B269" s="8"/>
      <c r="C269" s="8"/>
      <c r="D269" s="8"/>
      <c r="E269" s="8"/>
      <c r="F269" s="8"/>
      <c r="G269" s="8"/>
      <c r="H269" s="97"/>
      <c r="I269" s="97"/>
      <c r="J269" s="97"/>
      <c r="K269" s="97"/>
      <c r="L269" s="97"/>
      <c r="M269" s="97"/>
      <c r="N269" s="97"/>
      <c r="O269" s="97"/>
      <c r="P269" s="97"/>
      <c r="Q269" s="97"/>
      <c r="R269" s="98"/>
      <c r="S269" s="97"/>
      <c r="T269" s="8"/>
      <c r="U269" s="8"/>
      <c r="V269" s="5"/>
    </row>
    <row r="270" spans="1:22" ht="15.6" x14ac:dyDescent="0.3">
      <c r="A270" s="164"/>
      <c r="B270" s="14" t="s">
        <v>97</v>
      </c>
      <c r="C270" s="15"/>
      <c r="D270" s="15"/>
      <c r="E270" s="15"/>
      <c r="F270" s="17" t="s">
        <v>103</v>
      </c>
      <c r="G270" s="15"/>
      <c r="H270" s="14" t="s">
        <v>105</v>
      </c>
      <c r="I270" s="159"/>
      <c r="J270" s="159"/>
      <c r="K270" s="159"/>
      <c r="L270" s="159"/>
      <c r="M270" s="159"/>
      <c r="N270" s="159"/>
      <c r="O270" s="159"/>
      <c r="P270" s="159"/>
      <c r="Q270" s="159"/>
      <c r="R270" s="159"/>
      <c r="S270" s="159"/>
      <c r="T270" s="159"/>
      <c r="U270" s="159"/>
      <c r="V270" s="5"/>
    </row>
    <row r="271" spans="1:22" ht="15.6" x14ac:dyDescent="0.3">
      <c r="A271" s="164"/>
      <c r="B271" s="159"/>
      <c r="C271" s="8"/>
      <c r="D271" s="8"/>
      <c r="E271" s="8"/>
      <c r="F271" s="8"/>
      <c r="G271" s="8"/>
      <c r="H271" s="8"/>
      <c r="I271" s="159"/>
      <c r="J271" s="159"/>
      <c r="K271" s="159"/>
      <c r="L271" s="159"/>
      <c r="M271" s="159"/>
      <c r="N271" s="159"/>
      <c r="O271" s="159"/>
      <c r="P271" s="159"/>
      <c r="Q271" s="159"/>
      <c r="R271" s="159"/>
      <c r="S271" s="159"/>
      <c r="T271" s="159"/>
      <c r="U271" s="159"/>
      <c r="V271" s="5"/>
    </row>
    <row r="272" spans="1:22" ht="15.6" x14ac:dyDescent="0.3">
      <c r="A272" s="164"/>
      <c r="B272" s="13" t="s">
        <v>98</v>
      </c>
      <c r="C272" s="13"/>
      <c r="D272" s="13"/>
      <c r="E272" s="13"/>
      <c r="F272" s="133" t="s">
        <v>159</v>
      </c>
      <c r="G272" s="13"/>
      <c r="H272" s="13" t="s">
        <v>167</v>
      </c>
      <c r="I272" s="159"/>
      <c r="J272" s="159"/>
      <c r="K272" s="159"/>
      <c r="L272" s="159"/>
      <c r="M272" s="159"/>
      <c r="N272" s="159"/>
      <c r="O272" s="159"/>
      <c r="P272" s="159"/>
      <c r="Q272" s="159"/>
      <c r="R272" s="159"/>
      <c r="S272" s="159"/>
      <c r="T272" s="159"/>
      <c r="U272" s="159"/>
      <c r="V272" s="5"/>
    </row>
    <row r="273" spans="1:22" ht="15.6" x14ac:dyDescent="0.3">
      <c r="A273" s="164"/>
      <c r="B273" s="13" t="s">
        <v>273</v>
      </c>
      <c r="C273" s="13"/>
      <c r="D273" s="13"/>
      <c r="E273" s="13"/>
      <c r="F273" s="133" t="s">
        <v>274</v>
      </c>
      <c r="G273" s="13"/>
      <c r="H273" s="13" t="s">
        <v>275</v>
      </c>
      <c r="I273" s="159"/>
      <c r="J273" s="159"/>
      <c r="K273" s="159"/>
      <c r="L273" s="159"/>
      <c r="M273" s="159"/>
      <c r="N273" s="159"/>
      <c r="O273" s="159"/>
      <c r="P273" s="159"/>
      <c r="Q273" s="159"/>
      <c r="R273" s="159"/>
      <c r="S273" s="159"/>
      <c r="T273" s="159"/>
      <c r="U273" s="159"/>
      <c r="V273" s="5"/>
    </row>
    <row r="274" spans="1:22" ht="15.6" x14ac:dyDescent="0.3">
      <c r="A274" s="164"/>
      <c r="B274" s="13" t="s">
        <v>99</v>
      </c>
      <c r="C274" s="13"/>
      <c r="D274" s="13"/>
      <c r="E274" s="13"/>
      <c r="F274" s="133" t="s">
        <v>158</v>
      </c>
      <c r="G274" s="13"/>
      <c r="H274" s="13" t="s">
        <v>168</v>
      </c>
      <c r="I274" s="159"/>
      <c r="J274" s="159"/>
      <c r="K274" s="159"/>
      <c r="L274" s="159"/>
      <c r="M274" s="159"/>
      <c r="N274" s="159"/>
      <c r="O274" s="159"/>
      <c r="P274" s="159"/>
      <c r="Q274" s="159"/>
      <c r="R274" s="159"/>
      <c r="S274" s="159"/>
      <c r="T274" s="159"/>
      <c r="U274" s="159"/>
      <c r="V274" s="5"/>
    </row>
    <row r="275" spans="1:22" ht="15.6" x14ac:dyDescent="0.3">
      <c r="A275" s="164"/>
      <c r="B275" s="13"/>
      <c r="C275" s="13"/>
      <c r="D275" s="13"/>
      <c r="E275" s="13"/>
      <c r="F275" s="13"/>
      <c r="G275" s="100"/>
      <c r="H275" s="159"/>
      <c r="I275" s="159"/>
      <c r="J275" s="159"/>
      <c r="K275" s="159"/>
      <c r="L275" s="159"/>
      <c r="M275" s="159"/>
      <c r="N275" s="159"/>
      <c r="O275" s="159"/>
      <c r="P275" s="159"/>
      <c r="Q275" s="159"/>
      <c r="R275" s="159"/>
      <c r="S275" s="159"/>
      <c r="T275" s="159"/>
      <c r="U275" s="159"/>
      <c r="V275" s="5"/>
    </row>
    <row r="276" spans="1:22" ht="15.6" x14ac:dyDescent="0.3">
      <c r="A276" s="164"/>
      <c r="B276" s="13"/>
      <c r="C276" s="13"/>
      <c r="D276" s="13"/>
      <c r="E276" s="13"/>
      <c r="F276" s="13"/>
      <c r="G276" s="100"/>
      <c r="H276" s="159"/>
      <c r="I276" s="159"/>
      <c r="J276" s="159"/>
      <c r="K276" s="159"/>
      <c r="L276" s="159"/>
      <c r="M276" s="159"/>
      <c r="N276" s="159"/>
      <c r="O276" s="159"/>
      <c r="P276" s="159"/>
      <c r="Q276" s="159"/>
      <c r="R276" s="159"/>
      <c r="S276" s="159"/>
      <c r="T276" s="159"/>
      <c r="U276" s="159"/>
      <c r="V276" s="5"/>
    </row>
    <row r="277" spans="1:22" ht="18" thickBot="1" x14ac:dyDescent="0.35">
      <c r="A277" s="164"/>
      <c r="B277" s="49" t="str">
        <f>B194</f>
        <v>PM9 INVESTOR REPORT QUARTER ENDING JULY 2009</v>
      </c>
      <c r="C277" s="13"/>
      <c r="D277" s="13"/>
      <c r="E277" s="13"/>
      <c r="F277" s="13"/>
      <c r="G277" s="100"/>
      <c r="H277" s="159"/>
      <c r="I277" s="159"/>
      <c r="J277" s="159"/>
      <c r="K277" s="159"/>
      <c r="L277" s="159"/>
      <c r="M277" s="159"/>
      <c r="N277" s="159"/>
      <c r="O277" s="159"/>
      <c r="P277" s="159"/>
      <c r="Q277" s="159"/>
      <c r="R277" s="159"/>
      <c r="S277" s="159"/>
      <c r="T277" s="159"/>
      <c r="U277" s="159"/>
      <c r="V277" s="5"/>
    </row>
    <row r="278" spans="1:22" x14ac:dyDescent="0.25">
      <c r="A278" s="101"/>
      <c r="B278" s="101"/>
      <c r="C278" s="101"/>
      <c r="D278" s="101"/>
      <c r="E278" s="101"/>
      <c r="F278" s="101"/>
      <c r="G278" s="101"/>
      <c r="H278" s="101"/>
      <c r="I278" s="101"/>
      <c r="J278" s="101"/>
      <c r="K278" s="101"/>
      <c r="L278" s="101"/>
      <c r="M278" s="101"/>
      <c r="N278" s="101"/>
      <c r="O278" s="101"/>
      <c r="P278" s="101"/>
      <c r="Q278" s="101"/>
      <c r="R278" s="101"/>
      <c r="S278" s="101"/>
      <c r="T278" s="101"/>
      <c r="U278" s="101"/>
    </row>
  </sheetData>
  <phoneticPr fontId="0" type="noConversion"/>
  <hyperlinks>
    <hyperlink ref="J9" r:id="rId1" xr:uid="{00000000-0004-0000-0F00-000000000000}"/>
    <hyperlink ref="N229" r:id="rId2" xr:uid="{00000000-0004-0000-0F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4" max="14" man="1"/>
    <brk id="194" max="14" man="1"/>
  </row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89CB31"/>
  </sheetPr>
  <dimension ref="A1:W279"/>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t="s">
        <v>263</v>
      </c>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0.71330000000000005</v>
      </c>
      <c r="R16" s="17" t="s">
        <v>149</v>
      </c>
      <c r="S16" s="140">
        <v>0.28670000000000001</v>
      </c>
      <c r="T16" s="16"/>
      <c r="U16" s="15"/>
      <c r="V16" s="5"/>
    </row>
    <row r="17" spans="1:22" ht="15.6" x14ac:dyDescent="0.3">
      <c r="A17" s="6"/>
      <c r="B17" s="14" t="s">
        <v>4</v>
      </c>
      <c r="C17" s="15"/>
      <c r="D17" s="15"/>
      <c r="E17" s="15"/>
      <c r="F17" s="15"/>
      <c r="G17" s="15"/>
      <c r="H17" s="15"/>
      <c r="I17" s="15"/>
      <c r="J17" s="15"/>
      <c r="K17" s="15"/>
      <c r="L17" s="15"/>
      <c r="M17" s="15"/>
      <c r="N17" s="15"/>
      <c r="O17" s="15"/>
      <c r="P17" s="15"/>
      <c r="Q17" s="169"/>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40140</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144753.87479999999</v>
      </c>
      <c r="E30" s="32"/>
      <c r="F30" s="125">
        <f>F29*F36</f>
        <v>148519.149</v>
      </c>
      <c r="G30" s="31"/>
      <c r="H30" s="150">
        <f>H29*H36</f>
        <v>25101.791999999998</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143219.98759999999</v>
      </c>
      <c r="E31" s="36"/>
      <c r="F31" s="126">
        <f>F35*F29</f>
        <v>146945.36299999998</v>
      </c>
      <c r="G31" s="35"/>
      <c r="H31" s="155">
        <f>H35*H29</f>
        <v>24835.794000000002</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144753.87479999999</v>
      </c>
      <c r="E33" s="32"/>
      <c r="F33" s="31">
        <f>F32*F36</f>
        <v>102289.9491</v>
      </c>
      <c r="G33" s="31"/>
      <c r="H33" s="31">
        <f>H32*H36</f>
        <v>14182.512479999999</v>
      </c>
      <c r="I33" s="31"/>
      <c r="J33" s="31">
        <f>J32*J36</f>
        <v>7000</v>
      </c>
      <c r="K33" s="31"/>
      <c r="L33" s="31">
        <f>L32*L36</f>
        <v>20300</v>
      </c>
      <c r="M33" s="31"/>
      <c r="N33" s="31">
        <f>N32*N36</f>
        <v>3000</v>
      </c>
      <c r="O33" s="31"/>
      <c r="P33" s="31">
        <f>P32*P36</f>
        <v>45300</v>
      </c>
      <c r="Q33" s="31"/>
      <c r="R33" s="31"/>
      <c r="S33" s="161"/>
      <c r="T33" s="31">
        <f>SUM(C33:P33)</f>
        <v>336826.33637999999</v>
      </c>
      <c r="U33" s="34"/>
      <c r="V33" s="5"/>
    </row>
    <row r="34" spans="1:22" ht="15.6" x14ac:dyDescent="0.3">
      <c r="A34" s="28"/>
      <c r="B34" s="29" t="s">
        <v>291</v>
      </c>
      <c r="C34" s="36"/>
      <c r="D34" s="35">
        <f>D35*D32</f>
        <v>143219.98759999999</v>
      </c>
      <c r="E34" s="36"/>
      <c r="F34" s="35">
        <f>F35*F32</f>
        <v>101206.03169999999</v>
      </c>
      <c r="G34" s="35"/>
      <c r="H34" s="35">
        <f>H35*H32</f>
        <v>14032.223610000001</v>
      </c>
      <c r="I34" s="35"/>
      <c r="J34" s="35">
        <f>J35*J32</f>
        <v>7000</v>
      </c>
      <c r="K34" s="35"/>
      <c r="L34" s="35">
        <f>L35*L32</f>
        <v>20300</v>
      </c>
      <c r="M34" s="35"/>
      <c r="N34" s="35">
        <f>N35*N32</f>
        <v>3000</v>
      </c>
      <c r="O34" s="35"/>
      <c r="P34" s="35">
        <f>P35*P32</f>
        <v>45300</v>
      </c>
      <c r="Q34" s="35"/>
      <c r="R34" s="35"/>
      <c r="S34" s="37"/>
      <c r="T34" s="35">
        <f>SUM(C34:P34)</f>
        <v>334058.24290999997</v>
      </c>
      <c r="U34" s="34"/>
      <c r="V34" s="5"/>
    </row>
    <row r="35" spans="1:22" ht="15.6" x14ac:dyDescent="0.3">
      <c r="A35" s="28"/>
      <c r="B35" s="123" t="s">
        <v>139</v>
      </c>
      <c r="C35" s="127"/>
      <c r="D35" s="167">
        <v>0.41393059999999998</v>
      </c>
      <c r="E35" s="168"/>
      <c r="F35" s="167">
        <v>0.41393059999999998</v>
      </c>
      <c r="G35" s="167"/>
      <c r="H35" s="167">
        <v>0.41392990000000002</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67">
        <v>0.41836380000000001</v>
      </c>
      <c r="E36" s="168"/>
      <c r="F36" s="167">
        <v>0.41836380000000001</v>
      </c>
      <c r="G36" s="167"/>
      <c r="H36" s="167">
        <v>0.41836319999999999</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9.3749999999999997E-3</v>
      </c>
      <c r="E38" s="25"/>
      <c r="F38" s="38">
        <v>1.0529999999999999E-2</v>
      </c>
      <c r="G38" s="39"/>
      <c r="H38" s="38">
        <v>6.1999999999999998E-3</v>
      </c>
      <c r="I38" s="39"/>
      <c r="J38" s="38">
        <v>1.0475E-2</v>
      </c>
      <c r="K38" s="39"/>
      <c r="L38" s="38">
        <v>1.163E-2</v>
      </c>
      <c r="M38" s="39"/>
      <c r="N38" s="38">
        <v>1.2775E-2</v>
      </c>
      <c r="O38" s="39"/>
      <c r="P38" s="38">
        <v>1.393E-2</v>
      </c>
      <c r="Q38" s="39"/>
      <c r="R38" s="38"/>
      <c r="S38" s="160"/>
      <c r="T38" s="39"/>
      <c r="U38" s="25"/>
      <c r="V38" s="5"/>
    </row>
    <row r="39" spans="1:22" ht="15.6" x14ac:dyDescent="0.3">
      <c r="A39" s="24"/>
      <c r="B39" s="25" t="s">
        <v>14</v>
      </c>
      <c r="C39" s="25"/>
      <c r="D39" s="38">
        <v>1.53688E-2</v>
      </c>
      <c r="E39" s="25"/>
      <c r="F39" s="38">
        <v>1.461E-2</v>
      </c>
      <c r="G39" s="39"/>
      <c r="H39" s="38">
        <v>1.06313E-2</v>
      </c>
      <c r="I39" s="39"/>
      <c r="J39" s="38">
        <v>1.6468799999999999E-2</v>
      </c>
      <c r="K39" s="39"/>
      <c r="L39" s="38">
        <v>1.5709999999999998E-2</v>
      </c>
      <c r="M39" s="39"/>
      <c r="N39" s="38">
        <v>1.8768799999999999E-2</v>
      </c>
      <c r="O39" s="39"/>
      <c r="P39" s="38">
        <v>1.8010000000000002E-2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9.3749999999999997E-3</v>
      </c>
      <c r="E41" s="25"/>
      <c r="F41" s="38">
        <v>9.4750000000000008E-3</v>
      </c>
      <c r="G41" s="39"/>
      <c r="H41" s="38">
        <v>9.6050000000000007E-3</v>
      </c>
      <c r="I41" s="39"/>
      <c r="J41" s="38">
        <f>+J38</f>
        <v>1.0475E-2</v>
      </c>
      <c r="K41" s="39"/>
      <c r="L41" s="38">
        <v>1.077E-2</v>
      </c>
      <c r="M41" s="39"/>
      <c r="N41" s="38">
        <f>+N38</f>
        <v>1.2775E-2</v>
      </c>
      <c r="O41" s="39"/>
      <c r="P41" s="38">
        <v>1.3214999999999999E-2</v>
      </c>
      <c r="Q41" s="39"/>
      <c r="R41" s="38"/>
      <c r="S41" s="160"/>
      <c r="T41" s="39">
        <f>SUMPRODUCT(D41:P41,D33:P33)/T33</f>
        <v>1.0068714972800664E-2</v>
      </c>
      <c r="U41" s="25"/>
      <c r="V41" s="5"/>
    </row>
    <row r="42" spans="1:22" ht="15.6" x14ac:dyDescent="0.3">
      <c r="A42" s="24"/>
      <c r="B42" s="25" t="s">
        <v>294</v>
      </c>
      <c r="C42" s="25"/>
      <c r="D42" s="38">
        <f>+D39</f>
        <v>1.53688E-2</v>
      </c>
      <c r="E42" s="25"/>
      <c r="F42" s="38">
        <v>1.54688E-2</v>
      </c>
      <c r="G42" s="39"/>
      <c r="H42" s="38">
        <v>1.5598799999999999E-2</v>
      </c>
      <c r="I42" s="39"/>
      <c r="J42" s="38">
        <f>+J39</f>
        <v>1.6468799999999999E-2</v>
      </c>
      <c r="K42" s="39"/>
      <c r="L42" s="38">
        <v>1.6763799999999999E-2</v>
      </c>
      <c r="M42" s="39"/>
      <c r="N42" s="38">
        <f>+N39</f>
        <v>1.8768799999999999E-2</v>
      </c>
      <c r="O42" s="39"/>
      <c r="P42" s="38">
        <v>1.9208800000000002E-2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0.29250372961146126</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40133</v>
      </c>
      <c r="U53" s="25"/>
      <c r="V53" s="5"/>
    </row>
    <row r="54" spans="1:23" ht="15.6" x14ac:dyDescent="0.3">
      <c r="A54" s="24"/>
      <c r="B54" s="25" t="s">
        <v>130</v>
      </c>
      <c r="C54" s="25"/>
      <c r="D54" s="25"/>
      <c r="E54" s="25"/>
      <c r="F54" s="25"/>
      <c r="G54" s="25"/>
      <c r="H54" s="58"/>
      <c r="I54" s="58"/>
      <c r="J54" s="58"/>
      <c r="K54" s="58"/>
      <c r="L54" s="58"/>
      <c r="M54" s="58"/>
      <c r="N54" s="58"/>
      <c r="O54" s="58"/>
      <c r="P54" s="25">
        <f>+T54-R54+1</f>
        <v>94</v>
      </c>
      <c r="Q54" s="25"/>
      <c r="R54" s="45">
        <v>39948</v>
      </c>
      <c r="S54" s="46"/>
      <c r="T54" s="45">
        <v>40041</v>
      </c>
      <c r="U54" s="25"/>
      <c r="V54" s="5"/>
    </row>
    <row r="55" spans="1:23" ht="15.6" x14ac:dyDescent="0.3">
      <c r="A55" s="24"/>
      <c r="B55" s="25" t="s">
        <v>131</v>
      </c>
      <c r="C55" s="25"/>
      <c r="D55" s="25"/>
      <c r="E55" s="25"/>
      <c r="F55" s="25"/>
      <c r="G55" s="25"/>
      <c r="H55" s="25"/>
      <c r="I55" s="25"/>
      <c r="J55" s="25"/>
      <c r="K55" s="25"/>
      <c r="L55" s="25"/>
      <c r="M55" s="25"/>
      <c r="N55" s="25"/>
      <c r="O55" s="25"/>
      <c r="P55" s="25">
        <f>+T55-R55+1</f>
        <v>91</v>
      </c>
      <c r="Q55" s="25"/>
      <c r="R55" s="45">
        <v>40042</v>
      </c>
      <c r="S55" s="46"/>
      <c r="T55" s="45">
        <v>40132</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40119</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296</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336826</v>
      </c>
      <c r="M66" s="34"/>
      <c r="N66" s="34">
        <f>2768+587+311</f>
        <v>3666</v>
      </c>
      <c r="O66" s="34"/>
      <c r="P66" s="34">
        <f>587+311</f>
        <v>898</v>
      </c>
      <c r="Q66" s="34"/>
      <c r="R66" s="34">
        <v>0</v>
      </c>
      <c r="S66" s="34"/>
      <c r="T66" s="53">
        <f>+L66-N66+P66-R66</f>
        <v>334058</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336826</v>
      </c>
      <c r="M69" s="34"/>
      <c r="N69" s="34">
        <f>SUM(N66:N68)</f>
        <v>3666</v>
      </c>
      <c r="O69" s="34"/>
      <c r="P69" s="34">
        <f>SUM(P66:P68)</f>
        <v>898</v>
      </c>
      <c r="Q69" s="34"/>
      <c r="R69" s="34">
        <f>SUM(R66:R68)</f>
        <v>0</v>
      </c>
      <c r="S69" s="34"/>
      <c r="T69" s="54">
        <f>SUM(T66:T68)</f>
        <v>334058</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2"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2" ht="15.6" x14ac:dyDescent="0.3">
      <c r="A82" s="24"/>
      <c r="B82" s="25" t="s">
        <v>27</v>
      </c>
      <c r="C82" s="34"/>
      <c r="D82" s="34"/>
      <c r="E82" s="34"/>
      <c r="F82" s="54"/>
      <c r="G82" s="34"/>
      <c r="H82" s="54"/>
      <c r="I82" s="54"/>
      <c r="J82" s="54">
        <f>SUM(J69:J81)</f>
        <v>700000</v>
      </c>
      <c r="K82" s="34"/>
      <c r="L82" s="54">
        <f>SUM(L69:L81)</f>
        <v>336826</v>
      </c>
      <c r="M82" s="34"/>
      <c r="N82" s="34"/>
      <c r="O82" s="34"/>
      <c r="P82" s="34"/>
      <c r="Q82" s="34"/>
      <c r="R82" s="54"/>
      <c r="S82" s="34"/>
      <c r="T82" s="54">
        <f>SUM(T69:T81)</f>
        <v>334058</v>
      </c>
      <c r="U82" s="25"/>
      <c r="V82" s="5"/>
    </row>
    <row r="83" spans="1:22"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2" ht="15.6" x14ac:dyDescent="0.3">
      <c r="A84" s="6"/>
      <c r="B84" s="8"/>
      <c r="C84" s="8"/>
      <c r="D84" s="8"/>
      <c r="E84" s="8"/>
      <c r="F84" s="8"/>
      <c r="G84" s="8"/>
      <c r="H84" s="8"/>
      <c r="I84" s="8"/>
      <c r="J84" s="8"/>
      <c r="K84" s="8"/>
      <c r="L84" s="8"/>
      <c r="M84" s="8"/>
      <c r="N84" s="8"/>
      <c r="O84" s="8"/>
      <c r="P84" s="8"/>
      <c r="Q84" s="8"/>
      <c r="R84" s="8"/>
      <c r="S84" s="8"/>
      <c r="T84" s="8"/>
      <c r="U84" s="8"/>
      <c r="V84" s="5"/>
    </row>
    <row r="85" spans="1:22" ht="15.6" x14ac:dyDescent="0.3">
      <c r="A85" s="6"/>
      <c r="B85" s="51" t="s">
        <v>28</v>
      </c>
      <c r="C85" s="14"/>
      <c r="D85" s="14"/>
      <c r="E85" s="14"/>
      <c r="F85" s="14"/>
      <c r="G85" s="14"/>
      <c r="H85" s="17"/>
      <c r="I85" s="17"/>
      <c r="J85" s="158" t="s">
        <v>101</v>
      </c>
      <c r="K85" s="17"/>
      <c r="L85" s="157">
        <f>+R196</f>
        <v>40116</v>
      </c>
      <c r="M85" s="17"/>
      <c r="N85" s="17"/>
      <c r="O85" s="17"/>
      <c r="P85" s="17"/>
      <c r="Q85" s="17"/>
      <c r="R85" s="17" t="s">
        <v>114</v>
      </c>
      <c r="S85" s="17"/>
      <c r="T85" s="17" t="s">
        <v>122</v>
      </c>
      <c r="U85" s="8"/>
      <c r="V85" s="5"/>
    </row>
    <row r="86" spans="1:22"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2" ht="15.6" x14ac:dyDescent="0.3">
      <c r="A87" s="24"/>
      <c r="B87" s="25" t="s">
        <v>30</v>
      </c>
      <c r="C87" s="25"/>
      <c r="D87" s="25"/>
      <c r="E87" s="25"/>
      <c r="F87" s="25"/>
      <c r="G87" s="25"/>
      <c r="H87" s="40"/>
      <c r="I87" s="57"/>
      <c r="J87" s="40"/>
      <c r="K87" s="25"/>
      <c r="L87" s="128"/>
      <c r="M87" s="25"/>
      <c r="N87" s="25"/>
      <c r="O87" s="25"/>
      <c r="P87" s="25"/>
      <c r="Q87" s="25"/>
      <c r="R87" s="34">
        <f>3666-70</f>
        <v>3596</v>
      </c>
      <c r="S87" s="25"/>
      <c r="T87" s="53"/>
      <c r="U87" s="25"/>
      <c r="V87" s="5"/>
    </row>
    <row r="88" spans="1:22" ht="15.6" x14ac:dyDescent="0.3">
      <c r="A88" s="24"/>
      <c r="B88" s="25" t="s">
        <v>254</v>
      </c>
      <c r="C88" s="25"/>
      <c r="D88" s="25"/>
      <c r="E88" s="25"/>
      <c r="F88" s="25"/>
      <c r="G88" s="25"/>
      <c r="H88" s="40"/>
      <c r="I88" s="57"/>
      <c r="J88" s="40"/>
      <c r="K88" s="25"/>
      <c r="L88" s="128"/>
      <c r="M88" s="25"/>
      <c r="N88" s="25"/>
      <c r="O88" s="25"/>
      <c r="P88" s="25"/>
      <c r="Q88" s="25"/>
      <c r="R88" s="34"/>
      <c r="S88" s="25"/>
      <c r="T88" s="53">
        <f>2441+1080-453-326+55</f>
        <v>2797</v>
      </c>
      <c r="U88" s="25"/>
      <c r="V88" s="5"/>
    </row>
    <row r="89" spans="1:22" ht="15.6" x14ac:dyDescent="0.3">
      <c r="A89" s="24"/>
      <c r="B89" s="25" t="s">
        <v>255</v>
      </c>
      <c r="C89" s="25"/>
      <c r="D89" s="25"/>
      <c r="E89" s="25"/>
      <c r="F89" s="25"/>
      <c r="G89" s="25"/>
      <c r="H89" s="40"/>
      <c r="I89" s="57"/>
      <c r="J89" s="40"/>
      <c r="K89" s="25"/>
      <c r="L89" s="128"/>
      <c r="M89" s="25"/>
      <c r="N89" s="25"/>
      <c r="O89" s="25"/>
      <c r="P89" s="25"/>
      <c r="Q89" s="25"/>
      <c r="R89" s="34"/>
      <c r="S89" s="25"/>
      <c r="T89" s="53">
        <f>24+58</f>
        <v>82</v>
      </c>
      <c r="U89" s="25"/>
      <c r="V89" s="5"/>
    </row>
    <row r="90" spans="1:22" ht="15.6" x14ac:dyDescent="0.3">
      <c r="A90" s="24"/>
      <c r="B90" s="25" t="s">
        <v>256</v>
      </c>
      <c r="C90" s="25"/>
      <c r="D90" s="25"/>
      <c r="E90" s="25"/>
      <c r="F90" s="25"/>
      <c r="G90" s="25"/>
      <c r="H90" s="40"/>
      <c r="I90" s="57"/>
      <c r="J90" s="40"/>
      <c r="K90" s="25"/>
      <c r="L90" s="128"/>
      <c r="M90" s="25"/>
      <c r="N90" s="25"/>
      <c r="O90" s="25"/>
      <c r="P90" s="25"/>
      <c r="Q90" s="25"/>
      <c r="R90" s="34"/>
      <c r="S90" s="25"/>
      <c r="T90" s="53">
        <v>43</v>
      </c>
      <c r="U90" s="25"/>
      <c r="V90" s="5"/>
    </row>
    <row r="91" spans="1:22" ht="15.6" x14ac:dyDescent="0.3">
      <c r="A91" s="24"/>
      <c r="B91" s="25" t="s">
        <v>270</v>
      </c>
      <c r="C91" s="25"/>
      <c r="D91" s="25"/>
      <c r="E91" s="25"/>
      <c r="F91" s="25"/>
      <c r="G91" s="25"/>
      <c r="H91" s="40"/>
      <c r="I91" s="57"/>
      <c r="J91" s="40"/>
      <c r="K91" s="25"/>
      <c r="L91" s="128"/>
      <c r="M91" s="25"/>
      <c r="N91" s="25"/>
      <c r="O91" s="25"/>
      <c r="P91" s="25"/>
      <c r="Q91" s="25"/>
      <c r="R91" s="34"/>
      <c r="S91" s="25"/>
      <c r="T91" s="53">
        <v>0</v>
      </c>
      <c r="U91" s="25"/>
      <c r="V91" s="5"/>
    </row>
    <row r="92" spans="1:22" ht="15.6" x14ac:dyDescent="0.3">
      <c r="A92" s="24"/>
      <c r="B92" s="25" t="s">
        <v>144</v>
      </c>
      <c r="C92" s="25"/>
      <c r="D92" s="25"/>
      <c r="E92" s="25"/>
      <c r="F92" s="25"/>
      <c r="G92" s="25"/>
      <c r="H92" s="25"/>
      <c r="I92" s="25"/>
      <c r="J92" s="25"/>
      <c r="K92" s="25"/>
      <c r="L92" s="25"/>
      <c r="M92" s="25"/>
      <c r="N92" s="25"/>
      <c r="O92" s="25"/>
      <c r="P92" s="25"/>
      <c r="Q92" s="25"/>
      <c r="R92" s="34"/>
      <c r="S92" s="25"/>
      <c r="T92" s="53">
        <v>0</v>
      </c>
      <c r="U92" s="25"/>
      <c r="V92" s="5"/>
    </row>
    <row r="93" spans="1:22" ht="15.6" x14ac:dyDescent="0.3">
      <c r="A93" s="24"/>
      <c r="B93" s="25" t="s">
        <v>233</v>
      </c>
      <c r="C93" s="25"/>
      <c r="D93" s="25"/>
      <c r="E93" s="25"/>
      <c r="F93" s="25"/>
      <c r="G93" s="25"/>
      <c r="H93" s="25"/>
      <c r="I93" s="25"/>
      <c r="J93" s="25"/>
      <c r="K93" s="25"/>
      <c r="L93" s="25"/>
      <c r="M93" s="25"/>
      <c r="N93" s="25"/>
      <c r="O93" s="25"/>
      <c r="P93" s="25"/>
      <c r="Q93" s="25"/>
      <c r="R93" s="34"/>
      <c r="S93" s="25"/>
      <c r="T93" s="53">
        <v>0</v>
      </c>
      <c r="U93" s="25"/>
      <c r="V93" s="5"/>
    </row>
    <row r="94" spans="1:22" ht="15.6" x14ac:dyDescent="0.3">
      <c r="A94" s="24"/>
      <c r="B94" s="25" t="s">
        <v>32</v>
      </c>
      <c r="C94" s="25"/>
      <c r="D94" s="25"/>
      <c r="E94" s="25"/>
      <c r="F94" s="25"/>
      <c r="G94" s="25"/>
      <c r="H94" s="25"/>
      <c r="I94" s="25"/>
      <c r="J94" s="25"/>
      <c r="K94" s="25"/>
      <c r="L94" s="25"/>
      <c r="M94" s="25"/>
      <c r="N94" s="25"/>
      <c r="O94" s="25"/>
      <c r="P94" s="25"/>
      <c r="Q94" s="25"/>
      <c r="R94" s="34">
        <f>SUM(R86:R93)</f>
        <v>3596</v>
      </c>
      <c r="S94" s="25"/>
      <c r="T94" s="54">
        <f>SUM(T86:T93)</f>
        <v>2922</v>
      </c>
      <c r="U94" s="25"/>
      <c r="V94" s="5"/>
    </row>
    <row r="95" spans="1:22" ht="15.6" x14ac:dyDescent="0.3">
      <c r="A95" s="24"/>
      <c r="B95" s="25" t="s">
        <v>176</v>
      </c>
      <c r="C95" s="25"/>
      <c r="D95" s="25"/>
      <c r="E95" s="25"/>
      <c r="F95" s="25"/>
      <c r="G95" s="25"/>
      <c r="H95" s="25"/>
      <c r="I95" s="25"/>
      <c r="J95" s="25"/>
      <c r="K95" s="25"/>
      <c r="L95" s="25"/>
      <c r="M95" s="25"/>
      <c r="N95" s="25"/>
      <c r="O95" s="25"/>
      <c r="P95" s="25"/>
      <c r="Q95" s="25"/>
      <c r="R95" s="34">
        <v>-18</v>
      </c>
      <c r="S95" s="25"/>
      <c r="T95" s="54">
        <f>-R95</f>
        <v>18</v>
      </c>
      <c r="U95" s="25"/>
      <c r="V95" s="5"/>
    </row>
    <row r="96" spans="1:22" ht="15.6" x14ac:dyDescent="0.3">
      <c r="A96" s="24"/>
      <c r="B96" s="25" t="s">
        <v>33</v>
      </c>
      <c r="C96" s="25"/>
      <c r="D96" s="25"/>
      <c r="E96" s="25"/>
      <c r="F96" s="25"/>
      <c r="G96" s="25"/>
      <c r="H96" s="25"/>
      <c r="I96" s="25"/>
      <c r="J96" s="25"/>
      <c r="K96" s="25"/>
      <c r="L96" s="25"/>
      <c r="M96" s="25"/>
      <c r="N96" s="25"/>
      <c r="O96" s="25"/>
      <c r="P96" s="25"/>
      <c r="Q96" s="25"/>
      <c r="R96" s="34">
        <f>-T96</f>
        <v>0</v>
      </c>
      <c r="S96" s="25"/>
      <c r="T96" s="53">
        <v>0</v>
      </c>
      <c r="U96" s="25"/>
      <c r="V96" s="5"/>
    </row>
    <row r="97" spans="1:23" ht="15.6" x14ac:dyDescent="0.3">
      <c r="A97" s="24"/>
      <c r="B97" s="25" t="s">
        <v>278</v>
      </c>
      <c r="C97" s="25"/>
      <c r="D97" s="25"/>
      <c r="E97" s="25"/>
      <c r="F97" s="25"/>
      <c r="G97" s="25"/>
      <c r="H97" s="25"/>
      <c r="I97" s="25"/>
      <c r="J97" s="25"/>
      <c r="K97" s="25"/>
      <c r="L97" s="25"/>
      <c r="M97" s="25"/>
      <c r="N97" s="25"/>
      <c r="O97" s="25"/>
      <c r="P97" s="25"/>
      <c r="Q97" s="25"/>
      <c r="R97" s="34"/>
      <c r="S97" s="25"/>
      <c r="T97" s="53">
        <v>-247</v>
      </c>
      <c r="U97" s="25"/>
      <c r="V97" s="5"/>
    </row>
    <row r="98" spans="1:23" ht="15.6" x14ac:dyDescent="0.3">
      <c r="A98" s="24"/>
      <c r="B98" s="25" t="s">
        <v>34</v>
      </c>
      <c r="C98" s="25"/>
      <c r="D98" s="25"/>
      <c r="E98" s="25"/>
      <c r="F98" s="25"/>
      <c r="G98" s="25"/>
      <c r="H98" s="25"/>
      <c r="I98" s="25"/>
      <c r="J98" s="25"/>
      <c r="K98" s="25"/>
      <c r="L98" s="25"/>
      <c r="M98" s="25"/>
      <c r="N98" s="25"/>
      <c r="O98" s="25"/>
      <c r="P98" s="25"/>
      <c r="Q98" s="25"/>
      <c r="R98" s="34">
        <f>R94+R96+R95</f>
        <v>3578</v>
      </c>
      <c r="S98" s="25"/>
      <c r="T98" s="54">
        <f>T94+T96+T95+T97</f>
        <v>2693</v>
      </c>
      <c r="U98" s="25"/>
      <c r="V98" s="5"/>
      <c r="W98" s="166"/>
    </row>
    <row r="99" spans="1:23" ht="15.6" x14ac:dyDescent="0.3">
      <c r="A99" s="24"/>
      <c r="B99" s="119" t="s">
        <v>35</v>
      </c>
      <c r="C99" s="25"/>
      <c r="D99" s="25"/>
      <c r="E99" s="25"/>
      <c r="F99" s="25"/>
      <c r="G99" s="25"/>
      <c r="H99" s="25"/>
      <c r="I99" s="25"/>
      <c r="J99" s="25"/>
      <c r="K99" s="25"/>
      <c r="L99" s="25"/>
      <c r="M99" s="25"/>
      <c r="N99" s="25"/>
      <c r="O99" s="25"/>
      <c r="P99" s="25"/>
      <c r="Q99" s="25"/>
      <c r="R99" s="34"/>
      <c r="S99" s="25"/>
      <c r="T99" s="53"/>
      <c r="U99" s="25"/>
      <c r="V99" s="5"/>
    </row>
    <row r="100" spans="1:23" ht="15.6" x14ac:dyDescent="0.3">
      <c r="A100" s="24">
        <v>1</v>
      </c>
      <c r="B100" s="25" t="s">
        <v>36</v>
      </c>
      <c r="C100" s="25"/>
      <c r="D100" s="25"/>
      <c r="E100" s="25"/>
      <c r="F100" s="25"/>
      <c r="G100" s="25"/>
      <c r="H100" s="25"/>
      <c r="I100" s="25"/>
      <c r="J100" s="25"/>
      <c r="K100" s="25"/>
      <c r="L100" s="25"/>
      <c r="M100" s="25"/>
      <c r="N100" s="25"/>
      <c r="O100" s="25"/>
      <c r="P100" s="25"/>
      <c r="Q100" s="25"/>
      <c r="R100" s="25"/>
      <c r="S100" s="25"/>
      <c r="T100" s="53">
        <v>0</v>
      </c>
      <c r="U100" s="25"/>
      <c r="V100" s="5"/>
    </row>
    <row r="101" spans="1:23" ht="15.6" x14ac:dyDescent="0.3">
      <c r="A101" s="24">
        <f>+A100+1</f>
        <v>2</v>
      </c>
      <c r="B101" s="25" t="s">
        <v>37</v>
      </c>
      <c r="C101" s="25"/>
      <c r="D101" s="25"/>
      <c r="E101" s="25"/>
      <c r="F101" s="25"/>
      <c r="G101" s="25"/>
      <c r="H101" s="25"/>
      <c r="I101" s="25"/>
      <c r="J101" s="25"/>
      <c r="K101" s="25"/>
      <c r="L101" s="25"/>
      <c r="M101" s="25"/>
      <c r="N101" s="25"/>
      <c r="O101" s="25"/>
      <c r="P101" s="25"/>
      <c r="Q101" s="25"/>
      <c r="R101" s="25"/>
      <c r="S101" s="25"/>
      <c r="T101" s="53">
        <v>-2</v>
      </c>
      <c r="U101" s="25"/>
      <c r="V101" s="5"/>
    </row>
    <row r="102" spans="1:23" ht="15.6" x14ac:dyDescent="0.3">
      <c r="A102" s="24">
        <f>+A101+1</f>
        <v>3</v>
      </c>
      <c r="B102" s="25" t="s">
        <v>160</v>
      </c>
      <c r="C102" s="25"/>
      <c r="D102" s="25"/>
      <c r="E102" s="25"/>
      <c r="F102" s="25"/>
      <c r="G102" s="25"/>
      <c r="H102" s="25"/>
      <c r="I102" s="25"/>
      <c r="J102" s="25"/>
      <c r="K102" s="25"/>
      <c r="L102" s="25"/>
      <c r="M102" s="25"/>
      <c r="N102" s="25"/>
      <c r="O102" s="25"/>
      <c r="P102" s="25"/>
      <c r="Q102" s="25"/>
      <c r="R102" s="25"/>
      <c r="S102" s="25"/>
      <c r="T102" s="53">
        <f>-129-128-4</f>
        <v>-261</v>
      </c>
      <c r="U102" s="25"/>
      <c r="V102" s="5"/>
    </row>
    <row r="103" spans="1:23" ht="15.6" x14ac:dyDescent="0.3">
      <c r="A103" s="24" t="s">
        <v>136</v>
      </c>
      <c r="B103" s="25" t="s">
        <v>125</v>
      </c>
      <c r="C103" s="25"/>
      <c r="D103" s="25"/>
      <c r="E103" s="25"/>
      <c r="F103" s="25"/>
      <c r="G103" s="25"/>
      <c r="H103" s="25"/>
      <c r="I103" s="25"/>
      <c r="J103" s="25"/>
      <c r="K103" s="25"/>
      <c r="L103" s="25"/>
      <c r="M103" s="25"/>
      <c r="N103" s="25"/>
      <c r="O103" s="25"/>
      <c r="P103" s="25"/>
      <c r="Q103" s="25"/>
      <c r="R103" s="25"/>
      <c r="S103" s="25"/>
      <c r="T103" s="53">
        <f>-875</f>
        <v>-875</v>
      </c>
      <c r="U103" s="25"/>
      <c r="V103" s="5"/>
    </row>
    <row r="104" spans="1:23" ht="15.6" x14ac:dyDescent="0.3">
      <c r="A104" s="24" t="s">
        <v>137</v>
      </c>
      <c r="B104" s="25" t="s">
        <v>267</v>
      </c>
      <c r="C104" s="25"/>
      <c r="D104" s="25"/>
      <c r="E104" s="25"/>
      <c r="F104" s="25"/>
      <c r="G104" s="25"/>
      <c r="H104" s="25"/>
      <c r="I104" s="25"/>
      <c r="J104" s="25"/>
      <c r="K104" s="25"/>
      <c r="L104" s="25"/>
      <c r="M104" s="25"/>
      <c r="N104" s="25"/>
      <c r="O104" s="25"/>
      <c r="P104" s="25"/>
      <c r="Q104" s="25"/>
      <c r="R104" s="25"/>
      <c r="S104" s="25"/>
      <c r="T104" s="53">
        <v>-2</v>
      </c>
      <c r="U104" s="25"/>
      <c r="V104" s="5"/>
    </row>
    <row r="105" spans="1:23" ht="15.6" x14ac:dyDescent="0.3">
      <c r="A105" s="24" t="s">
        <v>162</v>
      </c>
      <c r="B105" s="25" t="s">
        <v>218</v>
      </c>
      <c r="C105" s="25"/>
      <c r="D105" s="25"/>
      <c r="E105" s="25"/>
      <c r="F105" s="25"/>
      <c r="G105" s="25"/>
      <c r="H105" s="25"/>
      <c r="I105" s="25"/>
      <c r="J105" s="25"/>
      <c r="K105" s="25"/>
      <c r="L105" s="25"/>
      <c r="M105" s="25"/>
      <c r="N105" s="25"/>
      <c r="O105" s="25"/>
      <c r="P105" s="25"/>
      <c r="Q105" s="25"/>
      <c r="R105" s="25"/>
      <c r="S105" s="25"/>
      <c r="T105" s="53">
        <v>-338</v>
      </c>
      <c r="U105" s="25"/>
      <c r="V105" s="5"/>
      <c r="W105" s="110"/>
    </row>
    <row r="106" spans="1:23" ht="15.6" x14ac:dyDescent="0.3">
      <c r="A106" s="24" t="s">
        <v>163</v>
      </c>
      <c r="B106" s="25" t="s">
        <v>219</v>
      </c>
      <c r="C106" s="25"/>
      <c r="D106" s="25"/>
      <c r="E106" s="25"/>
      <c r="F106" s="25"/>
      <c r="G106" s="25"/>
      <c r="H106" s="25"/>
      <c r="I106" s="25"/>
      <c r="J106" s="25"/>
      <c r="K106" s="25"/>
      <c r="L106" s="25"/>
      <c r="M106" s="25"/>
      <c r="N106" s="25"/>
      <c r="O106" s="25"/>
      <c r="P106" s="25"/>
      <c r="Q106" s="25"/>
      <c r="R106" s="25"/>
      <c r="S106" s="25"/>
      <c r="T106" s="53">
        <v>-242</v>
      </c>
      <c r="U106" s="25"/>
      <c r="V106" s="5"/>
      <c r="W106" s="110"/>
    </row>
    <row r="107" spans="1:23" ht="15.6" x14ac:dyDescent="0.3">
      <c r="A107" s="24" t="s">
        <v>252</v>
      </c>
      <c r="B107" s="25" t="s">
        <v>242</v>
      </c>
      <c r="C107" s="25"/>
      <c r="D107" s="25"/>
      <c r="E107" s="25"/>
      <c r="F107" s="25"/>
      <c r="G107" s="25"/>
      <c r="H107" s="25"/>
      <c r="I107" s="25"/>
      <c r="J107" s="25"/>
      <c r="K107" s="25"/>
      <c r="L107" s="25"/>
      <c r="M107" s="25"/>
      <c r="N107" s="25"/>
      <c r="O107" s="25"/>
      <c r="P107" s="25"/>
      <c r="Q107" s="25"/>
      <c r="R107" s="25"/>
      <c r="S107" s="25"/>
      <c r="T107" s="53">
        <v>-34</v>
      </c>
      <c r="U107" s="25"/>
      <c r="V107" s="170"/>
      <c r="W107" s="110"/>
    </row>
    <row r="108" spans="1:23" ht="15.6" x14ac:dyDescent="0.3">
      <c r="A108" s="24" t="s">
        <v>245</v>
      </c>
      <c r="B108" s="25" t="s">
        <v>220</v>
      </c>
      <c r="C108" s="25"/>
      <c r="D108" s="25"/>
      <c r="E108" s="25"/>
      <c r="F108" s="25"/>
      <c r="G108" s="25"/>
      <c r="H108" s="25"/>
      <c r="I108" s="25"/>
      <c r="J108" s="25"/>
      <c r="K108" s="25"/>
      <c r="L108" s="25"/>
      <c r="M108" s="25"/>
      <c r="N108" s="25"/>
      <c r="O108" s="25"/>
      <c r="P108" s="25"/>
      <c r="Q108" s="25"/>
      <c r="R108" s="25"/>
      <c r="S108" s="25"/>
      <c r="T108" s="53">
        <v>-18</v>
      </c>
      <c r="U108" s="25"/>
      <c r="V108" s="5"/>
      <c r="W108" s="110"/>
    </row>
    <row r="109" spans="1:23" ht="15.6" x14ac:dyDescent="0.3">
      <c r="A109" s="24" t="s">
        <v>246</v>
      </c>
      <c r="B109" s="25" t="s">
        <v>221</v>
      </c>
      <c r="C109" s="25"/>
      <c r="D109" s="25"/>
      <c r="E109" s="25"/>
      <c r="F109" s="25"/>
      <c r="G109" s="25"/>
      <c r="H109" s="25"/>
      <c r="I109" s="25"/>
      <c r="J109" s="25"/>
      <c r="K109" s="25"/>
      <c r="L109" s="25"/>
      <c r="M109" s="25"/>
      <c r="N109" s="25"/>
      <c r="O109" s="25"/>
      <c r="P109" s="25"/>
      <c r="Q109" s="25"/>
      <c r="R109" s="25"/>
      <c r="S109" s="25"/>
      <c r="T109" s="53">
        <v>-55</v>
      </c>
      <c r="U109" s="25"/>
      <c r="V109" s="5"/>
      <c r="W109" s="110"/>
    </row>
    <row r="110" spans="1:23" ht="15.6" x14ac:dyDescent="0.3">
      <c r="A110" s="24" t="s">
        <v>247</v>
      </c>
      <c r="B110" s="25" t="s">
        <v>222</v>
      </c>
      <c r="C110" s="25"/>
      <c r="D110" s="25"/>
      <c r="E110" s="25"/>
      <c r="F110" s="25"/>
      <c r="G110" s="25"/>
      <c r="H110" s="25"/>
      <c r="I110" s="25"/>
      <c r="J110" s="25"/>
      <c r="K110" s="25"/>
      <c r="L110" s="25"/>
      <c r="M110" s="25"/>
      <c r="N110" s="25"/>
      <c r="O110" s="25"/>
      <c r="P110" s="25"/>
      <c r="Q110" s="25"/>
      <c r="R110" s="25"/>
      <c r="S110" s="25"/>
      <c r="T110" s="53">
        <v>-10</v>
      </c>
      <c r="U110" s="25"/>
      <c r="V110" s="5"/>
      <c r="W110" s="110"/>
    </row>
    <row r="111" spans="1:23" ht="15.6" x14ac:dyDescent="0.3">
      <c r="A111" s="24" t="s">
        <v>248</v>
      </c>
      <c r="B111" s="25" t="s">
        <v>223</v>
      </c>
      <c r="C111" s="25"/>
      <c r="D111" s="25"/>
      <c r="E111" s="25"/>
      <c r="F111" s="25"/>
      <c r="G111" s="25"/>
      <c r="H111" s="25"/>
      <c r="I111" s="25"/>
      <c r="J111" s="25"/>
      <c r="K111" s="25"/>
      <c r="L111" s="25"/>
      <c r="M111" s="25"/>
      <c r="N111" s="25"/>
      <c r="O111" s="25"/>
      <c r="P111" s="25"/>
      <c r="Q111" s="25"/>
      <c r="R111" s="25"/>
      <c r="S111" s="25"/>
      <c r="T111" s="53">
        <v>-149</v>
      </c>
      <c r="U111" s="25"/>
      <c r="V111" s="5"/>
      <c r="W111" s="110"/>
    </row>
    <row r="112" spans="1:23" ht="15.6" x14ac:dyDescent="0.3">
      <c r="A112" s="24">
        <v>7</v>
      </c>
      <c r="B112" s="25" t="s">
        <v>38</v>
      </c>
      <c r="C112" s="25"/>
      <c r="D112" s="25"/>
      <c r="E112" s="25"/>
      <c r="F112" s="25"/>
      <c r="G112" s="25"/>
      <c r="H112" s="25"/>
      <c r="I112" s="25"/>
      <c r="J112" s="25"/>
      <c r="K112" s="25"/>
      <c r="L112" s="25"/>
      <c r="M112" s="25"/>
      <c r="N112" s="25"/>
      <c r="O112" s="25"/>
      <c r="P112" s="25"/>
      <c r="Q112" s="25"/>
      <c r="R112" s="25"/>
      <c r="S112" s="25"/>
      <c r="T112" s="53">
        <v>-8</v>
      </c>
      <c r="U112" s="25"/>
      <c r="V112" s="5"/>
    </row>
    <row r="113" spans="1:22" ht="15.6" x14ac:dyDescent="0.3">
      <c r="A113" s="24">
        <f t="shared" ref="A113:A118" si="0">+A112+1</f>
        <v>8</v>
      </c>
      <c r="B113" s="25" t="s">
        <v>49</v>
      </c>
      <c r="C113" s="25"/>
      <c r="D113" s="25"/>
      <c r="E113" s="25"/>
      <c r="F113" s="25"/>
      <c r="G113" s="25"/>
      <c r="H113" s="25"/>
      <c r="I113" s="25"/>
      <c r="J113" s="25"/>
      <c r="K113" s="25"/>
      <c r="L113" s="25"/>
      <c r="M113" s="25"/>
      <c r="N113" s="25"/>
      <c r="O113" s="25"/>
      <c r="P113" s="25"/>
      <c r="Q113" s="25"/>
      <c r="R113" s="34">
        <f>-T113</f>
        <v>70</v>
      </c>
      <c r="S113" s="25"/>
      <c r="T113" s="53">
        <v>-70</v>
      </c>
      <c r="U113" s="25"/>
      <c r="V113" s="5"/>
    </row>
    <row r="114" spans="1:22" ht="15.6" x14ac:dyDescent="0.3">
      <c r="A114" s="24">
        <f t="shared" si="0"/>
        <v>9</v>
      </c>
      <c r="B114" s="25" t="s">
        <v>134</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39</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40</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161</v>
      </c>
      <c r="C117" s="25"/>
      <c r="D117" s="25"/>
      <c r="E117" s="25"/>
      <c r="F117" s="25"/>
      <c r="G117" s="25"/>
      <c r="H117" s="25"/>
      <c r="I117" s="25"/>
      <c r="J117" s="25"/>
      <c r="K117" s="25"/>
      <c r="L117" s="25"/>
      <c r="M117" s="25"/>
      <c r="N117" s="25"/>
      <c r="O117" s="25"/>
      <c r="P117" s="25"/>
      <c r="Q117" s="25"/>
      <c r="R117" s="25"/>
      <c r="S117" s="25"/>
      <c r="T117" s="53">
        <v>-128</v>
      </c>
      <c r="U117" s="25"/>
      <c r="V117" s="5"/>
    </row>
    <row r="118" spans="1:22" ht="15.6" x14ac:dyDescent="0.3">
      <c r="A118" s="24">
        <f t="shared" si="0"/>
        <v>13</v>
      </c>
      <c r="B118" s="25" t="s">
        <v>135</v>
      </c>
      <c r="C118" s="25"/>
      <c r="D118" s="25"/>
      <c r="E118" s="25"/>
      <c r="F118" s="25"/>
      <c r="G118" s="25"/>
      <c r="H118" s="25"/>
      <c r="I118" s="25"/>
      <c r="J118" s="25"/>
      <c r="K118" s="25"/>
      <c r="L118" s="25"/>
      <c r="M118" s="25"/>
      <c r="N118" s="25"/>
      <c r="O118" s="25"/>
      <c r="P118" s="25"/>
      <c r="Q118" s="25"/>
      <c r="R118" s="25"/>
      <c r="S118" s="25"/>
      <c r="T118" s="53">
        <f>-T98-SUM(T100:T117)</f>
        <v>-501</v>
      </c>
      <c r="U118" s="25"/>
      <c r="V118" s="5"/>
    </row>
    <row r="119" spans="1:22" ht="15.6" x14ac:dyDescent="0.3">
      <c r="A119" s="24"/>
      <c r="B119" s="119" t="s">
        <v>41</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229</v>
      </c>
      <c r="C120" s="25"/>
      <c r="D120" s="25"/>
      <c r="E120" s="25"/>
      <c r="F120" s="25"/>
      <c r="G120" s="25"/>
      <c r="H120" s="25"/>
      <c r="I120" s="25"/>
      <c r="J120" s="25"/>
      <c r="K120" s="25"/>
      <c r="L120" s="25"/>
      <c r="M120" s="25"/>
      <c r="N120" s="25"/>
      <c r="O120" s="25"/>
      <c r="P120" s="25"/>
      <c r="Q120" s="25"/>
      <c r="R120" s="34">
        <f>-R180</f>
        <v>-10</v>
      </c>
      <c r="S120" s="34"/>
      <c r="T120" s="53"/>
      <c r="U120" s="25"/>
      <c r="V120" s="5"/>
    </row>
    <row r="121" spans="1:22" ht="15.6" x14ac:dyDescent="0.3">
      <c r="A121" s="24"/>
      <c r="B121" s="25" t="s">
        <v>230</v>
      </c>
      <c r="C121" s="25"/>
      <c r="D121" s="25"/>
      <c r="E121" s="25"/>
      <c r="F121" s="25"/>
      <c r="G121" s="25"/>
      <c r="H121" s="25"/>
      <c r="I121" s="25"/>
      <c r="J121" s="25"/>
      <c r="K121" s="25"/>
      <c r="L121" s="25"/>
      <c r="M121" s="25"/>
      <c r="N121" s="25"/>
      <c r="O121" s="25"/>
      <c r="P121" s="25"/>
      <c r="Q121" s="25"/>
      <c r="R121" s="34">
        <v>-16</v>
      </c>
      <c r="S121" s="34"/>
      <c r="T121" s="53"/>
      <c r="U121" s="25"/>
      <c r="V121" s="5"/>
    </row>
    <row r="122" spans="1:22" ht="15.6" x14ac:dyDescent="0.3">
      <c r="A122" s="24"/>
      <c r="B122" s="25" t="s">
        <v>42</v>
      </c>
      <c r="C122" s="25"/>
      <c r="D122" s="25"/>
      <c r="E122" s="25"/>
      <c r="F122" s="25"/>
      <c r="G122" s="25"/>
      <c r="H122" s="25"/>
      <c r="I122" s="25"/>
      <c r="J122" s="25"/>
      <c r="K122" s="25"/>
      <c r="L122" s="25"/>
      <c r="M122" s="25"/>
      <c r="N122" s="25"/>
      <c r="O122" s="25"/>
      <c r="P122" s="25"/>
      <c r="Q122" s="25"/>
      <c r="R122" s="34">
        <f>-Q180</f>
        <v>-854</v>
      </c>
      <c r="S122" s="34"/>
      <c r="T122" s="53"/>
      <c r="U122" s="25"/>
      <c r="V122" s="5"/>
    </row>
    <row r="123" spans="1:22" ht="15.6" x14ac:dyDescent="0.3">
      <c r="A123" s="24"/>
      <c r="B123" s="25" t="s">
        <v>235</v>
      </c>
      <c r="C123" s="25"/>
      <c r="D123" s="25"/>
      <c r="E123" s="25"/>
      <c r="F123" s="25"/>
      <c r="G123" s="25"/>
      <c r="H123" s="25"/>
      <c r="I123" s="25"/>
      <c r="J123" s="25"/>
      <c r="K123" s="25"/>
      <c r="L123" s="25"/>
      <c r="M123" s="25"/>
      <c r="N123" s="25"/>
      <c r="O123" s="25"/>
      <c r="P123" s="25"/>
      <c r="Q123" s="25"/>
      <c r="R123" s="34">
        <v>-1534</v>
      </c>
      <c r="S123" s="34"/>
      <c r="T123" s="53"/>
      <c r="U123" s="25"/>
      <c r="V123" s="5"/>
    </row>
    <row r="124" spans="1:22" ht="15.6" x14ac:dyDescent="0.3">
      <c r="A124" s="24"/>
      <c r="B124" s="25" t="s">
        <v>236</v>
      </c>
      <c r="C124" s="25"/>
      <c r="D124" s="25"/>
      <c r="E124" s="25"/>
      <c r="F124" s="25"/>
      <c r="G124" s="25"/>
      <c r="H124" s="25"/>
      <c r="I124" s="25"/>
      <c r="J124" s="25"/>
      <c r="K124" s="25"/>
      <c r="L124" s="25"/>
      <c r="M124" s="25"/>
      <c r="N124" s="25"/>
      <c r="O124" s="25"/>
      <c r="P124" s="25"/>
      <c r="Q124" s="25"/>
      <c r="R124" s="34">
        <v>-1084</v>
      </c>
      <c r="S124" s="34"/>
      <c r="T124" s="53"/>
      <c r="U124" s="25"/>
      <c r="V124" s="5"/>
    </row>
    <row r="125" spans="1:22" ht="15.6" x14ac:dyDescent="0.3">
      <c r="A125" s="24"/>
      <c r="B125" s="25" t="s">
        <v>241</v>
      </c>
      <c r="C125" s="25"/>
      <c r="D125" s="25"/>
      <c r="E125" s="25"/>
      <c r="F125" s="25"/>
      <c r="G125" s="25"/>
      <c r="H125" s="25"/>
      <c r="I125" s="25"/>
      <c r="J125" s="25"/>
      <c r="K125" s="25"/>
      <c r="L125" s="25"/>
      <c r="M125" s="25"/>
      <c r="N125" s="25"/>
      <c r="O125" s="25"/>
      <c r="P125" s="25"/>
      <c r="Q125" s="25"/>
      <c r="R125" s="34">
        <v>-150</v>
      </c>
      <c r="S125" s="34"/>
      <c r="T125" s="53"/>
      <c r="U125" s="25"/>
      <c r="V125" s="5"/>
    </row>
    <row r="126" spans="1:22" ht="15.6" x14ac:dyDescent="0.3">
      <c r="A126" s="24"/>
      <c r="B126" s="25" t="s">
        <v>237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238</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239</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240</v>
      </c>
      <c r="C129" s="25"/>
      <c r="D129" s="25"/>
      <c r="E129" s="25"/>
      <c r="F129" s="25"/>
      <c r="G129" s="25"/>
      <c r="H129" s="25"/>
      <c r="I129" s="25"/>
      <c r="J129" s="25"/>
      <c r="K129" s="25"/>
      <c r="L129" s="25"/>
      <c r="M129" s="25"/>
      <c r="N129" s="25"/>
      <c r="O129" s="25"/>
      <c r="P129" s="25"/>
      <c r="Q129" s="25"/>
      <c r="R129" s="34">
        <v>0</v>
      </c>
      <c r="S129" s="34"/>
      <c r="T129" s="53"/>
      <c r="U129" s="25"/>
      <c r="V129" s="5"/>
    </row>
    <row r="130" spans="1:22" ht="15.6" x14ac:dyDescent="0.3">
      <c r="A130" s="24"/>
      <c r="B130" s="25" t="s">
        <v>43</v>
      </c>
      <c r="C130" s="25"/>
      <c r="D130" s="25"/>
      <c r="E130" s="25"/>
      <c r="F130" s="25"/>
      <c r="G130" s="25"/>
      <c r="H130" s="25"/>
      <c r="I130" s="25"/>
      <c r="J130" s="25"/>
      <c r="K130" s="25"/>
      <c r="L130" s="25"/>
      <c r="M130" s="25"/>
      <c r="N130" s="25"/>
      <c r="O130" s="25"/>
      <c r="P130" s="25"/>
      <c r="Q130" s="25"/>
      <c r="R130" s="34">
        <f>SUM(R120:R129)</f>
        <v>-3648</v>
      </c>
      <c r="S130" s="34"/>
      <c r="T130" s="34">
        <f>SUM(T99:T128)</f>
        <v>-2693</v>
      </c>
      <c r="U130" s="25"/>
      <c r="V130" s="5"/>
    </row>
    <row r="131" spans="1:22" ht="15.6" x14ac:dyDescent="0.3">
      <c r="A131" s="24"/>
      <c r="B131" s="25" t="s">
        <v>44</v>
      </c>
      <c r="C131" s="25"/>
      <c r="D131" s="25"/>
      <c r="E131" s="25"/>
      <c r="F131" s="25"/>
      <c r="G131" s="25"/>
      <c r="H131" s="25"/>
      <c r="I131" s="25"/>
      <c r="J131" s="25"/>
      <c r="K131" s="25"/>
      <c r="L131" s="25"/>
      <c r="M131" s="25"/>
      <c r="N131" s="25"/>
      <c r="O131" s="25"/>
      <c r="P131" s="25"/>
      <c r="Q131" s="25"/>
      <c r="R131" s="34">
        <f>R98+R130+R113</f>
        <v>0</v>
      </c>
      <c r="S131" s="34"/>
      <c r="T131" s="34">
        <f>T98+T130</f>
        <v>0</v>
      </c>
      <c r="U131" s="25"/>
      <c r="V131" s="5"/>
    </row>
    <row r="132" spans="1:22" ht="15.6" x14ac:dyDescent="0.3">
      <c r="A132" s="24"/>
      <c r="B132" s="25"/>
      <c r="C132" s="25"/>
      <c r="D132" s="25"/>
      <c r="E132" s="25"/>
      <c r="F132" s="25"/>
      <c r="G132" s="25"/>
      <c r="H132" s="25"/>
      <c r="I132" s="25"/>
      <c r="J132" s="25"/>
      <c r="K132" s="25"/>
      <c r="L132" s="25"/>
      <c r="M132" s="25"/>
      <c r="N132" s="25"/>
      <c r="O132" s="25"/>
      <c r="P132" s="25"/>
      <c r="Q132" s="25"/>
      <c r="R132" s="34"/>
      <c r="S132" s="34"/>
      <c r="T132" s="34"/>
      <c r="U132" s="25"/>
      <c r="V132" s="5"/>
    </row>
    <row r="133" spans="1:22" ht="15.6" x14ac:dyDescent="0.3">
      <c r="A133" s="6"/>
      <c r="B133" s="8"/>
      <c r="C133" s="8"/>
      <c r="D133" s="8"/>
      <c r="E133" s="8"/>
      <c r="F133" s="8"/>
      <c r="G133" s="8"/>
      <c r="H133" s="8"/>
      <c r="I133" s="8"/>
      <c r="J133" s="8"/>
      <c r="K133" s="8"/>
      <c r="L133" s="8"/>
      <c r="M133" s="8"/>
      <c r="N133" s="8"/>
      <c r="O133" s="8"/>
      <c r="P133" s="8"/>
      <c r="Q133" s="8"/>
      <c r="R133" s="8"/>
      <c r="S133" s="8"/>
      <c r="T133" s="52"/>
      <c r="U133" s="8"/>
      <c r="V133" s="5"/>
    </row>
    <row r="134" spans="1:22" ht="18" thickBot="1" x14ac:dyDescent="0.35">
      <c r="A134" s="102"/>
      <c r="B134" s="103" t="str">
        <f>B61</f>
        <v>PM9 INVESTOR REPORT QUARTER ENDING OCTOBER 2009</v>
      </c>
      <c r="C134" s="104"/>
      <c r="D134" s="104"/>
      <c r="E134" s="104"/>
      <c r="F134" s="104"/>
      <c r="G134" s="104"/>
      <c r="H134" s="104"/>
      <c r="I134" s="104"/>
      <c r="J134" s="104"/>
      <c r="K134" s="104"/>
      <c r="L134" s="104"/>
      <c r="M134" s="104"/>
      <c r="N134" s="104"/>
      <c r="O134" s="104"/>
      <c r="P134" s="104"/>
      <c r="Q134" s="104"/>
      <c r="R134" s="104"/>
      <c r="S134" s="104"/>
      <c r="T134" s="107"/>
      <c r="U134" s="106"/>
      <c r="V134" s="5"/>
    </row>
    <row r="135" spans="1:22" ht="15.6" x14ac:dyDescent="0.3">
      <c r="A135" s="2"/>
      <c r="B135" s="60" t="s">
        <v>45</v>
      </c>
      <c r="C135" s="4"/>
      <c r="D135" s="4"/>
      <c r="E135" s="4"/>
      <c r="F135" s="4"/>
      <c r="G135" s="4"/>
      <c r="H135" s="4"/>
      <c r="I135" s="4"/>
      <c r="J135" s="4"/>
      <c r="K135" s="4"/>
      <c r="L135" s="4"/>
      <c r="M135" s="4"/>
      <c r="N135" s="4"/>
      <c r="O135" s="4"/>
      <c r="P135" s="4"/>
      <c r="Q135" s="4"/>
      <c r="R135" s="4"/>
      <c r="S135" s="4"/>
      <c r="T135" s="50"/>
      <c r="U135" s="4"/>
      <c r="V135" s="5"/>
    </row>
    <row r="136" spans="1:22" ht="15.6" x14ac:dyDescent="0.3">
      <c r="A136" s="6"/>
      <c r="B136" s="21"/>
      <c r="C136" s="8"/>
      <c r="D136" s="8"/>
      <c r="E136" s="8"/>
      <c r="F136" s="8"/>
      <c r="G136" s="8"/>
      <c r="H136" s="8"/>
      <c r="I136" s="8"/>
      <c r="J136" s="8"/>
      <c r="K136" s="8"/>
      <c r="L136" s="8"/>
      <c r="M136" s="8"/>
      <c r="N136" s="8"/>
      <c r="O136" s="8"/>
      <c r="P136" s="8"/>
      <c r="Q136" s="8"/>
      <c r="R136" s="8"/>
      <c r="S136" s="8"/>
      <c r="T136" s="52"/>
      <c r="U136" s="8"/>
      <c r="V136" s="5"/>
    </row>
    <row r="137" spans="1:22" ht="15.6" x14ac:dyDescent="0.3">
      <c r="A137" s="6"/>
      <c r="B137" s="120" t="s">
        <v>46</v>
      </c>
      <c r="C137" s="8"/>
      <c r="D137" s="8"/>
      <c r="E137" s="8"/>
      <c r="F137" s="8"/>
      <c r="G137" s="8"/>
      <c r="H137" s="8"/>
      <c r="I137" s="8"/>
      <c r="J137" s="8"/>
      <c r="K137" s="8"/>
      <c r="L137" s="8"/>
      <c r="M137" s="8"/>
      <c r="N137" s="8"/>
      <c r="O137" s="8"/>
      <c r="P137" s="8"/>
      <c r="Q137" s="8"/>
      <c r="R137" s="8"/>
      <c r="S137" s="8"/>
      <c r="T137" s="52"/>
      <c r="U137" s="8"/>
      <c r="V137" s="5"/>
    </row>
    <row r="138" spans="1:22" ht="15.6" x14ac:dyDescent="0.3">
      <c r="A138" s="24"/>
      <c r="B138" s="25" t="s">
        <v>47</v>
      </c>
      <c r="C138" s="25"/>
      <c r="D138" s="25"/>
      <c r="E138" s="25"/>
      <c r="F138" s="25"/>
      <c r="G138" s="25"/>
      <c r="H138" s="25"/>
      <c r="I138" s="25"/>
      <c r="J138" s="25"/>
      <c r="K138" s="25"/>
      <c r="L138" s="25"/>
      <c r="M138" s="25"/>
      <c r="N138" s="25"/>
      <c r="O138" s="25"/>
      <c r="P138" s="25"/>
      <c r="Q138" s="25"/>
      <c r="R138" s="25"/>
      <c r="S138" s="25"/>
      <c r="T138" s="53">
        <f>+T32*0.0176</f>
        <v>12320</v>
      </c>
      <c r="U138" s="25"/>
      <c r="V138" s="5"/>
    </row>
    <row r="139" spans="1:22" ht="15.6" x14ac:dyDescent="0.3">
      <c r="A139" s="24"/>
      <c r="B139" s="25" t="s">
        <v>48</v>
      </c>
      <c r="C139" s="25"/>
      <c r="D139" s="25"/>
      <c r="E139" s="25"/>
      <c r="F139" s="25"/>
      <c r="G139" s="25"/>
      <c r="H139" s="25"/>
      <c r="I139" s="25"/>
      <c r="J139" s="25"/>
      <c r="K139" s="25"/>
      <c r="L139" s="25"/>
      <c r="M139" s="25"/>
      <c r="N139" s="25"/>
      <c r="O139" s="25"/>
      <c r="P139" s="25"/>
      <c r="Q139" s="25"/>
      <c r="R139" s="25"/>
      <c r="S139" s="25"/>
      <c r="T139" s="53">
        <v>12320</v>
      </c>
      <c r="U139" s="25"/>
      <c r="V139" s="5"/>
    </row>
    <row r="140" spans="1:22" ht="15.6" x14ac:dyDescent="0.3">
      <c r="A140" s="24"/>
      <c r="B140" s="25" t="s">
        <v>145</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132</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133</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232</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49</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138</v>
      </c>
      <c r="C145" s="25"/>
      <c r="D145" s="25"/>
      <c r="E145" s="25"/>
      <c r="F145" s="25"/>
      <c r="G145" s="25"/>
      <c r="H145" s="25"/>
      <c r="I145" s="25"/>
      <c r="J145" s="25"/>
      <c r="K145" s="25"/>
      <c r="L145" s="25"/>
      <c r="M145" s="25"/>
      <c r="N145" s="25"/>
      <c r="O145" s="25"/>
      <c r="P145" s="25"/>
      <c r="Q145" s="25"/>
      <c r="R145" s="25"/>
      <c r="S145" s="25"/>
      <c r="T145" s="53">
        <v>0</v>
      </c>
      <c r="U145" s="25"/>
      <c r="V145" s="5"/>
    </row>
    <row r="146" spans="1:23" ht="15.6" x14ac:dyDescent="0.3">
      <c r="A146" s="24"/>
      <c r="B146" s="25" t="s">
        <v>231</v>
      </c>
      <c r="C146" s="25"/>
      <c r="D146" s="25"/>
      <c r="E146" s="25"/>
      <c r="F146" s="25"/>
      <c r="G146" s="25"/>
      <c r="H146" s="25"/>
      <c r="I146" s="25"/>
      <c r="J146" s="25"/>
      <c r="K146" s="25"/>
      <c r="L146" s="25"/>
      <c r="M146" s="25"/>
      <c r="N146" s="25"/>
      <c r="O146" s="25"/>
      <c r="P146" s="25"/>
      <c r="Q146" s="25"/>
      <c r="R146" s="25"/>
      <c r="S146" s="25"/>
      <c r="T146" s="53">
        <v>0</v>
      </c>
      <c r="U146" s="25"/>
      <c r="V146" s="5"/>
      <c r="W146" s="110"/>
    </row>
    <row r="147" spans="1:23" ht="15.6" x14ac:dyDescent="0.3">
      <c r="A147" s="24"/>
      <c r="B147" s="25" t="s">
        <v>50</v>
      </c>
      <c r="C147" s="25"/>
      <c r="D147" s="25"/>
      <c r="E147" s="25"/>
      <c r="F147" s="25"/>
      <c r="G147" s="25"/>
      <c r="H147" s="25"/>
      <c r="I147" s="25"/>
      <c r="J147" s="25"/>
      <c r="K147" s="25"/>
      <c r="L147" s="25"/>
      <c r="M147" s="25"/>
      <c r="N147" s="25"/>
      <c r="O147" s="25"/>
      <c r="P147" s="25"/>
      <c r="Q147" s="25"/>
      <c r="R147" s="25"/>
      <c r="S147" s="25"/>
      <c r="T147" s="53">
        <f>SUM(T139:T146)</f>
        <v>12320</v>
      </c>
      <c r="U147" s="25"/>
      <c r="V147" s="5"/>
    </row>
    <row r="148" spans="1:23" ht="15.6" x14ac:dyDescent="0.3">
      <c r="A148" s="24"/>
      <c r="B148" s="25"/>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141" t="s">
        <v>264</v>
      </c>
      <c r="C149" s="25"/>
      <c r="D149" s="25"/>
      <c r="E149" s="25"/>
      <c r="F149" s="25"/>
      <c r="G149" s="25"/>
      <c r="H149" s="25"/>
      <c r="I149" s="25"/>
      <c r="J149" s="25"/>
      <c r="K149" s="25"/>
      <c r="L149" s="25"/>
      <c r="M149" s="25"/>
      <c r="N149" s="25"/>
      <c r="O149" s="25"/>
      <c r="P149" s="25"/>
      <c r="Q149" s="25"/>
      <c r="R149" s="25"/>
      <c r="S149" s="25"/>
      <c r="T149" s="53"/>
      <c r="U149" s="25"/>
      <c r="V149" s="5"/>
    </row>
    <row r="150" spans="1:23" ht="15.6" x14ac:dyDescent="0.3">
      <c r="A150" s="24"/>
      <c r="B150" s="25" t="s">
        <v>170</v>
      </c>
      <c r="C150" s="25"/>
      <c r="D150" s="25"/>
      <c r="E150" s="25"/>
      <c r="F150" s="25"/>
      <c r="G150" s="25"/>
      <c r="H150" s="25"/>
      <c r="I150" s="25"/>
      <c r="J150" s="25"/>
      <c r="K150" s="25"/>
      <c r="L150" s="25"/>
      <c r="M150" s="25"/>
      <c r="N150" s="25"/>
      <c r="O150" s="25"/>
      <c r="P150" s="25"/>
      <c r="Q150" s="25"/>
      <c r="R150" s="25"/>
      <c r="S150" s="25"/>
      <c r="T150" s="53">
        <v>10000</v>
      </c>
      <c r="U150" s="25"/>
      <c r="V150" s="5"/>
    </row>
    <row r="151" spans="1:23" ht="15.6" x14ac:dyDescent="0.3">
      <c r="A151" s="24"/>
      <c r="B151" s="25" t="s">
        <v>260</v>
      </c>
      <c r="C151" s="25"/>
      <c r="D151" s="25"/>
      <c r="E151" s="25"/>
      <c r="F151" s="25"/>
      <c r="G151" s="25"/>
      <c r="H151" s="25"/>
      <c r="I151" s="25"/>
      <c r="J151" s="25"/>
      <c r="K151" s="25"/>
      <c r="L151" s="25"/>
      <c r="M151" s="25"/>
      <c r="N151" s="25"/>
      <c r="O151" s="25"/>
      <c r="P151" s="25"/>
      <c r="Q151" s="25"/>
      <c r="R151" s="25"/>
      <c r="S151" s="25"/>
      <c r="T151" s="53">
        <v>6000</v>
      </c>
      <c r="U151" s="25"/>
      <c r="V151" s="5"/>
    </row>
    <row r="152" spans="1:23" ht="15.6" x14ac:dyDescent="0.3">
      <c r="A152" s="24"/>
      <c r="B152" s="25" t="s">
        <v>228</v>
      </c>
      <c r="C152" s="25"/>
      <c r="D152" s="25"/>
      <c r="E152" s="25"/>
      <c r="F152" s="25"/>
      <c r="G152" s="25"/>
      <c r="H152" s="25"/>
      <c r="I152" s="25"/>
      <c r="J152" s="25"/>
      <c r="K152" s="25"/>
      <c r="L152" s="25"/>
      <c r="M152" s="25"/>
      <c r="N152" s="25"/>
      <c r="O152" s="25"/>
      <c r="P152" s="25"/>
      <c r="Q152" s="25"/>
      <c r="R152" s="25"/>
      <c r="S152" s="25"/>
      <c r="T152" s="53">
        <v>0</v>
      </c>
      <c r="U152" s="25"/>
      <c r="V152" s="5"/>
    </row>
    <row r="153" spans="1:23" ht="15.6" x14ac:dyDescent="0.3">
      <c r="A153" s="24"/>
      <c r="B153" s="25" t="s">
        <v>266</v>
      </c>
      <c r="C153" s="25"/>
      <c r="D153" s="25"/>
      <c r="E153" s="25"/>
      <c r="F153" s="25"/>
      <c r="G153" s="25"/>
      <c r="H153" s="25"/>
      <c r="I153" s="25"/>
      <c r="J153" s="25"/>
      <c r="K153" s="25"/>
      <c r="L153" s="25"/>
      <c r="M153" s="25"/>
      <c r="N153" s="25"/>
      <c r="O153" s="25"/>
      <c r="P153" s="25"/>
      <c r="Q153" s="25"/>
      <c r="R153" s="25"/>
      <c r="S153" s="25"/>
      <c r="T153" s="53">
        <v>6000</v>
      </c>
      <c r="U153" s="25"/>
      <c r="V153" s="5"/>
    </row>
    <row r="154" spans="1:23" ht="15.6" x14ac:dyDescent="0.3">
      <c r="A154" s="24"/>
      <c r="B154" s="25"/>
      <c r="C154" s="25"/>
      <c r="D154" s="25"/>
      <c r="E154" s="25"/>
      <c r="F154" s="25"/>
      <c r="G154" s="25"/>
      <c r="H154" s="25"/>
      <c r="I154" s="25"/>
      <c r="J154" s="25"/>
      <c r="K154" s="25"/>
      <c r="L154" s="25"/>
      <c r="M154" s="25"/>
      <c r="N154" s="25"/>
      <c r="O154" s="25"/>
      <c r="P154" s="25"/>
      <c r="Q154" s="25"/>
      <c r="R154" s="25"/>
      <c r="S154" s="25"/>
      <c r="T154" s="53"/>
      <c r="U154" s="25"/>
      <c r="V154" s="5"/>
    </row>
    <row r="155" spans="1:23" ht="15.6" x14ac:dyDescent="0.3">
      <c r="A155" s="24"/>
      <c r="B155" s="25"/>
      <c r="C155" s="25"/>
      <c r="D155" s="25"/>
      <c r="E155" s="25"/>
      <c r="F155" s="25"/>
      <c r="G155" s="25"/>
      <c r="H155" s="25"/>
      <c r="I155" s="25"/>
      <c r="J155" s="25"/>
      <c r="K155" s="25"/>
      <c r="L155" s="25"/>
      <c r="M155" s="25"/>
      <c r="N155" s="25"/>
      <c r="O155" s="25"/>
      <c r="P155" s="25"/>
      <c r="Q155" s="25"/>
      <c r="R155" s="25"/>
      <c r="S155" s="25"/>
      <c r="T155" s="61"/>
      <c r="U155" s="25"/>
      <c r="V155" s="5"/>
    </row>
    <row r="156" spans="1:23" ht="15.6" x14ac:dyDescent="0.3">
      <c r="A156" s="6"/>
      <c r="B156" s="120" t="s">
        <v>25</v>
      </c>
      <c r="C156" s="8"/>
      <c r="D156" s="8"/>
      <c r="E156" s="8"/>
      <c r="F156" s="8"/>
      <c r="G156" s="8"/>
      <c r="H156" s="8"/>
      <c r="I156" s="8"/>
      <c r="J156" s="8"/>
      <c r="K156" s="8"/>
      <c r="L156" s="8"/>
      <c r="M156" s="8"/>
      <c r="N156" s="8"/>
      <c r="O156" s="8"/>
      <c r="P156" s="8"/>
      <c r="Q156" s="8"/>
      <c r="R156" s="8"/>
      <c r="S156" s="8"/>
      <c r="T156" s="52"/>
      <c r="U156" s="8"/>
      <c r="V156" s="5"/>
    </row>
    <row r="157" spans="1:23" ht="15.6" x14ac:dyDescent="0.3">
      <c r="A157" s="24"/>
      <c r="B157" s="25" t="s">
        <v>51</v>
      </c>
      <c r="C157" s="25"/>
      <c r="D157" s="25"/>
      <c r="E157" s="25"/>
      <c r="F157" s="25"/>
      <c r="G157" s="25"/>
      <c r="H157" s="25"/>
      <c r="I157" s="25"/>
      <c r="J157" s="25"/>
      <c r="K157" s="25"/>
      <c r="L157" s="25"/>
      <c r="M157" s="25"/>
      <c r="N157" s="25"/>
      <c r="O157" s="25"/>
      <c r="P157" s="25"/>
      <c r="Q157" s="25"/>
      <c r="R157" s="25"/>
      <c r="S157" s="25"/>
      <c r="T157" s="59" t="s">
        <v>127</v>
      </c>
      <c r="U157" s="25"/>
      <c r="V157" s="5"/>
    </row>
    <row r="158" spans="1:23" ht="15.6" x14ac:dyDescent="0.3">
      <c r="A158" s="24"/>
      <c r="B158" s="25" t="s">
        <v>52</v>
      </c>
      <c r="C158" s="160"/>
      <c r="D158" s="160"/>
      <c r="E158" s="160"/>
      <c r="F158" s="160"/>
      <c r="G158" s="160"/>
      <c r="H158" s="160"/>
      <c r="I158" s="160"/>
      <c r="J158" s="160"/>
      <c r="K158" s="160"/>
      <c r="L158" s="160"/>
      <c r="M158" s="160"/>
      <c r="N158" s="160"/>
      <c r="O158" s="160"/>
      <c r="P158" s="160"/>
      <c r="Q158" s="160"/>
      <c r="R158" s="160"/>
      <c r="S158" s="160"/>
      <c r="T158" s="59" t="s">
        <v>127</v>
      </c>
      <c r="U158" s="25"/>
      <c r="V158" s="5"/>
    </row>
    <row r="159" spans="1:23" ht="15.6" x14ac:dyDescent="0.3">
      <c r="A159" s="24"/>
      <c r="B159" s="25" t="s">
        <v>53</v>
      </c>
      <c r="C159" s="25"/>
      <c r="D159" s="25"/>
      <c r="E159" s="25"/>
      <c r="F159" s="25"/>
      <c r="G159" s="25"/>
      <c r="H159" s="25"/>
      <c r="I159" s="25"/>
      <c r="J159" s="25"/>
      <c r="K159" s="25"/>
      <c r="L159" s="25"/>
      <c r="M159" s="25"/>
      <c r="N159" s="25"/>
      <c r="O159" s="25"/>
      <c r="P159" s="25"/>
      <c r="Q159" s="25"/>
      <c r="R159" s="25"/>
      <c r="S159" s="25"/>
      <c r="T159" s="59" t="s">
        <v>127</v>
      </c>
      <c r="U159" s="25"/>
      <c r="V159" s="5"/>
    </row>
    <row r="160" spans="1:23" ht="15.6" x14ac:dyDescent="0.3">
      <c r="A160" s="24"/>
      <c r="B160" s="25" t="s">
        <v>54</v>
      </c>
      <c r="C160" s="25"/>
      <c r="D160" s="25"/>
      <c r="E160" s="25"/>
      <c r="F160" s="25"/>
      <c r="G160" s="25"/>
      <c r="H160" s="25"/>
      <c r="I160" s="25"/>
      <c r="J160" s="25"/>
      <c r="K160" s="25"/>
      <c r="L160" s="25"/>
      <c r="M160" s="25"/>
      <c r="N160" s="25"/>
      <c r="O160" s="25"/>
      <c r="P160" s="25"/>
      <c r="Q160" s="25"/>
      <c r="R160" s="25"/>
      <c r="S160" s="25"/>
      <c r="T160" s="59" t="s">
        <v>127</v>
      </c>
      <c r="U160" s="25"/>
      <c r="V160" s="5"/>
    </row>
    <row r="161" spans="1:22" ht="15.6" x14ac:dyDescent="0.3">
      <c r="A161" s="24"/>
      <c r="B161" s="25"/>
      <c r="C161" s="25"/>
      <c r="D161" s="25"/>
      <c r="E161" s="25"/>
      <c r="F161" s="25"/>
      <c r="G161" s="25"/>
      <c r="H161" s="25"/>
      <c r="I161" s="25"/>
      <c r="J161" s="25"/>
      <c r="K161" s="25"/>
      <c r="L161" s="25"/>
      <c r="M161" s="25"/>
      <c r="N161" s="25"/>
      <c r="O161" s="25"/>
      <c r="P161" s="25"/>
      <c r="Q161" s="25"/>
      <c r="R161" s="25"/>
      <c r="S161" s="25"/>
      <c r="T161" s="61"/>
      <c r="U161" s="25"/>
      <c r="V161" s="5"/>
    </row>
    <row r="162" spans="1:22" ht="15.6" x14ac:dyDescent="0.3">
      <c r="A162" s="6"/>
      <c r="B162" s="120" t="s">
        <v>55</v>
      </c>
      <c r="C162" s="8"/>
      <c r="D162" s="8"/>
      <c r="E162" s="8"/>
      <c r="F162" s="8"/>
      <c r="G162" s="8"/>
      <c r="H162" s="8"/>
      <c r="I162" s="8"/>
      <c r="J162" s="8"/>
      <c r="K162" s="8"/>
      <c r="L162" s="8"/>
      <c r="M162" s="8"/>
      <c r="N162" s="8"/>
      <c r="O162" s="8"/>
      <c r="P162" s="8"/>
      <c r="Q162" s="8"/>
      <c r="R162" s="8"/>
      <c r="S162" s="8"/>
      <c r="T162" s="63"/>
      <c r="U162" s="8"/>
      <c r="V162" s="5"/>
    </row>
    <row r="163" spans="1:22" ht="15.6" x14ac:dyDescent="0.3">
      <c r="A163" s="24"/>
      <c r="B163" s="25" t="s">
        <v>56</v>
      </c>
      <c r="C163" s="25"/>
      <c r="D163" s="25"/>
      <c r="E163" s="25"/>
      <c r="F163" s="25"/>
      <c r="G163" s="25"/>
      <c r="H163" s="25"/>
      <c r="I163" s="25"/>
      <c r="J163" s="25"/>
      <c r="K163" s="25"/>
      <c r="L163" s="25"/>
      <c r="M163" s="25"/>
      <c r="N163" s="25"/>
      <c r="O163" s="25"/>
      <c r="P163" s="25"/>
      <c r="Q163" s="25"/>
      <c r="R163" s="25"/>
      <c r="S163" s="25"/>
      <c r="T163" s="53">
        <v>0</v>
      </c>
      <c r="U163" s="25"/>
      <c r="V163" s="5"/>
    </row>
    <row r="164" spans="1:22" ht="15.6" x14ac:dyDescent="0.3">
      <c r="A164" s="24"/>
      <c r="B164" s="25" t="s">
        <v>57</v>
      </c>
      <c r="C164" s="25"/>
      <c r="D164" s="25"/>
      <c r="E164" s="25"/>
      <c r="F164" s="25"/>
      <c r="G164" s="25"/>
      <c r="H164" s="25"/>
      <c r="I164" s="25"/>
      <c r="J164" s="25"/>
      <c r="K164" s="25"/>
      <c r="L164" s="25"/>
      <c r="M164" s="25"/>
      <c r="N164" s="25"/>
      <c r="O164" s="25"/>
      <c r="P164" s="25"/>
      <c r="Q164" s="25"/>
      <c r="R164" s="25"/>
      <c r="S164" s="25"/>
      <c r="T164" s="53">
        <f>-T113</f>
        <v>70</v>
      </c>
      <c r="U164" s="25"/>
      <c r="V164" s="5"/>
    </row>
    <row r="165" spans="1:22" ht="15.6" x14ac:dyDescent="0.3">
      <c r="A165" s="24"/>
      <c r="B165" s="25" t="s">
        <v>58</v>
      </c>
      <c r="C165" s="25"/>
      <c r="D165" s="25"/>
      <c r="E165" s="25"/>
      <c r="F165" s="25"/>
      <c r="G165" s="25"/>
      <c r="H165" s="25"/>
      <c r="I165" s="25"/>
      <c r="J165" s="25"/>
      <c r="K165" s="25"/>
      <c r="L165" s="25"/>
      <c r="M165" s="25"/>
      <c r="N165" s="25"/>
      <c r="O165" s="25"/>
      <c r="P165" s="25"/>
      <c r="Q165" s="25"/>
      <c r="R165" s="25"/>
      <c r="S165" s="25"/>
      <c r="T165" s="53">
        <f>T164+T163</f>
        <v>70</v>
      </c>
      <c r="U165" s="25"/>
      <c r="V165" s="5"/>
    </row>
    <row r="166" spans="1:22" ht="15.6" x14ac:dyDescent="0.3">
      <c r="A166" s="24"/>
      <c r="B166" s="25" t="s">
        <v>309</v>
      </c>
      <c r="C166" s="25"/>
      <c r="D166" s="25"/>
      <c r="E166" s="25"/>
      <c r="F166" s="25"/>
      <c r="G166" s="25"/>
      <c r="H166" s="25"/>
      <c r="I166" s="25"/>
      <c r="J166" s="25"/>
      <c r="K166" s="25"/>
      <c r="L166" s="25"/>
      <c r="M166" s="25"/>
      <c r="N166" s="25"/>
      <c r="O166" s="25"/>
      <c r="P166" s="25"/>
      <c r="Q166" s="25"/>
      <c r="R166" s="25"/>
      <c r="S166" s="25"/>
      <c r="T166" s="53">
        <f>T113</f>
        <v>-70</v>
      </c>
      <c r="U166" s="25"/>
      <c r="V166" s="5"/>
    </row>
    <row r="167" spans="1:22" ht="15.6" x14ac:dyDescent="0.3">
      <c r="A167" s="24"/>
      <c r="B167" s="25" t="s">
        <v>59</v>
      </c>
      <c r="C167" s="25"/>
      <c r="D167" s="25"/>
      <c r="E167" s="25"/>
      <c r="F167" s="25"/>
      <c r="G167" s="25"/>
      <c r="H167" s="25"/>
      <c r="I167" s="25"/>
      <c r="J167" s="25"/>
      <c r="K167" s="25"/>
      <c r="L167" s="25"/>
      <c r="M167" s="25"/>
      <c r="N167" s="25"/>
      <c r="O167" s="25"/>
      <c r="P167" s="25"/>
      <c r="Q167" s="25"/>
      <c r="R167" s="25"/>
      <c r="S167" s="25"/>
      <c r="T167" s="53">
        <f>T165+T166</f>
        <v>0</v>
      </c>
      <c r="U167" s="25"/>
      <c r="V167" s="5"/>
    </row>
    <row r="168" spans="1:22" ht="15.6" x14ac:dyDescent="0.3">
      <c r="A168" s="24"/>
      <c r="B168" s="25" t="s">
        <v>278</v>
      </c>
      <c r="C168" s="25"/>
      <c r="D168" s="25"/>
      <c r="E168" s="25"/>
      <c r="F168" s="25"/>
      <c r="G168" s="25"/>
      <c r="H168" s="25"/>
      <c r="I168" s="25"/>
      <c r="J168" s="25"/>
      <c r="K168" s="25"/>
      <c r="L168" s="25"/>
      <c r="M168" s="25"/>
      <c r="N168" s="25"/>
      <c r="O168" s="25"/>
      <c r="P168" s="25"/>
      <c r="Q168" s="25"/>
      <c r="R168" s="25"/>
      <c r="S168" s="25"/>
      <c r="T168" s="53">
        <f>-T97</f>
        <v>247</v>
      </c>
      <c r="U168" s="25"/>
      <c r="V168" s="5"/>
    </row>
    <row r="169" spans="1:22" ht="16.2" thickBot="1" x14ac:dyDescent="0.35">
      <c r="A169" s="24"/>
      <c r="B169" s="25"/>
      <c r="C169" s="25"/>
      <c r="D169" s="25"/>
      <c r="E169" s="25"/>
      <c r="F169" s="25"/>
      <c r="G169" s="25"/>
      <c r="H169" s="25"/>
      <c r="I169" s="25"/>
      <c r="J169" s="25"/>
      <c r="K169" s="25"/>
      <c r="L169" s="25"/>
      <c r="M169" s="25"/>
      <c r="N169" s="25"/>
      <c r="O169" s="25"/>
      <c r="P169" s="25"/>
      <c r="Q169" s="25"/>
      <c r="R169" s="25"/>
      <c r="S169" s="25"/>
      <c r="T169" s="61"/>
      <c r="U169" s="25"/>
      <c r="V169" s="5"/>
    </row>
    <row r="170" spans="1:22" ht="15.6" x14ac:dyDescent="0.3">
      <c r="A170" s="2"/>
      <c r="B170" s="4"/>
      <c r="C170" s="4"/>
      <c r="D170" s="4"/>
      <c r="E170" s="4"/>
      <c r="F170" s="4"/>
      <c r="G170" s="4"/>
      <c r="H170" s="4"/>
      <c r="I170" s="4"/>
      <c r="J170" s="4"/>
      <c r="K170" s="4"/>
      <c r="L170" s="4"/>
      <c r="M170" s="4"/>
      <c r="N170" s="4"/>
      <c r="O170" s="4"/>
      <c r="P170" s="4"/>
      <c r="Q170" s="4"/>
      <c r="R170" s="4"/>
      <c r="S170" s="4"/>
      <c r="T170" s="50"/>
      <c r="U170" s="4"/>
      <c r="V170" s="5"/>
    </row>
    <row r="171" spans="1:22" ht="15.6" x14ac:dyDescent="0.3">
      <c r="A171" s="6"/>
      <c r="B171" s="120" t="s">
        <v>60</v>
      </c>
      <c r="C171" s="8"/>
      <c r="D171" s="8"/>
      <c r="E171" s="8"/>
      <c r="F171" s="8"/>
      <c r="G171" s="8"/>
      <c r="H171" s="8"/>
      <c r="I171" s="8"/>
      <c r="J171" s="8"/>
      <c r="K171" s="8"/>
      <c r="L171" s="8"/>
      <c r="M171" s="8"/>
      <c r="N171" s="8"/>
      <c r="O171" s="8"/>
      <c r="P171" s="8"/>
      <c r="Q171" s="8"/>
      <c r="R171" s="8"/>
      <c r="S171" s="8"/>
      <c r="T171" s="52"/>
      <c r="U171" s="8"/>
      <c r="V171" s="5"/>
    </row>
    <row r="172" spans="1:22" ht="15.6" x14ac:dyDescent="0.3">
      <c r="A172" s="6"/>
      <c r="B172" s="21"/>
      <c r="C172" s="8"/>
      <c r="D172" s="8"/>
      <c r="E172" s="8"/>
      <c r="F172" s="8"/>
      <c r="G172" s="8"/>
      <c r="H172" s="8"/>
      <c r="I172" s="8"/>
      <c r="J172" s="8"/>
      <c r="K172" s="8"/>
      <c r="L172" s="8"/>
      <c r="M172" s="8"/>
      <c r="N172" s="8"/>
      <c r="O172" s="8"/>
      <c r="P172" s="8"/>
      <c r="Q172" s="8"/>
      <c r="R172" s="8"/>
      <c r="S172" s="8"/>
      <c r="T172" s="52"/>
      <c r="U172" s="8"/>
      <c r="V172" s="5"/>
    </row>
    <row r="173" spans="1:22" ht="15.6" x14ac:dyDescent="0.3">
      <c r="A173" s="24"/>
      <c r="B173" s="25" t="s">
        <v>61</v>
      </c>
      <c r="C173" s="25"/>
      <c r="D173" s="25"/>
      <c r="E173" s="25"/>
      <c r="F173" s="25"/>
      <c r="G173" s="25"/>
      <c r="H173" s="25"/>
      <c r="I173" s="25"/>
      <c r="J173" s="25"/>
      <c r="K173" s="25"/>
      <c r="L173" s="25"/>
      <c r="M173" s="25"/>
      <c r="N173" s="25"/>
      <c r="O173" s="25"/>
      <c r="P173" s="25"/>
      <c r="Q173" s="25"/>
      <c r="R173" s="25"/>
      <c r="S173" s="25"/>
      <c r="T173" s="53">
        <f>T69</f>
        <v>334058</v>
      </c>
      <c r="U173" s="25"/>
      <c r="V173" s="5"/>
    </row>
    <row r="174" spans="1:22" ht="15.6" x14ac:dyDescent="0.3">
      <c r="A174" s="24"/>
      <c r="B174" s="25" t="s">
        <v>62</v>
      </c>
      <c r="C174" s="25"/>
      <c r="D174" s="25"/>
      <c r="E174" s="25"/>
      <c r="F174" s="25"/>
      <c r="G174" s="25"/>
      <c r="H174" s="25"/>
      <c r="I174" s="25"/>
      <c r="J174" s="25"/>
      <c r="K174" s="25"/>
      <c r="L174" s="25"/>
      <c r="M174" s="25"/>
      <c r="N174" s="25"/>
      <c r="O174" s="25"/>
      <c r="P174" s="25"/>
      <c r="Q174" s="25"/>
      <c r="R174" s="25"/>
      <c r="S174" s="25"/>
      <c r="T174" s="53">
        <f>T82</f>
        <v>334058</v>
      </c>
      <c r="U174" s="25"/>
      <c r="V174" s="5"/>
    </row>
    <row r="175" spans="1:22" ht="16.2" thickBot="1" x14ac:dyDescent="0.35">
      <c r="A175" s="24"/>
      <c r="B175" s="25"/>
      <c r="C175" s="25"/>
      <c r="D175" s="25"/>
      <c r="E175" s="25"/>
      <c r="F175" s="25"/>
      <c r="G175" s="25"/>
      <c r="H175" s="25"/>
      <c r="I175" s="25"/>
      <c r="J175" s="25"/>
      <c r="K175" s="25"/>
      <c r="L175" s="25"/>
      <c r="M175" s="25"/>
      <c r="N175" s="25"/>
      <c r="O175" s="25"/>
      <c r="P175" s="25"/>
      <c r="Q175" s="25"/>
      <c r="R175" s="25"/>
      <c r="S175" s="25"/>
      <c r="T175" s="61"/>
      <c r="U175" s="25"/>
      <c r="V175" s="5"/>
    </row>
    <row r="176" spans="1:22" ht="15.6" x14ac:dyDescent="0.3">
      <c r="A176" s="2"/>
      <c r="B176" s="4"/>
      <c r="C176" s="4"/>
      <c r="D176" s="4"/>
      <c r="E176" s="4"/>
      <c r="F176" s="4"/>
      <c r="G176" s="4"/>
      <c r="H176" s="4"/>
      <c r="I176" s="4"/>
      <c r="J176" s="4"/>
      <c r="K176" s="4"/>
      <c r="L176" s="4"/>
      <c r="M176" s="4"/>
      <c r="N176" s="4"/>
      <c r="O176" s="4"/>
      <c r="P176" s="4"/>
      <c r="Q176" s="4"/>
      <c r="R176" s="4"/>
      <c r="S176" s="4"/>
      <c r="T176" s="50"/>
      <c r="U176" s="4"/>
      <c r="V176" s="5"/>
    </row>
    <row r="177" spans="1:22" ht="15.6" x14ac:dyDescent="0.3">
      <c r="A177" s="6"/>
      <c r="B177" s="120" t="s">
        <v>63</v>
      </c>
      <c r="C177" s="118"/>
      <c r="D177" s="118"/>
      <c r="E177" s="118"/>
      <c r="F177" s="118"/>
      <c r="G177" s="118"/>
      <c r="H177" s="121"/>
      <c r="I177" s="121"/>
      <c r="J177" s="121"/>
      <c r="K177" s="121"/>
      <c r="L177" s="121"/>
      <c r="M177" s="121"/>
      <c r="N177" s="121"/>
      <c r="O177" s="121"/>
      <c r="P177" s="121"/>
      <c r="Q177" s="121" t="s">
        <v>107</v>
      </c>
      <c r="R177" s="121" t="s">
        <v>234</v>
      </c>
      <c r="S177" s="112"/>
      <c r="T177" s="122" t="s">
        <v>123</v>
      </c>
      <c r="U177" s="10"/>
      <c r="V177" s="5"/>
    </row>
    <row r="178" spans="1:22" ht="15.6" x14ac:dyDescent="0.3">
      <c r="A178" s="24"/>
      <c r="B178" s="25" t="s">
        <v>64</v>
      </c>
      <c r="C178" s="25"/>
      <c r="D178" s="25"/>
      <c r="E178" s="25"/>
      <c r="F178" s="25"/>
      <c r="G178" s="25"/>
      <c r="H178" s="25"/>
      <c r="I178" s="25"/>
      <c r="J178" s="25"/>
      <c r="K178" s="25"/>
      <c r="L178" s="25"/>
      <c r="M178" s="25"/>
      <c r="N178" s="25"/>
      <c r="O178" s="25"/>
      <c r="P178" s="25"/>
      <c r="Q178" s="53">
        <v>112000</v>
      </c>
      <c r="R178" s="40"/>
      <c r="S178" s="25"/>
      <c r="T178" s="53"/>
      <c r="U178" s="25"/>
      <c r="V178" s="5"/>
    </row>
    <row r="179" spans="1:22" ht="15.6" x14ac:dyDescent="0.3">
      <c r="A179" s="24"/>
      <c r="B179" s="25" t="s">
        <v>65</v>
      </c>
      <c r="C179" s="25"/>
      <c r="D179" s="25"/>
      <c r="E179" s="25"/>
      <c r="F179" s="25"/>
      <c r="G179" s="25"/>
      <c r="H179" s="25"/>
      <c r="I179" s="25"/>
      <c r="J179" s="25"/>
      <c r="K179" s="25"/>
      <c r="L179" s="25"/>
      <c r="M179" s="25"/>
      <c r="N179" s="25"/>
      <c r="O179" s="25"/>
      <c r="P179" s="25"/>
      <c r="Q179" s="53">
        <f>+'July 09'!Q180</f>
        <v>43585</v>
      </c>
      <c r="R179" s="53">
        <f>+'July 09'!R180</f>
        <v>2407</v>
      </c>
      <c r="S179" s="25"/>
      <c r="T179" s="53">
        <f>Q179+R179</f>
        <v>45992</v>
      </c>
      <c r="U179" s="25"/>
      <c r="V179" s="5"/>
    </row>
    <row r="180" spans="1:22" ht="15.6" x14ac:dyDescent="0.3">
      <c r="A180" s="24"/>
      <c r="B180" s="25" t="s">
        <v>66</v>
      </c>
      <c r="C180" s="25"/>
      <c r="D180" s="25"/>
      <c r="E180" s="25"/>
      <c r="F180" s="25"/>
      <c r="G180" s="25"/>
      <c r="H180" s="25"/>
      <c r="I180" s="25"/>
      <c r="J180" s="25"/>
      <c r="K180" s="25"/>
      <c r="L180" s="25"/>
      <c r="M180" s="25"/>
      <c r="N180" s="25"/>
      <c r="O180" s="25"/>
      <c r="P180" s="25"/>
      <c r="Q180" s="34">
        <f>577+277</f>
        <v>854</v>
      </c>
      <c r="R180" s="34">
        <v>10</v>
      </c>
      <c r="S180" s="25"/>
      <c r="T180" s="53">
        <f>Q180+R180</f>
        <v>864</v>
      </c>
      <c r="U180" s="25"/>
      <c r="V180" s="5"/>
    </row>
    <row r="181" spans="1:22" ht="15.6" x14ac:dyDescent="0.3">
      <c r="A181" s="24"/>
      <c r="B181" s="25" t="s">
        <v>67</v>
      </c>
      <c r="C181" s="25"/>
      <c r="D181" s="25"/>
      <c r="E181" s="25"/>
      <c r="F181" s="25"/>
      <c r="G181" s="25"/>
      <c r="H181" s="25"/>
      <c r="I181" s="25"/>
      <c r="J181" s="25"/>
      <c r="K181" s="25"/>
      <c r="L181" s="25"/>
      <c r="M181" s="25"/>
      <c r="N181" s="25"/>
      <c r="O181" s="25"/>
      <c r="P181" s="25"/>
      <c r="Q181" s="53">
        <f>Q179+Q180</f>
        <v>44439</v>
      </c>
      <c r="R181" s="53">
        <f>R180+R179</f>
        <v>2417</v>
      </c>
      <c r="S181" s="25"/>
      <c r="T181" s="53">
        <f>Q181+R181</f>
        <v>46856</v>
      </c>
      <c r="U181" s="25"/>
      <c r="V181" s="5"/>
    </row>
    <row r="182" spans="1:22" ht="15.6" x14ac:dyDescent="0.3">
      <c r="A182" s="24"/>
      <c r="B182" s="25" t="s">
        <v>68</v>
      </c>
      <c r="C182" s="25"/>
      <c r="D182" s="25"/>
      <c r="E182" s="25"/>
      <c r="F182" s="25"/>
      <c r="G182" s="25"/>
      <c r="H182" s="25"/>
      <c r="I182" s="25"/>
      <c r="J182" s="25"/>
      <c r="K182" s="25"/>
      <c r="L182" s="25"/>
      <c r="M182" s="25"/>
      <c r="N182" s="25"/>
      <c r="O182" s="25"/>
      <c r="P182" s="25"/>
      <c r="Q182" s="53">
        <f>Q178-Q181-R181</f>
        <v>65144</v>
      </c>
      <c r="R182" s="40"/>
      <c r="S182" s="25"/>
      <c r="T182" s="53"/>
      <c r="U182" s="25"/>
      <c r="V182" s="5"/>
    </row>
    <row r="183" spans="1:22" ht="16.2" thickBot="1" x14ac:dyDescent="0.35">
      <c r="A183" s="24"/>
      <c r="B183" s="25"/>
      <c r="C183" s="25"/>
      <c r="D183" s="25"/>
      <c r="E183" s="25"/>
      <c r="F183" s="25"/>
      <c r="G183" s="25"/>
      <c r="H183" s="25"/>
      <c r="I183" s="25"/>
      <c r="J183" s="25"/>
      <c r="K183" s="25"/>
      <c r="L183" s="25"/>
      <c r="M183" s="25"/>
      <c r="N183" s="25"/>
      <c r="O183" s="25"/>
      <c r="P183" s="25"/>
      <c r="Q183" s="25"/>
      <c r="R183" s="25"/>
      <c r="S183" s="25"/>
      <c r="T183" s="61"/>
      <c r="U183" s="25"/>
      <c r="V183" s="5"/>
    </row>
    <row r="184" spans="1:22" ht="15.6" x14ac:dyDescent="0.3">
      <c r="A184" s="2"/>
      <c r="B184" s="4"/>
      <c r="C184" s="4"/>
      <c r="D184" s="4"/>
      <c r="E184" s="4"/>
      <c r="F184" s="4"/>
      <c r="G184" s="4"/>
      <c r="H184" s="4"/>
      <c r="I184" s="4"/>
      <c r="J184" s="4"/>
      <c r="K184" s="4"/>
      <c r="L184" s="4"/>
      <c r="M184" s="4"/>
      <c r="N184" s="4"/>
      <c r="O184" s="4"/>
      <c r="P184" s="4"/>
      <c r="Q184" s="4"/>
      <c r="R184" s="4"/>
      <c r="S184" s="4"/>
      <c r="T184" s="50"/>
      <c r="U184" s="4"/>
      <c r="V184" s="5"/>
    </row>
    <row r="185" spans="1:22" ht="15.6" x14ac:dyDescent="0.3">
      <c r="A185" s="6"/>
      <c r="B185" s="120" t="s">
        <v>69</v>
      </c>
      <c r="C185" s="8"/>
      <c r="D185" s="8"/>
      <c r="E185" s="8"/>
      <c r="F185" s="8"/>
      <c r="G185" s="8"/>
      <c r="H185" s="8"/>
      <c r="I185" s="8"/>
      <c r="J185" s="8"/>
      <c r="K185" s="8"/>
      <c r="L185" s="8"/>
      <c r="M185" s="8"/>
      <c r="N185" s="8"/>
      <c r="O185" s="8"/>
      <c r="P185" s="8"/>
      <c r="Q185" s="8"/>
      <c r="R185" s="8"/>
      <c r="S185" s="8"/>
      <c r="T185" s="65"/>
      <c r="U185" s="8"/>
      <c r="V185" s="5"/>
    </row>
    <row r="186" spans="1:22" ht="15.6" x14ac:dyDescent="0.3">
      <c r="A186" s="24"/>
      <c r="B186" s="25" t="s">
        <v>70</v>
      </c>
      <c r="C186" s="25"/>
      <c r="D186" s="25"/>
      <c r="E186" s="25"/>
      <c r="F186" s="25"/>
      <c r="G186" s="25"/>
      <c r="H186" s="25"/>
      <c r="I186" s="25"/>
      <c r="J186" s="25"/>
      <c r="K186" s="25"/>
      <c r="L186" s="25"/>
      <c r="M186" s="25"/>
      <c r="N186" s="25"/>
      <c r="O186" s="25"/>
      <c r="P186" s="25"/>
      <c r="Q186" s="25"/>
      <c r="R186" s="25"/>
      <c r="S186" s="25"/>
      <c r="T186" s="59">
        <f>(T98+T100+T101+T102+T103+T104)/-(T105+T106+T107)</f>
        <v>2.5293159609120521</v>
      </c>
      <c r="U186" s="25" t="s">
        <v>124</v>
      </c>
      <c r="V186" s="5"/>
    </row>
    <row r="187" spans="1:22" ht="15.6" x14ac:dyDescent="0.3">
      <c r="A187" s="24"/>
      <c r="B187" s="25" t="s">
        <v>71</v>
      </c>
      <c r="C187" s="25"/>
      <c r="D187" s="25"/>
      <c r="E187" s="25"/>
      <c r="F187" s="25"/>
      <c r="G187" s="25"/>
      <c r="H187" s="25"/>
      <c r="I187" s="25"/>
      <c r="J187" s="25"/>
      <c r="K187" s="25"/>
      <c r="L187" s="25"/>
      <c r="M187" s="25"/>
      <c r="N187" s="25"/>
      <c r="O187" s="25"/>
      <c r="P187" s="25"/>
      <c r="Q187" s="25"/>
      <c r="R187" s="25"/>
      <c r="S187" s="25"/>
      <c r="T187" s="66">
        <v>1.43</v>
      </c>
      <c r="U187" s="25" t="s">
        <v>124</v>
      </c>
      <c r="V187" s="5"/>
    </row>
    <row r="188" spans="1:22" ht="15.6" x14ac:dyDescent="0.3">
      <c r="A188" s="24"/>
      <c r="B188" s="25" t="s">
        <v>72</v>
      </c>
      <c r="C188" s="25"/>
      <c r="D188" s="25"/>
      <c r="E188" s="25"/>
      <c r="F188" s="25"/>
      <c r="G188" s="25"/>
      <c r="H188" s="25"/>
      <c r="I188" s="25"/>
      <c r="J188" s="25"/>
      <c r="K188" s="25"/>
      <c r="L188" s="25"/>
      <c r="M188" s="25"/>
      <c r="N188" s="25"/>
      <c r="O188" s="25"/>
      <c r="P188" s="25"/>
      <c r="Q188" s="25"/>
      <c r="R188" s="25"/>
      <c r="S188" s="25"/>
      <c r="T188" s="59">
        <f>(T98+T100+T101+T102+T103+T104+T105+T106+T107)/-(T108+T109)</f>
        <v>12.863013698630137</v>
      </c>
      <c r="U188" s="25" t="s">
        <v>124</v>
      </c>
      <c r="V188" s="5"/>
    </row>
    <row r="189" spans="1:22" ht="15.6" x14ac:dyDescent="0.3">
      <c r="A189" s="24"/>
      <c r="B189" s="25" t="s">
        <v>73</v>
      </c>
      <c r="C189" s="25"/>
      <c r="D189" s="25"/>
      <c r="E189" s="25"/>
      <c r="F189" s="25"/>
      <c r="G189" s="25"/>
      <c r="H189" s="25"/>
      <c r="I189" s="25"/>
      <c r="J189" s="25"/>
      <c r="K189" s="25"/>
      <c r="L189" s="25"/>
      <c r="M189" s="25"/>
      <c r="N189" s="25"/>
      <c r="O189" s="25"/>
      <c r="P189" s="25"/>
      <c r="Q189" s="25"/>
      <c r="R189" s="25"/>
      <c r="S189" s="25"/>
      <c r="T189" s="67">
        <v>6.96</v>
      </c>
      <c r="U189" s="25" t="s">
        <v>124</v>
      </c>
      <c r="V189" s="5"/>
    </row>
    <row r="190" spans="1:22" ht="15.6" x14ac:dyDescent="0.3">
      <c r="A190" s="24"/>
      <c r="B190" s="25" t="s">
        <v>243</v>
      </c>
      <c r="C190" s="25"/>
      <c r="D190" s="25"/>
      <c r="E190" s="25"/>
      <c r="F190" s="25"/>
      <c r="G190" s="25"/>
      <c r="H190" s="25"/>
      <c r="I190" s="25"/>
      <c r="J190" s="25"/>
      <c r="K190" s="25"/>
      <c r="L190" s="25"/>
      <c r="M190" s="25"/>
      <c r="N190" s="25"/>
      <c r="O190" s="25"/>
      <c r="P190" s="25"/>
      <c r="Q190" s="25"/>
      <c r="R190" s="25"/>
      <c r="S190" s="25"/>
      <c r="T190" s="59">
        <f>(T98+T100+T101+T102+T103+T104+T105+T106+T107+T108+T109)/-(T110+T111)</f>
        <v>5.4465408805031448</v>
      </c>
      <c r="U190" s="25" t="s">
        <v>124</v>
      </c>
      <c r="V190" s="5"/>
    </row>
    <row r="191" spans="1:22" ht="15.6" x14ac:dyDescent="0.3">
      <c r="A191" s="24"/>
      <c r="B191" s="25" t="s">
        <v>244</v>
      </c>
      <c r="C191" s="25"/>
      <c r="D191" s="25"/>
      <c r="E191" s="25"/>
      <c r="F191" s="25"/>
      <c r="G191" s="25"/>
      <c r="H191" s="25"/>
      <c r="I191" s="25"/>
      <c r="J191" s="25"/>
      <c r="K191" s="25"/>
      <c r="L191" s="25"/>
      <c r="M191" s="25"/>
      <c r="N191" s="25"/>
      <c r="O191" s="25"/>
      <c r="P191" s="25"/>
      <c r="Q191" s="25"/>
      <c r="R191" s="25"/>
      <c r="S191" s="25"/>
      <c r="T191" s="67">
        <v>3.21</v>
      </c>
      <c r="U191" s="25" t="s">
        <v>124</v>
      </c>
      <c r="V191" s="5"/>
    </row>
    <row r="192" spans="1:22"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5"/>
    </row>
    <row r="193" spans="1:22"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5"/>
    </row>
    <row r="194" spans="1:22" ht="15.6" x14ac:dyDescent="0.3">
      <c r="A194" s="6"/>
      <c r="B194" s="8"/>
      <c r="C194" s="8"/>
      <c r="D194" s="8"/>
      <c r="E194" s="8"/>
      <c r="F194" s="8"/>
      <c r="G194" s="8"/>
      <c r="H194" s="8"/>
      <c r="I194" s="8"/>
      <c r="J194" s="8"/>
      <c r="K194" s="8"/>
      <c r="L194" s="8"/>
      <c r="M194" s="8"/>
      <c r="N194" s="8"/>
      <c r="O194" s="8"/>
      <c r="P194" s="8"/>
      <c r="Q194" s="8"/>
      <c r="R194" s="8"/>
      <c r="S194" s="8"/>
      <c r="T194" s="8"/>
      <c r="U194" s="8"/>
      <c r="V194" s="5"/>
    </row>
    <row r="195" spans="1:22" ht="18" thickBot="1" x14ac:dyDescent="0.35">
      <c r="A195" s="102"/>
      <c r="B195" s="103" t="str">
        <f>B134</f>
        <v>PM9 INVESTOR REPORT QUARTER ENDING OCTOBER 2009</v>
      </c>
      <c r="C195" s="162"/>
      <c r="D195" s="162"/>
      <c r="E195" s="162"/>
      <c r="F195" s="162"/>
      <c r="G195" s="162"/>
      <c r="H195" s="162"/>
      <c r="I195" s="162"/>
      <c r="J195" s="162"/>
      <c r="K195" s="162"/>
      <c r="L195" s="162"/>
      <c r="M195" s="162"/>
      <c r="N195" s="162"/>
      <c r="O195" s="162"/>
      <c r="P195" s="162"/>
      <c r="Q195" s="162"/>
      <c r="R195" s="162"/>
      <c r="S195" s="162"/>
      <c r="T195" s="162"/>
      <c r="U195" s="163"/>
      <c r="V195" s="5"/>
    </row>
    <row r="196" spans="1:22" ht="15.6" x14ac:dyDescent="0.3">
      <c r="A196" s="68"/>
      <c r="B196" s="60" t="s">
        <v>74</v>
      </c>
      <c r="C196" s="69"/>
      <c r="D196" s="69"/>
      <c r="E196" s="69"/>
      <c r="F196" s="69"/>
      <c r="G196" s="70"/>
      <c r="H196" s="70"/>
      <c r="I196" s="70"/>
      <c r="J196" s="70"/>
      <c r="K196" s="70"/>
      <c r="L196" s="70"/>
      <c r="M196" s="70"/>
      <c r="N196" s="70"/>
      <c r="O196" s="70"/>
      <c r="P196" s="70"/>
      <c r="Q196" s="70"/>
      <c r="R196" s="71">
        <v>40116</v>
      </c>
      <c r="S196" s="4"/>
      <c r="T196" s="4"/>
      <c r="U196" s="4"/>
      <c r="V196" s="5"/>
    </row>
    <row r="197" spans="1:22" ht="15.6" x14ac:dyDescent="0.3">
      <c r="A197" s="72"/>
      <c r="B197" s="73"/>
      <c r="C197" s="74"/>
      <c r="D197" s="74"/>
      <c r="E197" s="74"/>
      <c r="F197" s="74"/>
      <c r="G197" s="75"/>
      <c r="H197" s="75"/>
      <c r="I197" s="75"/>
      <c r="J197" s="75"/>
      <c r="K197" s="75"/>
      <c r="L197" s="75"/>
      <c r="M197" s="75"/>
      <c r="N197" s="75"/>
      <c r="O197" s="75"/>
      <c r="P197" s="75"/>
      <c r="Q197" s="75"/>
      <c r="R197" s="75"/>
      <c r="S197" s="8"/>
      <c r="T197" s="8"/>
      <c r="U197" s="8"/>
      <c r="V197" s="5"/>
    </row>
    <row r="198" spans="1:22" ht="15.6" x14ac:dyDescent="0.3">
      <c r="A198" s="76"/>
      <c r="B198" s="77" t="s">
        <v>75</v>
      </c>
      <c r="C198" s="78"/>
      <c r="D198" s="78"/>
      <c r="E198" s="78"/>
      <c r="F198" s="78"/>
      <c r="G198" s="64"/>
      <c r="H198" s="64"/>
      <c r="I198" s="64"/>
      <c r="J198" s="64"/>
      <c r="K198" s="64"/>
      <c r="L198" s="64"/>
      <c r="M198" s="64"/>
      <c r="N198" s="64"/>
      <c r="O198" s="64"/>
      <c r="P198" s="64"/>
      <c r="Q198" s="64"/>
      <c r="R198" s="79">
        <v>5.8209999999999998E-2</v>
      </c>
      <c r="S198" s="25"/>
      <c r="T198" s="25"/>
      <c r="U198" s="25"/>
      <c r="V198" s="5"/>
    </row>
    <row r="199" spans="1:22" ht="15.6" x14ac:dyDescent="0.3">
      <c r="A199" s="76"/>
      <c r="B199" s="77" t="s">
        <v>164</v>
      </c>
      <c r="C199" s="78"/>
      <c r="D199" s="78"/>
      <c r="E199" s="78"/>
      <c r="F199" s="78"/>
      <c r="G199" s="64"/>
      <c r="H199" s="64"/>
      <c r="I199" s="64"/>
      <c r="J199" s="64"/>
      <c r="K199" s="64"/>
      <c r="L199" s="64"/>
      <c r="M199" s="64"/>
      <c r="N199" s="64"/>
      <c r="O199" s="64"/>
      <c r="P199" s="64"/>
      <c r="Q199" s="64"/>
      <c r="R199" s="39">
        <f>'Oct 05'!R193</f>
        <v>4.8438496428571419E-2</v>
      </c>
      <c r="S199" s="25"/>
      <c r="T199" s="25"/>
      <c r="U199" s="25"/>
      <c r="V199" s="5"/>
    </row>
    <row r="200" spans="1:22" ht="15.6" x14ac:dyDescent="0.3">
      <c r="A200" s="76"/>
      <c r="B200" s="77" t="s">
        <v>76</v>
      </c>
      <c r="C200" s="78"/>
      <c r="D200" s="78"/>
      <c r="E200" s="78"/>
      <c r="F200" s="78"/>
      <c r="G200" s="64"/>
      <c r="H200" s="64"/>
      <c r="I200" s="64"/>
      <c r="J200" s="64"/>
      <c r="K200" s="64"/>
      <c r="L200" s="64"/>
      <c r="M200" s="64"/>
      <c r="N200" s="64"/>
      <c r="O200" s="64"/>
      <c r="P200" s="64"/>
      <c r="Q200" s="64"/>
      <c r="R200" s="79">
        <f>R198-R199</f>
        <v>9.7715035714285789E-3</v>
      </c>
      <c r="S200" s="25"/>
      <c r="T200" s="25"/>
      <c r="U200" s="25"/>
      <c r="V200" s="5"/>
    </row>
    <row r="201" spans="1:22" ht="15.6" x14ac:dyDescent="0.3">
      <c r="A201" s="76"/>
      <c r="B201" s="77" t="s">
        <v>77</v>
      </c>
      <c r="C201" s="78"/>
      <c r="D201" s="78"/>
      <c r="E201" s="78"/>
      <c r="F201" s="78"/>
      <c r="G201" s="64"/>
      <c r="H201" s="64"/>
      <c r="I201" s="64"/>
      <c r="J201" s="64"/>
      <c r="K201" s="64"/>
      <c r="L201" s="64"/>
      <c r="M201" s="64"/>
      <c r="N201" s="64"/>
      <c r="O201" s="64"/>
      <c r="P201" s="64"/>
      <c r="Q201" s="64"/>
      <c r="R201" s="79">
        <v>3.048E-2</v>
      </c>
      <c r="S201" s="25"/>
      <c r="T201" s="25"/>
      <c r="U201" s="25"/>
      <c r="V201" s="5"/>
    </row>
    <row r="202" spans="1:22" ht="15.6" x14ac:dyDescent="0.3">
      <c r="A202" s="76"/>
      <c r="B202" s="77" t="s">
        <v>257</v>
      </c>
      <c r="C202" s="78"/>
      <c r="D202" s="78"/>
      <c r="E202" s="78"/>
      <c r="F202" s="78"/>
      <c r="G202" s="64"/>
      <c r="H202" s="64"/>
      <c r="I202" s="64"/>
      <c r="J202" s="64"/>
      <c r="K202" s="64"/>
      <c r="L202" s="64"/>
      <c r="M202" s="64"/>
      <c r="N202" s="64"/>
      <c r="O202" s="64"/>
      <c r="P202" s="64"/>
      <c r="Q202" s="64"/>
      <c r="R202" s="79">
        <f>+T41</f>
        <v>1.0068714972800664E-2</v>
      </c>
      <c r="S202" s="25"/>
      <c r="T202" s="25"/>
      <c r="U202" s="25"/>
      <c r="V202" s="5"/>
    </row>
    <row r="203" spans="1:22" ht="15.6" x14ac:dyDescent="0.3">
      <c r="A203" s="76"/>
      <c r="B203" s="77" t="s">
        <v>78</v>
      </c>
      <c r="C203" s="78"/>
      <c r="D203" s="78"/>
      <c r="E203" s="78"/>
      <c r="F203" s="78"/>
      <c r="G203" s="64"/>
      <c r="H203" s="64"/>
      <c r="I203" s="64"/>
      <c r="J203" s="64"/>
      <c r="K203" s="64"/>
      <c r="L203" s="64"/>
      <c r="M203" s="64"/>
      <c r="N203" s="64"/>
      <c r="O203" s="64"/>
      <c r="P203" s="64"/>
      <c r="Q203" s="64"/>
      <c r="R203" s="79">
        <f>R201-R202</f>
        <v>2.0411285027199334E-2</v>
      </c>
      <c r="S203" s="25"/>
      <c r="T203" s="25"/>
      <c r="U203" s="25"/>
      <c r="V203" s="5"/>
    </row>
    <row r="204" spans="1:22" ht="15.6" x14ac:dyDescent="0.3">
      <c r="A204" s="76"/>
      <c r="B204" s="77" t="s">
        <v>268</v>
      </c>
      <c r="C204" s="78"/>
      <c r="D204" s="78"/>
      <c r="E204" s="78"/>
      <c r="F204" s="78"/>
      <c r="G204" s="64"/>
      <c r="H204" s="64"/>
      <c r="I204" s="64"/>
      <c r="J204" s="64"/>
      <c r="K204" s="64"/>
      <c r="L204" s="64"/>
      <c r="M204" s="64"/>
      <c r="N204" s="64"/>
      <c r="O204" s="64"/>
      <c r="P204" s="64"/>
      <c r="Q204" s="64"/>
      <c r="R204" s="79">
        <f>+T98/L69</f>
        <v>7.9952260217441649E-3</v>
      </c>
      <c r="S204" s="25"/>
      <c r="T204" s="25"/>
      <c r="U204" s="25"/>
      <c r="V204" s="5"/>
    </row>
    <row r="205" spans="1:22" ht="15.6" x14ac:dyDescent="0.3">
      <c r="A205" s="76"/>
      <c r="B205" s="77" t="s">
        <v>249</v>
      </c>
      <c r="C205" s="78"/>
      <c r="D205" s="78"/>
      <c r="E205" s="78"/>
      <c r="F205" s="78"/>
      <c r="G205" s="64"/>
      <c r="H205" s="64"/>
      <c r="I205" s="64"/>
      <c r="J205" s="64"/>
      <c r="K205" s="64"/>
      <c r="L205" s="64"/>
      <c r="M205" s="64"/>
      <c r="N205" s="64"/>
      <c r="O205" s="64"/>
      <c r="P205" s="64"/>
      <c r="Q205" s="64"/>
      <c r="R205" s="132">
        <v>51622</v>
      </c>
      <c r="S205" s="25"/>
      <c r="T205" s="25"/>
      <c r="U205" s="25"/>
      <c r="V205" s="5"/>
    </row>
    <row r="206" spans="1:22" ht="15.6" x14ac:dyDescent="0.3">
      <c r="A206" s="76"/>
      <c r="B206" s="77" t="s">
        <v>250</v>
      </c>
      <c r="C206" s="78"/>
      <c r="D206" s="78"/>
      <c r="E206" s="78"/>
      <c r="F206" s="78"/>
      <c r="G206" s="64"/>
      <c r="H206" s="64"/>
      <c r="I206" s="64"/>
      <c r="J206" s="64"/>
      <c r="K206" s="64"/>
      <c r="L206" s="64"/>
      <c r="M206" s="64"/>
      <c r="N206" s="64"/>
      <c r="O206" s="64"/>
      <c r="P206" s="64"/>
      <c r="Q206" s="64"/>
      <c r="R206" s="132">
        <v>51622</v>
      </c>
      <c r="S206" s="25"/>
      <c r="T206" s="25"/>
      <c r="U206" s="25"/>
      <c r="V206" s="5"/>
    </row>
    <row r="207" spans="1:22" ht="15.6" x14ac:dyDescent="0.3">
      <c r="A207" s="76"/>
      <c r="B207" s="77" t="s">
        <v>251</v>
      </c>
      <c r="C207" s="78"/>
      <c r="D207" s="78"/>
      <c r="E207" s="78"/>
      <c r="F207" s="78"/>
      <c r="G207" s="64"/>
      <c r="H207" s="64"/>
      <c r="I207" s="64"/>
      <c r="J207" s="64"/>
      <c r="K207" s="64"/>
      <c r="L207" s="64"/>
      <c r="M207" s="64"/>
      <c r="N207" s="64"/>
      <c r="O207" s="64"/>
      <c r="P207" s="64"/>
      <c r="Q207" s="64"/>
      <c r="R207" s="132">
        <v>51622</v>
      </c>
      <c r="S207" s="25"/>
      <c r="T207" s="25"/>
      <c r="U207" s="25"/>
      <c r="V207" s="5"/>
    </row>
    <row r="208" spans="1:22" ht="15.6" x14ac:dyDescent="0.3">
      <c r="A208" s="76"/>
      <c r="B208" s="77" t="s">
        <v>79</v>
      </c>
      <c r="C208" s="78"/>
      <c r="D208" s="78"/>
      <c r="E208" s="78"/>
      <c r="F208" s="78"/>
      <c r="G208" s="64"/>
      <c r="H208" s="64"/>
      <c r="I208" s="64"/>
      <c r="J208" s="64"/>
      <c r="K208" s="64"/>
      <c r="L208" s="64"/>
      <c r="M208" s="64"/>
      <c r="N208" s="64"/>
      <c r="O208" s="64"/>
      <c r="P208" s="64"/>
      <c r="Q208" s="64"/>
      <c r="R208" s="136">
        <v>20.95</v>
      </c>
      <c r="S208" s="25" t="s">
        <v>119</v>
      </c>
      <c r="T208" s="25"/>
      <c r="U208" s="25"/>
      <c r="V208" s="5"/>
    </row>
    <row r="209" spans="1:22" ht="15.6" x14ac:dyDescent="0.3">
      <c r="A209" s="76"/>
      <c r="B209" s="77" t="s">
        <v>80</v>
      </c>
      <c r="C209" s="78"/>
      <c r="D209" s="78"/>
      <c r="E209" s="78"/>
      <c r="F209" s="78"/>
      <c r="G209" s="64"/>
      <c r="H209" s="64"/>
      <c r="I209" s="64"/>
      <c r="J209" s="64"/>
      <c r="K209" s="64"/>
      <c r="L209" s="64"/>
      <c r="M209" s="64"/>
      <c r="N209" s="64"/>
      <c r="O209" s="64"/>
      <c r="P209" s="64"/>
      <c r="Q209" s="64"/>
      <c r="R209" s="136">
        <v>16.829999999999998</v>
      </c>
      <c r="S209" s="25" t="s">
        <v>119</v>
      </c>
      <c r="T209" s="25"/>
      <c r="U209" s="25"/>
      <c r="V209" s="5"/>
    </row>
    <row r="210" spans="1:22" ht="15.6" x14ac:dyDescent="0.3">
      <c r="A210" s="76"/>
      <c r="B210" s="77" t="s">
        <v>81</v>
      </c>
      <c r="C210" s="78"/>
      <c r="D210" s="78"/>
      <c r="E210" s="78"/>
      <c r="F210" s="78"/>
      <c r="G210" s="64"/>
      <c r="H210" s="64"/>
      <c r="I210" s="64"/>
      <c r="J210" s="64"/>
      <c r="K210" s="64"/>
      <c r="L210" s="64"/>
      <c r="M210" s="64"/>
      <c r="N210" s="64"/>
      <c r="O210" s="64"/>
      <c r="P210" s="64"/>
      <c r="Q210" s="64"/>
      <c r="R210" s="79">
        <f>+N66/L66</f>
        <v>1.088395788923658E-2</v>
      </c>
      <c r="S210" s="25"/>
      <c r="T210" s="25"/>
      <c r="U210" s="25"/>
      <c r="V210" s="5"/>
    </row>
    <row r="211" spans="1:22" ht="15.6" x14ac:dyDescent="0.3">
      <c r="A211" s="76"/>
      <c r="B211" s="77" t="s">
        <v>82</v>
      </c>
      <c r="C211" s="78"/>
      <c r="D211" s="78"/>
      <c r="E211" s="78"/>
      <c r="F211" s="78"/>
      <c r="G211" s="64"/>
      <c r="H211" s="64"/>
      <c r="I211" s="64"/>
      <c r="J211" s="64"/>
      <c r="K211" s="64"/>
      <c r="L211" s="64"/>
      <c r="M211" s="64"/>
      <c r="N211" s="64"/>
      <c r="O211" s="64"/>
      <c r="P211" s="64"/>
      <c r="Q211" s="64"/>
      <c r="R211" s="79">
        <v>0.17510000000000001</v>
      </c>
      <c r="S211" s="25"/>
      <c r="T211" s="25"/>
      <c r="U211" s="25"/>
      <c r="V211" s="5"/>
    </row>
    <row r="212" spans="1:22" ht="15.6" x14ac:dyDescent="0.3">
      <c r="A212" s="76"/>
      <c r="B212" s="77"/>
      <c r="C212" s="77"/>
      <c r="D212" s="77"/>
      <c r="E212" s="77"/>
      <c r="F212" s="77"/>
      <c r="G212" s="25"/>
      <c r="H212" s="25"/>
      <c r="I212" s="25"/>
      <c r="J212" s="25"/>
      <c r="K212" s="25"/>
      <c r="L212" s="25"/>
      <c r="M212" s="25"/>
      <c r="N212" s="25"/>
      <c r="O212" s="25"/>
      <c r="P212" s="25"/>
      <c r="Q212" s="25"/>
      <c r="R212" s="61"/>
      <c r="S212" s="25"/>
      <c r="T212" s="80"/>
      <c r="U212" s="25"/>
      <c r="V212" s="5"/>
    </row>
    <row r="213" spans="1:22" ht="15.6" x14ac:dyDescent="0.3">
      <c r="A213" s="81"/>
      <c r="B213" s="14" t="s">
        <v>83</v>
      </c>
      <c r="C213" s="82"/>
      <c r="D213" s="82"/>
      <c r="E213" s="82"/>
      <c r="F213" s="83"/>
      <c r="G213" s="82"/>
      <c r="H213" s="17"/>
      <c r="I213" s="17"/>
      <c r="J213" s="17"/>
      <c r="K213" s="17"/>
      <c r="L213" s="17"/>
      <c r="M213" s="17"/>
      <c r="N213" s="17"/>
      <c r="O213" s="17"/>
      <c r="P213" s="17"/>
      <c r="Q213" s="17" t="s">
        <v>108</v>
      </c>
      <c r="R213" s="84" t="s">
        <v>115</v>
      </c>
      <c r="S213" s="8"/>
      <c r="T213" s="8"/>
      <c r="U213" s="8"/>
      <c r="V213" s="5"/>
    </row>
    <row r="214" spans="1:22" ht="15.6" x14ac:dyDescent="0.3">
      <c r="A214" s="85"/>
      <c r="B214" s="77" t="s">
        <v>84</v>
      </c>
      <c r="C214" s="54"/>
      <c r="D214" s="54"/>
      <c r="E214" s="54"/>
      <c r="F214" s="25"/>
      <c r="G214" s="25"/>
      <c r="H214" s="30"/>
      <c r="I214" s="30"/>
      <c r="J214" s="30"/>
      <c r="K214" s="30"/>
      <c r="L214" s="30"/>
      <c r="M214" s="30"/>
      <c r="N214" s="30"/>
      <c r="O214" s="30"/>
      <c r="P214" s="30"/>
      <c r="Q214" s="30">
        <v>0</v>
      </c>
      <c r="R214" s="86">
        <v>0</v>
      </c>
      <c r="S214" s="25"/>
      <c r="T214" s="80"/>
      <c r="U214" s="87"/>
      <c r="V214" s="5"/>
    </row>
    <row r="215" spans="1:22" ht="15.6" x14ac:dyDescent="0.3">
      <c r="A215" s="85"/>
      <c r="B215" s="77" t="s">
        <v>156</v>
      </c>
      <c r="C215" s="54"/>
      <c r="D215" s="54"/>
      <c r="E215" s="54"/>
      <c r="F215" s="25"/>
      <c r="G215" s="25"/>
      <c r="H215" s="30"/>
      <c r="I215" s="30"/>
      <c r="J215" s="30"/>
      <c r="K215" s="30"/>
      <c r="L215" s="30"/>
      <c r="M215" s="30"/>
      <c r="N215" s="30"/>
      <c r="O215" s="30"/>
      <c r="P215" s="30"/>
      <c r="Q215" s="156">
        <f>+P254</f>
        <v>108</v>
      </c>
      <c r="R215" s="86">
        <f>+R254</f>
        <v>16402</v>
      </c>
      <c r="S215" s="25"/>
      <c r="T215" s="80"/>
      <c r="U215" s="87"/>
      <c r="V215" s="5"/>
    </row>
    <row r="216" spans="1:22" ht="15.6" x14ac:dyDescent="0.3">
      <c r="A216" s="85"/>
      <c r="B216" s="77" t="s">
        <v>85</v>
      </c>
      <c r="C216" s="54"/>
      <c r="D216" s="54"/>
      <c r="E216" s="54"/>
      <c r="F216" s="25"/>
      <c r="G216" s="25"/>
      <c r="H216" s="30"/>
      <c r="I216" s="30"/>
      <c r="J216" s="30"/>
      <c r="K216" s="30"/>
      <c r="L216" s="30"/>
      <c r="M216" s="30"/>
      <c r="N216" s="30"/>
      <c r="O216" s="30"/>
      <c r="P216" s="30"/>
      <c r="Q216" s="156">
        <f>+P266</f>
        <v>1</v>
      </c>
      <c r="R216" s="172">
        <f>+R266</f>
        <v>52</v>
      </c>
      <c r="S216" s="25"/>
      <c r="T216" s="80"/>
      <c r="U216" s="87"/>
      <c r="V216" s="5"/>
    </row>
    <row r="217" spans="1:22" ht="15.6" x14ac:dyDescent="0.3">
      <c r="A217" s="85"/>
      <c r="B217" s="123" t="s">
        <v>86</v>
      </c>
      <c r="C217" s="54"/>
      <c r="D217" s="54"/>
      <c r="E217" s="54"/>
      <c r="F217" s="25"/>
      <c r="G217" s="25"/>
      <c r="H217" s="25"/>
      <c r="I217" s="25"/>
      <c r="J217" s="25"/>
      <c r="K217" s="25"/>
      <c r="L217" s="25"/>
      <c r="M217" s="25"/>
      <c r="N217" s="25"/>
      <c r="O217" s="25"/>
      <c r="P217" s="25"/>
      <c r="Q217" s="25"/>
      <c r="R217" s="86">
        <v>0</v>
      </c>
      <c r="S217" s="25"/>
      <c r="T217" s="80"/>
      <c r="U217" s="87"/>
      <c r="V217" s="5"/>
    </row>
    <row r="218" spans="1:22" ht="15.6" x14ac:dyDescent="0.3">
      <c r="A218" s="85"/>
      <c r="B218" s="123" t="s">
        <v>87</v>
      </c>
      <c r="C218" s="54"/>
      <c r="D218" s="54"/>
      <c r="E218" s="54"/>
      <c r="F218" s="25"/>
      <c r="G218" s="25"/>
      <c r="H218" s="25"/>
      <c r="I218" s="25"/>
      <c r="J218" s="25"/>
      <c r="K218" s="25"/>
      <c r="L218" s="25"/>
      <c r="M218" s="25"/>
      <c r="N218" s="25"/>
      <c r="O218" s="25"/>
      <c r="P218" s="25"/>
      <c r="Q218" s="25"/>
      <c r="R218" s="62" t="s">
        <v>116</v>
      </c>
      <c r="S218" s="25"/>
      <c r="T218" s="80"/>
      <c r="U218" s="87"/>
      <c r="V218" s="5"/>
    </row>
    <row r="219" spans="1:22" ht="15.6" x14ac:dyDescent="0.3">
      <c r="A219" s="88"/>
      <c r="B219" s="123" t="s">
        <v>88</v>
      </c>
      <c r="C219" s="77"/>
      <c r="D219" s="77"/>
      <c r="E219" s="77"/>
      <c r="F219" s="77"/>
      <c r="G219" s="25"/>
      <c r="H219" s="25"/>
      <c r="I219" s="25"/>
      <c r="J219" s="25"/>
      <c r="K219" s="25"/>
      <c r="L219" s="25"/>
      <c r="M219" s="25"/>
      <c r="N219" s="25"/>
      <c r="O219" s="25"/>
      <c r="P219" s="25"/>
      <c r="Q219" s="25"/>
      <c r="R219" s="86"/>
      <c r="S219" s="25"/>
      <c r="T219" s="80"/>
      <c r="U219" s="89"/>
      <c r="V219" s="5"/>
    </row>
    <row r="220" spans="1:22" ht="15.6" x14ac:dyDescent="0.3">
      <c r="A220" s="88"/>
      <c r="B220" s="134" t="s">
        <v>89</v>
      </c>
      <c r="C220" s="77"/>
      <c r="D220" s="77"/>
      <c r="E220" s="77"/>
      <c r="F220" s="77"/>
      <c r="G220" s="25"/>
      <c r="H220" s="25"/>
      <c r="I220" s="25"/>
      <c r="J220" s="25"/>
      <c r="K220" s="25"/>
      <c r="L220" s="25"/>
      <c r="M220" s="25"/>
      <c r="N220" s="25"/>
      <c r="O220" s="25"/>
      <c r="P220" s="25"/>
      <c r="Q220" s="30"/>
      <c r="R220" s="86">
        <f>T164</f>
        <v>70</v>
      </c>
      <c r="S220" s="25"/>
      <c r="T220" s="80"/>
      <c r="U220" s="89"/>
      <c r="V220" s="5"/>
    </row>
    <row r="221" spans="1:22" ht="15.6" x14ac:dyDescent="0.3">
      <c r="A221" s="85"/>
      <c r="B221" s="77" t="s">
        <v>90</v>
      </c>
      <c r="C221" s="54"/>
      <c r="D221" s="54"/>
      <c r="E221" s="54"/>
      <c r="F221" s="54"/>
      <c r="G221" s="25"/>
      <c r="H221" s="25"/>
      <c r="I221" s="25"/>
      <c r="J221" s="25"/>
      <c r="K221" s="25"/>
      <c r="L221" s="25"/>
      <c r="M221" s="25"/>
      <c r="N221" s="25"/>
      <c r="O221" s="25"/>
      <c r="P221" s="25"/>
      <c r="Q221" s="30"/>
      <c r="R221" s="86">
        <f>'July 09'!R220+'Oct 09'!R220</f>
        <v>1473</v>
      </c>
      <c r="S221" s="25"/>
      <c r="T221" s="80"/>
      <c r="U221" s="89"/>
      <c r="V221" s="5"/>
    </row>
    <row r="222" spans="1:22" ht="15.6" x14ac:dyDescent="0.3">
      <c r="A222" s="88"/>
      <c r="B222" s="123" t="s">
        <v>288</v>
      </c>
      <c r="C222" s="77"/>
      <c r="D222" s="77"/>
      <c r="E222" s="77"/>
      <c r="F222" s="77"/>
      <c r="G222" s="25"/>
      <c r="H222" s="25"/>
      <c r="I222" s="25"/>
      <c r="J222" s="25"/>
      <c r="K222" s="25"/>
      <c r="L222" s="25"/>
      <c r="M222" s="25"/>
      <c r="N222" s="25"/>
      <c r="O222" s="25"/>
      <c r="P222" s="25"/>
      <c r="Q222" s="30"/>
      <c r="R222" s="86"/>
      <c r="S222" s="25"/>
      <c r="T222" s="80"/>
      <c r="U222" s="89"/>
      <c r="V222" s="5"/>
    </row>
    <row r="223" spans="1:22" ht="15.6" x14ac:dyDescent="0.3">
      <c r="A223" s="88"/>
      <c r="B223" s="77" t="s">
        <v>286</v>
      </c>
      <c r="C223" s="77"/>
      <c r="D223" s="77"/>
      <c r="E223" s="77"/>
      <c r="F223" s="77"/>
      <c r="G223" s="25"/>
      <c r="H223" s="25"/>
      <c r="I223" s="25"/>
      <c r="J223" s="25"/>
      <c r="K223" s="25"/>
      <c r="L223" s="25"/>
      <c r="M223" s="25"/>
      <c r="N223" s="25"/>
      <c r="O223" s="25"/>
      <c r="P223" s="25"/>
      <c r="Q223" s="30">
        <v>0</v>
      </c>
      <c r="R223" s="172">
        <v>0</v>
      </c>
      <c r="S223" s="25"/>
      <c r="T223" s="80"/>
      <c r="U223" s="89"/>
      <c r="V223" s="5"/>
    </row>
    <row r="224" spans="1:22" ht="15.6" x14ac:dyDescent="0.3">
      <c r="A224" s="85"/>
      <c r="B224" s="77" t="s">
        <v>92</v>
      </c>
      <c r="C224" s="90"/>
      <c r="D224" s="90"/>
      <c r="E224" s="90"/>
      <c r="F224" s="91"/>
      <c r="G224" s="25"/>
      <c r="H224" s="25"/>
      <c r="I224" s="25"/>
      <c r="J224" s="25"/>
      <c r="K224" s="25"/>
      <c r="L224" s="25"/>
      <c r="M224" s="25"/>
      <c r="N224" s="25"/>
      <c r="O224" s="25"/>
      <c r="P224" s="25"/>
      <c r="Q224" s="30"/>
      <c r="R224" s="173">
        <v>0</v>
      </c>
      <c r="S224" s="25"/>
      <c r="T224" s="80"/>
      <c r="U224" s="89"/>
      <c r="V224" s="5"/>
    </row>
    <row r="225" spans="1:23" ht="15.6" x14ac:dyDescent="0.3">
      <c r="A225" s="85"/>
      <c r="B225" s="77" t="s">
        <v>93</v>
      </c>
      <c r="C225" s="90"/>
      <c r="D225" s="90"/>
      <c r="E225" s="90"/>
      <c r="F225" s="91"/>
      <c r="G225" s="25"/>
      <c r="H225" s="25"/>
      <c r="I225" s="25"/>
      <c r="J225" s="25"/>
      <c r="K225" s="25"/>
      <c r="L225" s="25"/>
      <c r="M225" s="25"/>
      <c r="N225" s="25"/>
      <c r="O225" s="25"/>
      <c r="P225" s="25"/>
      <c r="Q225" s="30"/>
      <c r="R225" s="173">
        <v>0</v>
      </c>
      <c r="S225" s="25"/>
      <c r="T225" s="80"/>
      <c r="U225" s="89"/>
      <c r="V225" s="5"/>
    </row>
    <row r="226" spans="1:23" ht="15.6" x14ac:dyDescent="0.3">
      <c r="A226" s="85"/>
      <c r="B226" s="123" t="s">
        <v>258</v>
      </c>
      <c r="C226" s="90"/>
      <c r="D226" s="90"/>
      <c r="E226" s="90"/>
      <c r="F226" s="91"/>
      <c r="G226" s="25"/>
      <c r="H226" s="25"/>
      <c r="I226" s="25"/>
      <c r="J226" s="25"/>
      <c r="K226" s="25"/>
      <c r="L226" s="25"/>
      <c r="M226" s="25"/>
      <c r="N226" s="25"/>
      <c r="O226" s="25"/>
      <c r="P226" s="25"/>
      <c r="Q226" s="30"/>
      <c r="R226" s="174"/>
      <c r="S226" s="25"/>
      <c r="T226" s="80"/>
      <c r="U226" s="89"/>
      <c r="V226" s="5"/>
    </row>
    <row r="227" spans="1:23" ht="15.6" x14ac:dyDescent="0.3">
      <c r="A227" s="85"/>
      <c r="B227" s="77" t="s">
        <v>286</v>
      </c>
      <c r="C227" s="90"/>
      <c r="D227" s="90"/>
      <c r="E227" s="90"/>
      <c r="F227" s="91"/>
      <c r="G227" s="25"/>
      <c r="H227" s="25"/>
      <c r="I227" s="25"/>
      <c r="J227" s="25"/>
      <c r="K227" s="25"/>
      <c r="L227" s="25"/>
      <c r="M227" s="25"/>
      <c r="N227" s="25"/>
      <c r="O227" s="25"/>
      <c r="P227" s="25"/>
      <c r="Q227" s="30">
        <v>6</v>
      </c>
      <c r="R227" s="172">
        <v>624</v>
      </c>
      <c r="S227" s="25"/>
      <c r="T227" s="80"/>
      <c r="U227" s="89"/>
      <c r="V227" s="5"/>
    </row>
    <row r="228" spans="1:23" ht="15.6" x14ac:dyDescent="0.3">
      <c r="A228" s="85"/>
      <c r="B228" s="77" t="s">
        <v>259</v>
      </c>
      <c r="C228" s="90"/>
      <c r="D228" s="90"/>
      <c r="E228" s="90"/>
      <c r="F228" s="91"/>
      <c r="G228" s="25"/>
      <c r="H228" s="25"/>
      <c r="I228" s="25"/>
      <c r="J228" s="25"/>
      <c r="K228" s="25"/>
      <c r="L228" s="25"/>
      <c r="M228" s="25"/>
      <c r="N228" s="25"/>
      <c r="O228" s="25"/>
      <c r="P228" s="25"/>
      <c r="Q228" s="25"/>
      <c r="R228" s="173">
        <v>16.760000000000002</v>
      </c>
      <c r="S228" s="25"/>
      <c r="T228" s="80"/>
      <c r="U228" s="89"/>
      <c r="V228" s="5"/>
    </row>
    <row r="229" spans="1:23" ht="15.6" x14ac:dyDescent="0.3">
      <c r="A229" s="85"/>
      <c r="B229" s="77"/>
      <c r="C229" s="90"/>
      <c r="D229" s="90"/>
      <c r="E229" s="90"/>
      <c r="F229" s="91"/>
      <c r="G229" s="25"/>
      <c r="H229" s="25"/>
      <c r="I229" s="25"/>
      <c r="J229" s="25"/>
      <c r="K229" s="25"/>
      <c r="L229" s="25"/>
      <c r="M229" s="25"/>
      <c r="N229" s="25"/>
      <c r="O229" s="25"/>
      <c r="P229" s="25"/>
      <c r="Q229" s="25"/>
      <c r="R229" s="92"/>
      <c r="S229" s="25"/>
      <c r="T229" s="80"/>
      <c r="U229" s="89"/>
      <c r="V229" s="5"/>
    </row>
    <row r="230" spans="1:23" ht="17.399999999999999" x14ac:dyDescent="0.3">
      <c r="A230" s="85"/>
      <c r="B230" s="153" t="s">
        <v>208</v>
      </c>
      <c r="C230" s="90"/>
      <c r="D230" s="90"/>
      <c r="E230" s="90"/>
      <c r="F230" s="91"/>
      <c r="G230" s="25"/>
      <c r="H230" s="25"/>
      <c r="I230" s="25"/>
      <c r="J230" s="25"/>
      <c r="K230" s="25"/>
      <c r="L230" s="25"/>
      <c r="M230" s="25"/>
      <c r="N230" s="154" t="s">
        <v>207</v>
      </c>
      <c r="O230" s="25"/>
      <c r="P230" s="25"/>
      <c r="Q230" s="25"/>
      <c r="R230" s="92"/>
      <c r="S230" s="25"/>
      <c r="T230" s="80"/>
      <c r="U230" s="89"/>
      <c r="V230" s="5"/>
    </row>
    <row r="231" spans="1:23" ht="15.6" x14ac:dyDescent="0.3">
      <c r="A231" s="85"/>
      <c r="B231" s="77"/>
      <c r="C231" s="90"/>
      <c r="D231" s="90"/>
      <c r="E231" s="90"/>
      <c r="F231" s="91"/>
      <c r="G231" s="25"/>
      <c r="H231" s="25"/>
      <c r="I231" s="25"/>
      <c r="J231" s="25"/>
      <c r="K231" s="25"/>
      <c r="L231" s="25"/>
      <c r="M231" s="25"/>
      <c r="N231" s="25"/>
      <c r="O231" s="25"/>
      <c r="P231" s="25"/>
      <c r="Q231" s="25"/>
      <c r="R231" s="92"/>
      <c r="S231" s="25"/>
      <c r="T231" s="80"/>
      <c r="U231" s="89"/>
      <c r="V231" s="5"/>
    </row>
    <row r="232" spans="1:23" ht="15.6" x14ac:dyDescent="0.3">
      <c r="A232" s="6"/>
      <c r="B232" s="14" t="s">
        <v>177</v>
      </c>
      <c r="C232" s="82"/>
      <c r="D232" s="82"/>
      <c r="E232" s="82"/>
      <c r="F232" s="83"/>
      <c r="G232" s="82"/>
      <c r="H232" s="17"/>
      <c r="I232" s="17"/>
      <c r="J232" s="17"/>
      <c r="K232" s="17"/>
      <c r="L232" s="17"/>
      <c r="M232" s="17"/>
      <c r="N232" s="17"/>
      <c r="O232" s="17"/>
      <c r="P232" s="84" t="s">
        <v>108</v>
      </c>
      <c r="Q232" s="17" t="s">
        <v>109</v>
      </c>
      <c r="R232" s="84" t="s">
        <v>117</v>
      </c>
      <c r="S232" s="17" t="s">
        <v>109</v>
      </c>
      <c r="T232" s="8"/>
      <c r="U232" s="93"/>
      <c r="V232" s="5"/>
    </row>
    <row r="233" spans="1:23" ht="15.6" x14ac:dyDescent="0.3">
      <c r="A233" s="24"/>
      <c r="B233" s="54" t="s">
        <v>94</v>
      </c>
      <c r="C233" s="94"/>
      <c r="D233" s="94"/>
      <c r="E233" s="94"/>
      <c r="F233" s="25"/>
      <c r="G233" s="94"/>
      <c r="H233" s="94"/>
      <c r="I233" s="94"/>
      <c r="J233" s="94"/>
      <c r="K233" s="94"/>
      <c r="L233" s="94"/>
      <c r="M233" s="94"/>
      <c r="N233" s="94"/>
      <c r="O233" s="94"/>
      <c r="P233" s="54">
        <v>2662</v>
      </c>
      <c r="Q233" s="95">
        <f t="shared" ref="Q233:Q240" si="1">P233/$P$242</f>
        <v>0.99069594343133605</v>
      </c>
      <c r="R233" s="53">
        <v>314067</v>
      </c>
      <c r="S233" s="135">
        <f t="shared" ref="S233:S240" si="2">R233/$R$242</f>
        <v>0.98886349038425214</v>
      </c>
      <c r="T233" s="80"/>
      <c r="U233" s="89"/>
      <c r="V233" s="5"/>
    </row>
    <row r="234" spans="1:23" ht="15.6" x14ac:dyDescent="0.3">
      <c r="A234" s="24"/>
      <c r="B234" s="54" t="s">
        <v>95</v>
      </c>
      <c r="C234" s="94"/>
      <c r="D234" s="94"/>
      <c r="E234" s="94"/>
      <c r="F234" s="25"/>
      <c r="G234" s="95"/>
      <c r="H234" s="94"/>
      <c r="I234" s="94"/>
      <c r="J234" s="94"/>
      <c r="K234" s="94"/>
      <c r="L234" s="94"/>
      <c r="M234" s="94"/>
      <c r="N234" s="94"/>
      <c r="O234" s="94"/>
      <c r="P234" s="54">
        <v>19</v>
      </c>
      <c r="Q234" s="95">
        <f t="shared" si="1"/>
        <v>7.0710829921845925E-3</v>
      </c>
      <c r="R234" s="53">
        <v>2822</v>
      </c>
      <c r="S234" s="135">
        <f t="shared" si="2"/>
        <v>8.8852785229405172E-3</v>
      </c>
      <c r="T234" s="80"/>
      <c r="U234" s="89"/>
      <c r="V234" s="5"/>
      <c r="W234" s="110"/>
    </row>
    <row r="235" spans="1:23" ht="15.6" x14ac:dyDescent="0.3">
      <c r="A235" s="24"/>
      <c r="B235" s="54" t="s">
        <v>96</v>
      </c>
      <c r="C235" s="94"/>
      <c r="D235" s="94"/>
      <c r="E235" s="94"/>
      <c r="F235" s="25"/>
      <c r="G235" s="95"/>
      <c r="H235" s="94"/>
      <c r="I235" s="94"/>
      <c r="J235" s="94"/>
      <c r="K235" s="94"/>
      <c r="L235" s="94"/>
      <c r="M235" s="94"/>
      <c r="N235" s="94"/>
      <c r="O235" s="94"/>
      <c r="P235" s="54">
        <v>3</v>
      </c>
      <c r="Q235" s="95">
        <f t="shared" si="1"/>
        <v>1.1164867882396724E-3</v>
      </c>
      <c r="R235" s="53">
        <v>236</v>
      </c>
      <c r="S235" s="135">
        <f t="shared" si="2"/>
        <v>7.4306368937418921E-4</v>
      </c>
      <c r="T235" s="80"/>
      <c r="U235" s="89"/>
      <c r="V235" s="5"/>
    </row>
    <row r="236" spans="1:23" ht="15.6" x14ac:dyDescent="0.3">
      <c r="A236" s="24"/>
      <c r="B236" s="54" t="s">
        <v>171</v>
      </c>
      <c r="C236" s="94"/>
      <c r="D236" s="94"/>
      <c r="E236" s="94"/>
      <c r="F236" s="25"/>
      <c r="G236" s="95"/>
      <c r="H236" s="94"/>
      <c r="I236" s="94"/>
      <c r="J236" s="94"/>
      <c r="K236" s="94"/>
      <c r="L236" s="94"/>
      <c r="M236" s="94"/>
      <c r="N236" s="94"/>
      <c r="O236" s="94"/>
      <c r="P236" s="54">
        <v>0</v>
      </c>
      <c r="Q236" s="95">
        <f t="shared" si="1"/>
        <v>0</v>
      </c>
      <c r="R236" s="53">
        <v>0</v>
      </c>
      <c r="S236" s="135">
        <f t="shared" si="2"/>
        <v>0</v>
      </c>
      <c r="T236" s="80"/>
      <c r="U236" s="89"/>
      <c r="V236" s="5"/>
      <c r="W236" s="110"/>
    </row>
    <row r="237" spans="1:23" ht="15.6" x14ac:dyDescent="0.3">
      <c r="A237" s="24"/>
      <c r="B237" s="54" t="s">
        <v>172</v>
      </c>
      <c r="C237" s="94"/>
      <c r="D237" s="94"/>
      <c r="E237" s="94"/>
      <c r="F237" s="25"/>
      <c r="G237" s="95"/>
      <c r="H237" s="94"/>
      <c r="I237" s="94"/>
      <c r="J237" s="94"/>
      <c r="K237" s="94"/>
      <c r="L237" s="94"/>
      <c r="M237" s="94"/>
      <c r="N237" s="94"/>
      <c r="O237" s="94"/>
      <c r="P237" s="54">
        <v>0</v>
      </c>
      <c r="Q237" s="95">
        <f t="shared" si="1"/>
        <v>0</v>
      </c>
      <c r="R237" s="53">
        <v>0</v>
      </c>
      <c r="S237" s="135">
        <f t="shared" si="2"/>
        <v>0</v>
      </c>
      <c r="T237" s="80"/>
      <c r="U237" s="89"/>
      <c r="V237" s="5"/>
    </row>
    <row r="238" spans="1:23" ht="15.6" x14ac:dyDescent="0.3">
      <c r="A238" s="24"/>
      <c r="B238" s="54" t="s">
        <v>173</v>
      </c>
      <c r="C238" s="94"/>
      <c r="D238" s="94"/>
      <c r="E238" s="94"/>
      <c r="F238" s="25"/>
      <c r="G238" s="95"/>
      <c r="H238" s="94"/>
      <c r="I238" s="94"/>
      <c r="J238" s="94"/>
      <c r="K238" s="94"/>
      <c r="L238" s="94"/>
      <c r="M238" s="94"/>
      <c r="N238" s="94"/>
      <c r="O238" s="94"/>
      <c r="P238" s="54">
        <v>0</v>
      </c>
      <c r="Q238" s="95">
        <f t="shared" si="1"/>
        <v>0</v>
      </c>
      <c r="R238" s="53">
        <v>0</v>
      </c>
      <c r="S238" s="135">
        <f t="shared" si="2"/>
        <v>0</v>
      </c>
      <c r="T238" s="80"/>
      <c r="U238" s="89"/>
      <c r="V238" s="5"/>
      <c r="W238" s="110"/>
    </row>
    <row r="239" spans="1:23" ht="15.6" x14ac:dyDescent="0.3">
      <c r="A239" s="24"/>
      <c r="B239" s="54" t="s">
        <v>174</v>
      </c>
      <c r="C239" s="94"/>
      <c r="D239" s="94"/>
      <c r="E239" s="94"/>
      <c r="F239" s="25"/>
      <c r="G239" s="95"/>
      <c r="H239" s="94"/>
      <c r="I239" s="94"/>
      <c r="J239" s="94"/>
      <c r="K239" s="94"/>
      <c r="L239" s="94"/>
      <c r="M239" s="94"/>
      <c r="N239" s="94"/>
      <c r="O239" s="94"/>
      <c r="P239" s="54">
        <v>1</v>
      </c>
      <c r="Q239" s="95">
        <f t="shared" si="1"/>
        <v>3.7216226274655752E-4</v>
      </c>
      <c r="R239" s="53">
        <v>108</v>
      </c>
      <c r="S239" s="135">
        <f t="shared" si="2"/>
        <v>3.4004609513734087E-4</v>
      </c>
      <c r="T239" s="80"/>
      <c r="U239" s="89"/>
      <c r="V239" s="5"/>
    </row>
    <row r="240" spans="1:23" ht="15.6" x14ac:dyDescent="0.3">
      <c r="A240" s="24"/>
      <c r="B240" s="54" t="s">
        <v>175</v>
      </c>
      <c r="C240" s="94"/>
      <c r="D240" s="94"/>
      <c r="E240" s="94"/>
      <c r="F240" s="25"/>
      <c r="G240" s="95"/>
      <c r="H240" s="94"/>
      <c r="I240" s="94"/>
      <c r="J240" s="94"/>
      <c r="K240" s="94"/>
      <c r="L240" s="94"/>
      <c r="M240" s="94"/>
      <c r="N240" s="94"/>
      <c r="O240" s="94"/>
      <c r="P240" s="54">
        <v>2</v>
      </c>
      <c r="Q240" s="95">
        <f t="shared" si="1"/>
        <v>7.4432452549311504E-4</v>
      </c>
      <c r="R240" s="53">
        <v>371</v>
      </c>
      <c r="S240" s="135">
        <f t="shared" si="2"/>
        <v>1.1681213082958652E-3</v>
      </c>
      <c r="T240" s="80"/>
      <c r="U240" s="89"/>
      <c r="V240" s="5"/>
      <c r="W240" s="110"/>
    </row>
    <row r="241" spans="1:22" ht="15.6" x14ac:dyDescent="0.3">
      <c r="A241" s="24"/>
      <c r="B241" s="54"/>
      <c r="C241" s="94"/>
      <c r="D241" s="94"/>
      <c r="E241" s="94"/>
      <c r="F241" s="25"/>
      <c r="G241" s="95"/>
      <c r="H241" s="94"/>
      <c r="I241" s="94"/>
      <c r="J241" s="94"/>
      <c r="K241" s="94"/>
      <c r="L241" s="94"/>
      <c r="M241" s="94"/>
      <c r="N241" s="94"/>
      <c r="O241" s="94"/>
      <c r="P241" s="54"/>
      <c r="Q241" s="95"/>
      <c r="R241" s="53"/>
      <c r="S241" s="135"/>
      <c r="T241" s="80"/>
      <c r="U241" s="89"/>
      <c r="V241" s="5"/>
    </row>
    <row r="242" spans="1:22" ht="15.6" x14ac:dyDescent="0.3">
      <c r="A242" s="24"/>
      <c r="B242" s="25"/>
      <c r="C242" s="25"/>
      <c r="D242" s="25"/>
      <c r="E242" s="25"/>
      <c r="F242" s="25"/>
      <c r="G242" s="25"/>
      <c r="H242" s="96"/>
      <c r="I242" s="96"/>
      <c r="J242" s="96"/>
      <c r="K242" s="96"/>
      <c r="L242" s="96"/>
      <c r="M242" s="96"/>
      <c r="N242" s="96"/>
      <c r="O242" s="96"/>
      <c r="P242" s="34">
        <f>SUM(P233:P241)</f>
        <v>2687</v>
      </c>
      <c r="Q242" s="135">
        <f>SUM(Q233:Q241)</f>
        <v>1.0000000000000002</v>
      </c>
      <c r="R242" s="53">
        <f>SUM(R233:R241)</f>
        <v>317604</v>
      </c>
      <c r="S242" s="135">
        <f>SUM(S233:S241)</f>
        <v>1</v>
      </c>
      <c r="T242" s="25"/>
      <c r="U242" s="25"/>
      <c r="V242" s="5"/>
    </row>
    <row r="243" spans="1:22" ht="15.6" x14ac:dyDescent="0.3">
      <c r="A243" s="24"/>
      <c r="B243" s="25"/>
      <c r="C243" s="25"/>
      <c r="D243" s="25"/>
      <c r="E243" s="25"/>
      <c r="F243" s="25"/>
      <c r="G243" s="25"/>
      <c r="H243" s="96"/>
      <c r="I243" s="96"/>
      <c r="J243" s="96"/>
      <c r="K243" s="96"/>
      <c r="L243" s="96"/>
      <c r="M243" s="96"/>
      <c r="N243" s="96"/>
      <c r="O243" s="96"/>
      <c r="P243" s="34"/>
      <c r="Q243" s="135"/>
      <c r="R243" s="53"/>
      <c r="S243" s="135"/>
      <c r="T243" s="25"/>
      <c r="U243" s="25"/>
      <c r="V243" s="5"/>
    </row>
    <row r="244" spans="1:22" ht="15.6" x14ac:dyDescent="0.3">
      <c r="A244" s="144"/>
      <c r="B244" s="14" t="s">
        <v>279</v>
      </c>
      <c r="C244" s="82"/>
      <c r="D244" s="82"/>
      <c r="E244" s="82"/>
      <c r="F244" s="83"/>
      <c r="G244" s="82"/>
      <c r="H244" s="17"/>
      <c r="I244" s="17"/>
      <c r="J244" s="17"/>
      <c r="K244" s="17"/>
      <c r="L244" s="17"/>
      <c r="M244" s="17"/>
      <c r="N244" s="17"/>
      <c r="O244" s="17"/>
      <c r="P244" s="84" t="s">
        <v>108</v>
      </c>
      <c r="Q244" s="17" t="s">
        <v>109</v>
      </c>
      <c r="R244" s="84" t="s">
        <v>117</v>
      </c>
      <c r="S244" s="17" t="s">
        <v>109</v>
      </c>
      <c r="T244" s="142"/>
      <c r="U244" s="143"/>
      <c r="V244" s="5"/>
    </row>
    <row r="245" spans="1:22" ht="15.6" x14ac:dyDescent="0.3">
      <c r="A245" s="24"/>
      <c r="B245" s="54" t="s">
        <v>94</v>
      </c>
      <c r="C245" s="94"/>
      <c r="D245" s="94"/>
      <c r="E245" s="94"/>
      <c r="F245" s="25"/>
      <c r="G245" s="94"/>
      <c r="H245" s="94"/>
      <c r="I245" s="94"/>
      <c r="J245" s="94"/>
      <c r="K245" s="94"/>
      <c r="L245" s="94"/>
      <c r="M245" s="94"/>
      <c r="N245" s="94"/>
      <c r="O245" s="94"/>
      <c r="P245" s="54">
        <v>38</v>
      </c>
      <c r="Q245" s="95">
        <f t="shared" ref="Q245:Q252" si="3">P245/$P$254</f>
        <v>0.35185185185185186</v>
      </c>
      <c r="R245" s="53">
        <v>6078</v>
      </c>
      <c r="S245" s="135">
        <f t="shared" ref="S245:S252" si="4">R245/$R$254</f>
        <v>0.37056456529691501</v>
      </c>
      <c r="T245" s="25"/>
      <c r="U245" s="25"/>
      <c r="V245" s="5"/>
    </row>
    <row r="246" spans="1:22" ht="15.6" x14ac:dyDescent="0.3">
      <c r="A246" s="24"/>
      <c r="B246" s="54" t="s">
        <v>95</v>
      </c>
      <c r="C246" s="94"/>
      <c r="D246" s="94"/>
      <c r="E246" s="94"/>
      <c r="F246" s="25"/>
      <c r="G246" s="95"/>
      <c r="H246" s="94"/>
      <c r="I246" s="94"/>
      <c r="J246" s="94"/>
      <c r="K246" s="94"/>
      <c r="L246" s="94"/>
      <c r="M246" s="94"/>
      <c r="N246" s="94"/>
      <c r="O246" s="94"/>
      <c r="P246" s="54">
        <v>27</v>
      </c>
      <c r="Q246" s="95">
        <f t="shared" si="3"/>
        <v>0.25</v>
      </c>
      <c r="R246" s="53">
        <v>3530</v>
      </c>
      <c r="S246" s="135">
        <f t="shared" si="4"/>
        <v>0.21521765638336787</v>
      </c>
      <c r="T246" s="25"/>
      <c r="U246" s="25"/>
      <c r="V246" s="5"/>
    </row>
    <row r="247" spans="1:22" ht="15.6" x14ac:dyDescent="0.3">
      <c r="A247" s="24"/>
      <c r="B247" s="54" t="s">
        <v>96</v>
      </c>
      <c r="C247" s="94"/>
      <c r="D247" s="94"/>
      <c r="E247" s="94"/>
      <c r="F247" s="25"/>
      <c r="G247" s="95"/>
      <c r="H247" s="94"/>
      <c r="I247" s="94"/>
      <c r="J247" s="94"/>
      <c r="K247" s="94"/>
      <c r="L247" s="94"/>
      <c r="M247" s="94"/>
      <c r="N247" s="94"/>
      <c r="O247" s="94"/>
      <c r="P247" s="54">
        <v>11</v>
      </c>
      <c r="Q247" s="95">
        <f t="shared" si="3"/>
        <v>0.10185185185185185</v>
      </c>
      <c r="R247" s="53">
        <v>1535</v>
      </c>
      <c r="S247" s="135">
        <f t="shared" si="4"/>
        <v>9.3586148030727956E-2</v>
      </c>
      <c r="T247" s="25"/>
      <c r="U247" s="25"/>
      <c r="V247" s="5"/>
    </row>
    <row r="248" spans="1:22" ht="15.6" x14ac:dyDescent="0.3">
      <c r="A248" s="24"/>
      <c r="B248" s="54" t="s">
        <v>171</v>
      </c>
      <c r="C248" s="94"/>
      <c r="D248" s="94"/>
      <c r="E248" s="94"/>
      <c r="F248" s="25"/>
      <c r="G248" s="95"/>
      <c r="H248" s="94"/>
      <c r="I248" s="94"/>
      <c r="J248" s="94"/>
      <c r="K248" s="94"/>
      <c r="L248" s="94"/>
      <c r="M248" s="94"/>
      <c r="N248" s="94"/>
      <c r="O248" s="94"/>
      <c r="P248" s="54">
        <v>0</v>
      </c>
      <c r="Q248" s="95">
        <f t="shared" si="3"/>
        <v>0</v>
      </c>
      <c r="R248" s="53">
        <v>0</v>
      </c>
      <c r="S248" s="135">
        <f t="shared" si="4"/>
        <v>0</v>
      </c>
      <c r="T248" s="25"/>
      <c r="U248" s="25"/>
      <c r="V248" s="5"/>
    </row>
    <row r="249" spans="1:22" ht="15.6" x14ac:dyDescent="0.3">
      <c r="A249" s="24"/>
      <c r="B249" s="54" t="s">
        <v>172</v>
      </c>
      <c r="C249" s="94"/>
      <c r="D249" s="94"/>
      <c r="E249" s="94"/>
      <c r="F249" s="25"/>
      <c r="G249" s="95"/>
      <c r="H249" s="94"/>
      <c r="I249" s="94"/>
      <c r="J249" s="94"/>
      <c r="K249" s="94"/>
      <c r="L249" s="94"/>
      <c r="M249" s="94"/>
      <c r="N249" s="94"/>
      <c r="O249" s="94"/>
      <c r="P249" s="54">
        <v>2</v>
      </c>
      <c r="Q249" s="95">
        <f t="shared" si="3"/>
        <v>1.8518518518518517E-2</v>
      </c>
      <c r="R249" s="53">
        <v>201</v>
      </c>
      <c r="S249" s="135">
        <f t="shared" si="4"/>
        <v>1.2254603097183271E-2</v>
      </c>
      <c r="T249" s="25"/>
      <c r="U249" s="25"/>
      <c r="V249" s="5"/>
    </row>
    <row r="250" spans="1:22" ht="15.6" x14ac:dyDescent="0.3">
      <c r="A250" s="24"/>
      <c r="B250" s="54" t="s">
        <v>173</v>
      </c>
      <c r="C250" s="94"/>
      <c r="D250" s="94"/>
      <c r="E250" s="94"/>
      <c r="F250" s="25"/>
      <c r="G250" s="95"/>
      <c r="H250" s="94"/>
      <c r="I250" s="94"/>
      <c r="J250" s="94"/>
      <c r="K250" s="94"/>
      <c r="L250" s="94"/>
      <c r="M250" s="94"/>
      <c r="N250" s="94"/>
      <c r="O250" s="94"/>
      <c r="P250" s="54">
        <v>4</v>
      </c>
      <c r="Q250" s="95">
        <f t="shared" si="3"/>
        <v>3.7037037037037035E-2</v>
      </c>
      <c r="R250" s="53">
        <v>671</v>
      </c>
      <c r="S250" s="135">
        <f t="shared" si="4"/>
        <v>4.0909645165223753E-2</v>
      </c>
      <c r="T250" s="25"/>
      <c r="U250" s="25"/>
      <c r="V250" s="5"/>
    </row>
    <row r="251" spans="1:22" ht="15.6" x14ac:dyDescent="0.3">
      <c r="A251" s="24"/>
      <c r="B251" s="54" t="s">
        <v>174</v>
      </c>
      <c r="C251" s="94"/>
      <c r="D251" s="94"/>
      <c r="E251" s="94"/>
      <c r="F251" s="25"/>
      <c r="G251" s="95"/>
      <c r="H251" s="94"/>
      <c r="I251" s="94"/>
      <c r="J251" s="94"/>
      <c r="K251" s="94"/>
      <c r="L251" s="94"/>
      <c r="M251" s="94"/>
      <c r="N251" s="94"/>
      <c r="O251" s="94"/>
      <c r="P251" s="54">
        <v>12</v>
      </c>
      <c r="Q251" s="95">
        <f t="shared" si="3"/>
        <v>0.1111111111111111</v>
      </c>
      <c r="R251" s="53">
        <v>2563</v>
      </c>
      <c r="S251" s="135">
        <f t="shared" si="4"/>
        <v>0.15626143153273991</v>
      </c>
      <c r="T251" s="25"/>
      <c r="U251" s="25"/>
      <c r="V251" s="5"/>
    </row>
    <row r="252" spans="1:22" ht="15.6" x14ac:dyDescent="0.3">
      <c r="A252" s="24"/>
      <c r="B252" s="54" t="s">
        <v>175</v>
      </c>
      <c r="C252" s="94"/>
      <c r="D252" s="94"/>
      <c r="E252" s="94"/>
      <c r="F252" s="25"/>
      <c r="G252" s="95"/>
      <c r="H252" s="94"/>
      <c r="I252" s="94"/>
      <c r="J252" s="94"/>
      <c r="K252" s="94"/>
      <c r="L252" s="94"/>
      <c r="M252" s="94"/>
      <c r="N252" s="94"/>
      <c r="O252" s="94"/>
      <c r="P252" s="54">
        <v>14</v>
      </c>
      <c r="Q252" s="95">
        <f t="shared" si="3"/>
        <v>0.12962962962962962</v>
      </c>
      <c r="R252" s="53">
        <v>1824</v>
      </c>
      <c r="S252" s="135">
        <f t="shared" si="4"/>
        <v>0.11120595049384221</v>
      </c>
      <c r="T252" s="25"/>
      <c r="U252" s="25"/>
      <c r="V252" s="5"/>
    </row>
    <row r="253" spans="1:22" ht="15.6" x14ac:dyDescent="0.3">
      <c r="A253" s="24"/>
      <c r="B253" s="54"/>
      <c r="C253" s="94"/>
      <c r="D253" s="94"/>
      <c r="E253" s="94"/>
      <c r="F253" s="25"/>
      <c r="G253" s="95"/>
      <c r="H253" s="94"/>
      <c r="I253" s="94"/>
      <c r="J253" s="94"/>
      <c r="K253" s="94"/>
      <c r="L253" s="94"/>
      <c r="M253" s="94"/>
      <c r="N253" s="94"/>
      <c r="O253" s="94"/>
      <c r="P253" s="54"/>
      <c r="Q253" s="95"/>
      <c r="R253" s="53"/>
      <c r="S253" s="135"/>
      <c r="T253" s="25"/>
      <c r="U253" s="25"/>
      <c r="V253" s="5"/>
    </row>
    <row r="254" spans="1:22" ht="15.6" x14ac:dyDescent="0.3">
      <c r="A254" s="24"/>
      <c r="B254" s="25"/>
      <c r="C254" s="25"/>
      <c r="D254" s="25"/>
      <c r="E254" s="25"/>
      <c r="F254" s="25"/>
      <c r="G254" s="25"/>
      <c r="H254" s="96"/>
      <c r="I254" s="96"/>
      <c r="J254" s="96"/>
      <c r="K254" s="96"/>
      <c r="L254" s="96"/>
      <c r="M254" s="96"/>
      <c r="N254" s="96"/>
      <c r="O254" s="96"/>
      <c r="P254" s="34">
        <f>SUM(P245:P253)</f>
        <v>108</v>
      </c>
      <c r="Q254" s="135">
        <f>SUM(Q245:Q253)</f>
        <v>1</v>
      </c>
      <c r="R254" s="53">
        <f>SUM(R245:R253)</f>
        <v>16402</v>
      </c>
      <c r="S254" s="135">
        <f>SUM(S245:S253)</f>
        <v>0.99999999999999989</v>
      </c>
      <c r="T254" s="25"/>
      <c r="U254" s="25"/>
      <c r="V254" s="5"/>
    </row>
    <row r="255" spans="1:22" ht="15.6" x14ac:dyDescent="0.3">
      <c r="A255" s="24"/>
      <c r="B255" s="25"/>
      <c r="C255" s="25"/>
      <c r="D255" s="25"/>
      <c r="E255" s="25"/>
      <c r="F255" s="25"/>
      <c r="G255" s="25"/>
      <c r="H255" s="96"/>
      <c r="I255" s="96"/>
      <c r="J255" s="96"/>
      <c r="K255" s="96"/>
      <c r="L255" s="96"/>
      <c r="M255" s="96"/>
      <c r="N255" s="96"/>
      <c r="O255" s="96"/>
      <c r="P255" s="34"/>
      <c r="Q255" s="135"/>
      <c r="R255" s="53"/>
      <c r="S255" s="135"/>
      <c r="T255" s="25"/>
      <c r="U255" s="25"/>
      <c r="V255" s="5"/>
    </row>
    <row r="256" spans="1:22" ht="15.6" x14ac:dyDescent="0.3">
      <c r="A256" s="144"/>
      <c r="B256" s="14" t="s">
        <v>179</v>
      </c>
      <c r="C256" s="142"/>
      <c r="D256" s="142"/>
      <c r="E256" s="142"/>
      <c r="F256" s="142"/>
      <c r="G256" s="142"/>
      <c r="H256" s="149"/>
      <c r="I256" s="149"/>
      <c r="J256" s="149"/>
      <c r="K256" s="149"/>
      <c r="L256" s="149"/>
      <c r="M256" s="149"/>
      <c r="N256" s="149"/>
      <c r="O256" s="149"/>
      <c r="P256" s="84" t="s">
        <v>108</v>
      </c>
      <c r="Q256" s="17" t="s">
        <v>109</v>
      </c>
      <c r="R256" s="84" t="s">
        <v>117</v>
      </c>
      <c r="S256" s="17" t="s">
        <v>109</v>
      </c>
      <c r="T256" s="142"/>
      <c r="U256" s="143"/>
      <c r="V256" s="5"/>
    </row>
    <row r="257" spans="1:22" ht="15.6" x14ac:dyDescent="0.3">
      <c r="A257" s="24"/>
      <c r="B257" s="54" t="s">
        <v>94</v>
      </c>
      <c r="C257" s="25"/>
      <c r="D257" s="25"/>
      <c r="E257" s="25"/>
      <c r="F257" s="25"/>
      <c r="G257" s="25"/>
      <c r="H257" s="96"/>
      <c r="I257" s="96"/>
      <c r="J257" s="96"/>
      <c r="K257" s="96"/>
      <c r="L257" s="96"/>
      <c r="M257" s="96"/>
      <c r="N257" s="96"/>
      <c r="O257" s="96"/>
      <c r="P257" s="54">
        <v>0</v>
      </c>
      <c r="Q257" s="95">
        <f t="shared" ref="Q257:Q264" si="5">P257/$P$266</f>
        <v>0</v>
      </c>
      <c r="R257" s="53">
        <v>0</v>
      </c>
      <c r="S257" s="95">
        <f t="shared" ref="S257:S264" si="6">R257/$R$266</f>
        <v>0</v>
      </c>
      <c r="T257" s="25"/>
      <c r="U257" s="25"/>
      <c r="V257" s="5"/>
    </row>
    <row r="258" spans="1:22" ht="15.6" x14ac:dyDescent="0.3">
      <c r="A258" s="24"/>
      <c r="B258" s="54" t="s">
        <v>95</v>
      </c>
      <c r="C258" s="25"/>
      <c r="D258" s="25"/>
      <c r="E258" s="25"/>
      <c r="F258" s="25"/>
      <c r="G258" s="25"/>
      <c r="H258" s="96"/>
      <c r="I258" s="96"/>
      <c r="J258" s="96"/>
      <c r="K258" s="96"/>
      <c r="L258" s="96"/>
      <c r="M258" s="96"/>
      <c r="N258" s="96"/>
      <c r="O258" s="96"/>
      <c r="P258" s="54">
        <v>0</v>
      </c>
      <c r="Q258" s="95">
        <f t="shared" si="5"/>
        <v>0</v>
      </c>
      <c r="R258" s="53">
        <v>0</v>
      </c>
      <c r="S258" s="95">
        <f t="shared" si="6"/>
        <v>0</v>
      </c>
      <c r="T258" s="25"/>
      <c r="U258" s="25"/>
      <c r="V258" s="5"/>
    </row>
    <row r="259" spans="1:22" ht="15.6" x14ac:dyDescent="0.3">
      <c r="A259" s="24"/>
      <c r="B259" s="54" t="s">
        <v>96</v>
      </c>
      <c r="C259" s="25"/>
      <c r="D259" s="25"/>
      <c r="E259" s="25"/>
      <c r="F259" s="25"/>
      <c r="G259" s="25"/>
      <c r="H259" s="96"/>
      <c r="I259" s="96"/>
      <c r="J259" s="96"/>
      <c r="K259" s="96"/>
      <c r="L259" s="96"/>
      <c r="M259" s="96"/>
      <c r="N259" s="96"/>
      <c r="O259" s="96"/>
      <c r="P259" s="54">
        <v>0</v>
      </c>
      <c r="Q259" s="95">
        <f t="shared" si="5"/>
        <v>0</v>
      </c>
      <c r="R259" s="53">
        <v>0</v>
      </c>
      <c r="S259" s="95">
        <f t="shared" si="6"/>
        <v>0</v>
      </c>
      <c r="T259" s="25"/>
      <c r="U259" s="25"/>
      <c r="V259" s="5"/>
    </row>
    <row r="260" spans="1:22" ht="15.6" x14ac:dyDescent="0.3">
      <c r="A260" s="24"/>
      <c r="B260" s="54" t="s">
        <v>171</v>
      </c>
      <c r="C260" s="25"/>
      <c r="D260" s="25"/>
      <c r="E260" s="25"/>
      <c r="F260" s="25"/>
      <c r="G260" s="25"/>
      <c r="H260" s="96"/>
      <c r="I260" s="96"/>
      <c r="J260" s="96"/>
      <c r="K260" s="96"/>
      <c r="L260" s="96"/>
      <c r="M260" s="96"/>
      <c r="N260" s="96"/>
      <c r="O260" s="96"/>
      <c r="P260" s="54">
        <v>0</v>
      </c>
      <c r="Q260" s="95">
        <f t="shared" si="5"/>
        <v>0</v>
      </c>
      <c r="R260" s="53">
        <v>0</v>
      </c>
      <c r="S260" s="95">
        <f t="shared" si="6"/>
        <v>0</v>
      </c>
      <c r="T260" s="25"/>
      <c r="U260" s="25"/>
      <c r="V260" s="5"/>
    </row>
    <row r="261" spans="1:22" ht="15.6" x14ac:dyDescent="0.3">
      <c r="A261" s="24"/>
      <c r="B261" s="54" t="s">
        <v>172</v>
      </c>
      <c r="C261" s="25"/>
      <c r="D261" s="25"/>
      <c r="E261" s="25"/>
      <c r="F261" s="25"/>
      <c r="G261" s="25"/>
      <c r="H261" s="96"/>
      <c r="I261" s="96"/>
      <c r="J261" s="96"/>
      <c r="K261" s="96"/>
      <c r="L261" s="96"/>
      <c r="M261" s="96"/>
      <c r="N261" s="96"/>
      <c r="O261" s="96"/>
      <c r="P261" s="54">
        <v>0</v>
      </c>
      <c r="Q261" s="95">
        <f t="shared" si="5"/>
        <v>0</v>
      </c>
      <c r="R261" s="53">
        <v>0</v>
      </c>
      <c r="S261" s="95">
        <f t="shared" si="6"/>
        <v>0</v>
      </c>
      <c r="T261" s="25"/>
      <c r="U261" s="25"/>
      <c r="V261" s="5"/>
    </row>
    <row r="262" spans="1:22" ht="15.6" x14ac:dyDescent="0.3">
      <c r="A262" s="24"/>
      <c r="B262" s="54" t="s">
        <v>173</v>
      </c>
      <c r="C262" s="25"/>
      <c r="D262" s="25"/>
      <c r="E262" s="25"/>
      <c r="F262" s="25"/>
      <c r="G262" s="25"/>
      <c r="H262" s="96"/>
      <c r="I262" s="96"/>
      <c r="J262" s="96"/>
      <c r="K262" s="96"/>
      <c r="L262" s="96"/>
      <c r="M262" s="96"/>
      <c r="N262" s="96"/>
      <c r="O262" s="96"/>
      <c r="P262" s="54">
        <v>0</v>
      </c>
      <c r="Q262" s="95">
        <f t="shared" si="5"/>
        <v>0</v>
      </c>
      <c r="R262" s="53">
        <v>0</v>
      </c>
      <c r="S262" s="95">
        <f t="shared" si="6"/>
        <v>0</v>
      </c>
      <c r="T262" s="25"/>
      <c r="U262" s="25"/>
      <c r="V262" s="5"/>
    </row>
    <row r="263" spans="1:22" ht="15.6" x14ac:dyDescent="0.3">
      <c r="A263" s="24"/>
      <c r="B263" s="54" t="s">
        <v>174</v>
      </c>
      <c r="C263" s="25"/>
      <c r="D263" s="25"/>
      <c r="E263" s="25"/>
      <c r="F263" s="25"/>
      <c r="G263" s="25"/>
      <c r="H263" s="96"/>
      <c r="I263" s="96"/>
      <c r="J263" s="96"/>
      <c r="K263" s="96"/>
      <c r="L263" s="96"/>
      <c r="M263" s="96"/>
      <c r="N263" s="96"/>
      <c r="O263" s="96"/>
      <c r="P263" s="54">
        <v>0</v>
      </c>
      <c r="Q263" s="95">
        <f t="shared" si="5"/>
        <v>0</v>
      </c>
      <c r="R263" s="53">
        <v>0</v>
      </c>
      <c r="S263" s="95">
        <f t="shared" si="6"/>
        <v>0</v>
      </c>
      <c r="T263" s="25"/>
      <c r="U263" s="25"/>
      <c r="V263" s="5"/>
    </row>
    <row r="264" spans="1:22" ht="15.6" x14ac:dyDescent="0.3">
      <c r="A264" s="24"/>
      <c r="B264" s="54" t="s">
        <v>175</v>
      </c>
      <c r="C264" s="25"/>
      <c r="D264" s="25"/>
      <c r="E264" s="25"/>
      <c r="F264" s="25"/>
      <c r="G264" s="25"/>
      <c r="H264" s="96"/>
      <c r="I264" s="96"/>
      <c r="J264" s="96"/>
      <c r="K264" s="96"/>
      <c r="L264" s="96"/>
      <c r="M264" s="96"/>
      <c r="N264" s="96"/>
      <c r="O264" s="96"/>
      <c r="P264" s="34">
        <v>1</v>
      </c>
      <c r="Q264" s="135">
        <f t="shared" si="5"/>
        <v>1</v>
      </c>
      <c r="R264" s="171">
        <v>52</v>
      </c>
      <c r="S264" s="95">
        <f t="shared" si="6"/>
        <v>1</v>
      </c>
      <c r="T264" s="25"/>
      <c r="U264" s="25"/>
      <c r="V264" s="5"/>
    </row>
    <row r="265" spans="1:22" ht="15.6" x14ac:dyDescent="0.3">
      <c r="A265" s="24"/>
      <c r="B265" s="54"/>
      <c r="C265" s="25"/>
      <c r="D265" s="25"/>
      <c r="E265" s="25"/>
      <c r="F265" s="25"/>
      <c r="G265" s="25"/>
      <c r="H265" s="96"/>
      <c r="I265" s="96"/>
      <c r="J265" s="96"/>
      <c r="K265" s="96"/>
      <c r="L265" s="96"/>
      <c r="M265" s="96"/>
      <c r="N265" s="96"/>
      <c r="O265" s="96"/>
      <c r="P265" s="54"/>
      <c r="Q265" s="95"/>
      <c r="R265" s="53"/>
      <c r="S265" s="135"/>
      <c r="T265" s="25"/>
      <c r="U265" s="25"/>
      <c r="V265" s="5"/>
    </row>
    <row r="266" spans="1:22" ht="15.6" x14ac:dyDescent="0.3">
      <c r="A266" s="24"/>
      <c r="B266" s="25" t="s">
        <v>123</v>
      </c>
      <c r="C266" s="25"/>
      <c r="D266" s="25"/>
      <c r="E266" s="25"/>
      <c r="F266" s="25"/>
      <c r="G266" s="25"/>
      <c r="H266" s="96"/>
      <c r="I266" s="96"/>
      <c r="J266" s="96"/>
      <c r="K266" s="96"/>
      <c r="L266" s="96"/>
      <c r="M266" s="96"/>
      <c r="N266" s="96"/>
      <c r="O266" s="96"/>
      <c r="P266" s="34">
        <f>SUM(P257:P264)</f>
        <v>1</v>
      </c>
      <c r="Q266" s="95">
        <f>SUM(Q257:Q264)</f>
        <v>1</v>
      </c>
      <c r="R266" s="53">
        <f>SUM(R257:R264)</f>
        <v>52</v>
      </c>
      <c r="S266" s="135">
        <f>SUM(S257:S264)</f>
        <v>1</v>
      </c>
      <c r="T266" s="25"/>
      <c r="U266" s="25"/>
      <c r="V266" s="5"/>
    </row>
    <row r="267" spans="1:22" ht="15.6" x14ac:dyDescent="0.3">
      <c r="A267" s="24"/>
      <c r="B267" s="25"/>
      <c r="C267" s="25"/>
      <c r="D267" s="25"/>
      <c r="E267" s="25"/>
      <c r="F267" s="25"/>
      <c r="G267" s="25"/>
      <c r="H267" s="96"/>
      <c r="I267" s="96"/>
      <c r="J267" s="96"/>
      <c r="K267" s="96"/>
      <c r="L267" s="96"/>
      <c r="M267" s="96"/>
      <c r="N267" s="96"/>
      <c r="O267" s="96"/>
      <c r="P267" s="34"/>
      <c r="Q267" s="135"/>
      <c r="R267" s="53"/>
      <c r="S267" s="135"/>
      <c r="T267" s="25"/>
      <c r="U267" s="25"/>
      <c r="V267" s="5"/>
    </row>
    <row r="268" spans="1:22" ht="15.6" x14ac:dyDescent="0.3">
      <c r="A268" s="24"/>
      <c r="B268" s="145" t="s">
        <v>180</v>
      </c>
      <c r="C268" s="25"/>
      <c r="D268" s="25"/>
      <c r="E268" s="25"/>
      <c r="F268" s="25"/>
      <c r="G268" s="25"/>
      <c r="H268" s="96"/>
      <c r="I268" s="96"/>
      <c r="J268" s="96"/>
      <c r="K268" s="96"/>
      <c r="L268" s="96"/>
      <c r="M268" s="96"/>
      <c r="N268" s="96"/>
      <c r="O268" s="96"/>
      <c r="P268" s="165">
        <f>+P242+P254+P266</f>
        <v>2796</v>
      </c>
      <c r="Q268" s="147"/>
      <c r="R268" s="148">
        <f>+R266+R254+R242</f>
        <v>334058</v>
      </c>
      <c r="S268" s="147"/>
      <c r="T268" s="25"/>
      <c r="U268" s="25"/>
      <c r="V268" s="5"/>
    </row>
    <row r="269" spans="1:22" ht="15.6" x14ac:dyDescent="0.3">
      <c r="A269" s="24"/>
      <c r="B269" s="25"/>
      <c r="C269" s="25"/>
      <c r="D269" s="25"/>
      <c r="E269" s="25"/>
      <c r="F269" s="25"/>
      <c r="G269" s="25"/>
      <c r="H269" s="96"/>
      <c r="I269" s="96"/>
      <c r="J269" s="96"/>
      <c r="K269" s="96"/>
      <c r="L269" s="96"/>
      <c r="M269" s="96"/>
      <c r="N269" s="96"/>
      <c r="O269" s="96"/>
      <c r="P269" s="96"/>
      <c r="Q269" s="96"/>
      <c r="R269" s="53"/>
      <c r="S269" s="96"/>
      <c r="T269" s="25"/>
      <c r="U269" s="25"/>
      <c r="V269" s="5"/>
    </row>
    <row r="270" spans="1:22" ht="15.6" x14ac:dyDescent="0.3">
      <c r="A270" s="6"/>
      <c r="B270" s="8"/>
      <c r="C270" s="8"/>
      <c r="D270" s="8"/>
      <c r="E270" s="8"/>
      <c r="F270" s="8"/>
      <c r="G270" s="8"/>
      <c r="H270" s="97"/>
      <c r="I270" s="97"/>
      <c r="J270" s="97"/>
      <c r="K270" s="97"/>
      <c r="L270" s="97"/>
      <c r="M270" s="97"/>
      <c r="N270" s="97"/>
      <c r="O270" s="97"/>
      <c r="P270" s="97"/>
      <c r="Q270" s="97"/>
      <c r="R270" s="98"/>
      <c r="S270" s="97"/>
      <c r="T270" s="8"/>
      <c r="U270" s="8"/>
      <c r="V270" s="5"/>
    </row>
    <row r="271" spans="1:22" ht="15.6" x14ac:dyDescent="0.3">
      <c r="A271" s="164"/>
      <c r="B271" s="14" t="s">
        <v>97</v>
      </c>
      <c r="C271" s="15"/>
      <c r="D271" s="15"/>
      <c r="E271" s="15"/>
      <c r="F271" s="17" t="s">
        <v>103</v>
      </c>
      <c r="G271" s="15"/>
      <c r="H271" s="14" t="s">
        <v>105</v>
      </c>
      <c r="I271" s="159"/>
      <c r="J271" s="159"/>
      <c r="K271" s="159"/>
      <c r="L271" s="159"/>
      <c r="M271" s="159"/>
      <c r="N271" s="159"/>
      <c r="O271" s="159"/>
      <c r="P271" s="159"/>
      <c r="Q271" s="159"/>
      <c r="R271" s="159"/>
      <c r="S271" s="159"/>
      <c r="T271" s="159"/>
      <c r="U271" s="159"/>
      <c r="V271" s="5"/>
    </row>
    <row r="272" spans="1:22" ht="15.6" x14ac:dyDescent="0.3">
      <c r="A272" s="164"/>
      <c r="B272" s="159"/>
      <c r="C272" s="8"/>
      <c r="D272" s="8"/>
      <c r="E272" s="8"/>
      <c r="F272" s="8"/>
      <c r="G272" s="8"/>
      <c r="H272" s="8"/>
      <c r="I272" s="159"/>
      <c r="J272" s="159"/>
      <c r="K272" s="159"/>
      <c r="L272" s="159"/>
      <c r="M272" s="159"/>
      <c r="N272" s="159"/>
      <c r="O272" s="159"/>
      <c r="P272" s="159"/>
      <c r="Q272" s="159"/>
      <c r="R272" s="159"/>
      <c r="S272" s="159"/>
      <c r="T272" s="159"/>
      <c r="U272" s="159"/>
      <c r="V272" s="5"/>
    </row>
    <row r="273" spans="1:22" ht="15.6" x14ac:dyDescent="0.3">
      <c r="A273" s="164"/>
      <c r="B273" s="13" t="s">
        <v>98</v>
      </c>
      <c r="C273" s="13"/>
      <c r="D273" s="13"/>
      <c r="E273" s="13"/>
      <c r="F273" s="133" t="s">
        <v>159</v>
      </c>
      <c r="G273" s="13"/>
      <c r="H273" s="13" t="s">
        <v>167</v>
      </c>
      <c r="I273" s="159"/>
      <c r="J273" s="159"/>
      <c r="K273" s="159"/>
      <c r="L273" s="159"/>
      <c r="M273" s="159"/>
      <c r="N273" s="159"/>
      <c r="O273" s="159"/>
      <c r="P273" s="159"/>
      <c r="Q273" s="159"/>
      <c r="R273" s="159"/>
      <c r="S273" s="159"/>
      <c r="T273" s="159"/>
      <c r="U273" s="159"/>
      <c r="V273" s="5"/>
    </row>
    <row r="274" spans="1:22" ht="15.6" x14ac:dyDescent="0.3">
      <c r="A274" s="164"/>
      <c r="B274" s="13" t="s">
        <v>273</v>
      </c>
      <c r="C274" s="13"/>
      <c r="D274" s="13"/>
      <c r="E274" s="13"/>
      <c r="F274" s="133" t="s">
        <v>274</v>
      </c>
      <c r="G274" s="13"/>
      <c r="H274" s="13" t="s">
        <v>275</v>
      </c>
      <c r="I274" s="159"/>
      <c r="J274" s="159"/>
      <c r="K274" s="159"/>
      <c r="L274" s="159"/>
      <c r="M274" s="159"/>
      <c r="N274" s="159"/>
      <c r="O274" s="159"/>
      <c r="P274" s="159"/>
      <c r="Q274" s="159"/>
      <c r="R274" s="159"/>
      <c r="S274" s="159"/>
      <c r="T274" s="159"/>
      <c r="U274" s="159"/>
      <c r="V274" s="5"/>
    </row>
    <row r="275" spans="1:22" ht="15.6" x14ac:dyDescent="0.3">
      <c r="A275" s="164"/>
      <c r="B275" s="13" t="s">
        <v>99</v>
      </c>
      <c r="C275" s="13"/>
      <c r="D275" s="13"/>
      <c r="E275" s="13"/>
      <c r="F275" s="133" t="s">
        <v>158</v>
      </c>
      <c r="G275" s="13"/>
      <c r="H275" s="13" t="s">
        <v>168</v>
      </c>
      <c r="I275" s="159"/>
      <c r="J275" s="159"/>
      <c r="K275" s="159"/>
      <c r="L275" s="159"/>
      <c r="M275" s="159"/>
      <c r="N275" s="159"/>
      <c r="O275" s="159"/>
      <c r="P275" s="159"/>
      <c r="Q275" s="159"/>
      <c r="R275" s="159"/>
      <c r="S275" s="159"/>
      <c r="T275" s="159"/>
      <c r="U275" s="159"/>
      <c r="V275" s="5"/>
    </row>
    <row r="276" spans="1:22" ht="15.6" x14ac:dyDescent="0.3">
      <c r="A276" s="164"/>
      <c r="B276" s="13"/>
      <c r="C276" s="13"/>
      <c r="D276" s="13"/>
      <c r="E276" s="13"/>
      <c r="F276" s="13"/>
      <c r="G276" s="100"/>
      <c r="H276" s="159"/>
      <c r="I276" s="159"/>
      <c r="J276" s="159"/>
      <c r="K276" s="159"/>
      <c r="L276" s="159"/>
      <c r="M276" s="159"/>
      <c r="N276" s="159"/>
      <c r="O276" s="159"/>
      <c r="P276" s="159"/>
      <c r="Q276" s="159"/>
      <c r="R276" s="159"/>
      <c r="S276" s="159"/>
      <c r="T276" s="159"/>
      <c r="U276" s="159"/>
      <c r="V276" s="5"/>
    </row>
    <row r="277" spans="1:22" ht="15.6" x14ac:dyDescent="0.3">
      <c r="A277" s="164"/>
      <c r="B277" s="13"/>
      <c r="C277" s="13"/>
      <c r="D277" s="13"/>
      <c r="E277" s="13"/>
      <c r="F277" s="13"/>
      <c r="G277" s="100"/>
      <c r="H277" s="159"/>
      <c r="I277" s="159"/>
      <c r="J277" s="159"/>
      <c r="K277" s="159"/>
      <c r="L277" s="159"/>
      <c r="M277" s="159"/>
      <c r="N277" s="159"/>
      <c r="O277" s="159"/>
      <c r="P277" s="159"/>
      <c r="Q277" s="159"/>
      <c r="R277" s="159"/>
      <c r="S277" s="159"/>
      <c r="T277" s="159"/>
      <c r="U277" s="159"/>
      <c r="V277" s="5"/>
    </row>
    <row r="278" spans="1:22" ht="18" thickBot="1" x14ac:dyDescent="0.35">
      <c r="A278" s="164"/>
      <c r="B278" s="49" t="str">
        <f>B195</f>
        <v>PM9 INVESTOR REPORT QUARTER ENDING OCTOBER 2009</v>
      </c>
      <c r="C278" s="13"/>
      <c r="D278" s="13"/>
      <c r="E278" s="13"/>
      <c r="F278" s="13"/>
      <c r="G278" s="100"/>
      <c r="H278" s="159"/>
      <c r="I278" s="159"/>
      <c r="J278" s="159"/>
      <c r="K278" s="159"/>
      <c r="L278" s="159"/>
      <c r="M278" s="159"/>
      <c r="N278" s="159"/>
      <c r="O278" s="159"/>
      <c r="P278" s="159"/>
      <c r="Q278" s="159"/>
      <c r="R278" s="159"/>
      <c r="S278" s="159"/>
      <c r="T278" s="159"/>
      <c r="U278" s="159"/>
      <c r="V278" s="5"/>
    </row>
    <row r="279" spans="1:22" x14ac:dyDescent="0.25">
      <c r="A279" s="101"/>
      <c r="B279" s="101"/>
      <c r="C279" s="101"/>
      <c r="D279" s="101"/>
      <c r="E279" s="101"/>
      <c r="F279" s="101"/>
      <c r="G279" s="101"/>
      <c r="H279" s="101"/>
      <c r="I279" s="101"/>
      <c r="J279" s="101"/>
      <c r="K279" s="101"/>
      <c r="L279" s="101"/>
      <c r="M279" s="101"/>
      <c r="N279" s="101"/>
      <c r="O279" s="101"/>
      <c r="P279" s="101"/>
      <c r="Q279" s="101"/>
      <c r="R279" s="101"/>
      <c r="S279" s="101"/>
      <c r="T279" s="101"/>
      <c r="U279" s="101"/>
    </row>
  </sheetData>
  <phoneticPr fontId="0" type="noConversion"/>
  <hyperlinks>
    <hyperlink ref="J9" r:id="rId1" xr:uid="{00000000-0004-0000-1000-000000000000}"/>
    <hyperlink ref="N230" r:id="rId2" xr:uid="{00000000-0004-0000-10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4" max="14" man="1"/>
    <brk id="195" max="14"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2D2926"/>
  </sheetPr>
  <dimension ref="A1:W279"/>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t="s">
        <v>263</v>
      </c>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0.71460000000000001</v>
      </c>
      <c r="R16" s="17" t="s">
        <v>149</v>
      </c>
      <c r="S16" s="140">
        <v>0.28539999999999999</v>
      </c>
      <c r="T16" s="16"/>
      <c r="U16" s="15"/>
      <c r="V16" s="5"/>
    </row>
    <row r="17" spans="1:22" ht="15.6" x14ac:dyDescent="0.3">
      <c r="A17" s="6"/>
      <c r="B17" s="14" t="s">
        <v>4</v>
      </c>
      <c r="C17" s="15"/>
      <c r="D17" s="15"/>
      <c r="E17" s="15"/>
      <c r="F17" s="15"/>
      <c r="G17" s="15"/>
      <c r="H17" s="15"/>
      <c r="I17" s="15"/>
      <c r="J17" s="15"/>
      <c r="K17" s="15"/>
      <c r="L17" s="15"/>
      <c r="M17" s="15"/>
      <c r="N17" s="15"/>
      <c r="O17" s="15"/>
      <c r="P17" s="15"/>
      <c r="Q17" s="169"/>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40226</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143219.98759999999</v>
      </c>
      <c r="E30" s="32"/>
      <c r="F30" s="125">
        <f>F29*F36</f>
        <v>146945.36299999998</v>
      </c>
      <c r="G30" s="31"/>
      <c r="H30" s="150">
        <f>H29*H36</f>
        <v>24835.794000000002</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141566.38440000001</v>
      </c>
      <c r="E31" s="36"/>
      <c r="F31" s="126">
        <f>F35*F29</f>
        <v>145248.747</v>
      </c>
      <c r="G31" s="35"/>
      <c r="H31" s="155">
        <f>H35*H29</f>
        <v>24549.036</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143219.98759999999</v>
      </c>
      <c r="E33" s="32"/>
      <c r="F33" s="31">
        <f>F32*F36</f>
        <v>101206.03169999999</v>
      </c>
      <c r="G33" s="31"/>
      <c r="H33" s="31">
        <f>H32*H36</f>
        <v>14032.223610000001</v>
      </c>
      <c r="I33" s="31"/>
      <c r="J33" s="31">
        <f>J32*J36</f>
        <v>7000</v>
      </c>
      <c r="K33" s="31"/>
      <c r="L33" s="31">
        <f>L32*L36</f>
        <v>20300</v>
      </c>
      <c r="M33" s="31"/>
      <c r="N33" s="31">
        <f>N32*N36</f>
        <v>3000</v>
      </c>
      <c r="O33" s="31"/>
      <c r="P33" s="31">
        <f>P32*P36</f>
        <v>45300</v>
      </c>
      <c r="Q33" s="31"/>
      <c r="R33" s="31"/>
      <c r="S33" s="161"/>
      <c r="T33" s="31">
        <f>SUM(C33:P33)</f>
        <v>334058.24290999997</v>
      </c>
      <c r="U33" s="34"/>
      <c r="V33" s="5"/>
    </row>
    <row r="34" spans="1:22" ht="15.6" x14ac:dyDescent="0.3">
      <c r="A34" s="28"/>
      <c r="B34" s="29" t="s">
        <v>291</v>
      </c>
      <c r="C34" s="36"/>
      <c r="D34" s="35">
        <f>D35*D32</f>
        <v>141566.38440000001</v>
      </c>
      <c r="E34" s="36"/>
      <c r="F34" s="35">
        <f>F35*F32</f>
        <v>100037.51730000001</v>
      </c>
      <c r="G34" s="35"/>
      <c r="H34" s="35">
        <f>H35*H32</f>
        <v>13870.205339999999</v>
      </c>
      <c r="I34" s="35"/>
      <c r="J34" s="35">
        <f>J35*J32</f>
        <v>7000</v>
      </c>
      <c r="K34" s="35"/>
      <c r="L34" s="35">
        <f>L35*L32</f>
        <v>20300</v>
      </c>
      <c r="M34" s="35"/>
      <c r="N34" s="35">
        <f>N35*N32</f>
        <v>3000</v>
      </c>
      <c r="O34" s="35"/>
      <c r="P34" s="35">
        <f>P35*P32</f>
        <v>45300</v>
      </c>
      <c r="Q34" s="35"/>
      <c r="R34" s="35"/>
      <c r="S34" s="37"/>
      <c r="T34" s="35">
        <f>SUM(C34:P34)</f>
        <v>331074.10704000003</v>
      </c>
      <c r="U34" s="34"/>
      <c r="V34" s="5"/>
    </row>
    <row r="35" spans="1:22" ht="15.6" x14ac:dyDescent="0.3">
      <c r="A35" s="28"/>
      <c r="B35" s="123" t="s">
        <v>139</v>
      </c>
      <c r="C35" s="127"/>
      <c r="D35" s="167">
        <v>0.4091514</v>
      </c>
      <c r="E35" s="168"/>
      <c r="F35" s="167">
        <v>0.4091514</v>
      </c>
      <c r="G35" s="167"/>
      <c r="H35" s="167">
        <v>0.40915059999999998</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67">
        <v>0.41393059999999998</v>
      </c>
      <c r="E36" s="168"/>
      <c r="F36" s="167">
        <v>0.41393059999999998</v>
      </c>
      <c r="G36" s="167"/>
      <c r="H36" s="167">
        <v>0.41392990000000002</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7.9406000000000008E-3</v>
      </c>
      <c r="E38" s="25"/>
      <c r="F38" s="38">
        <v>8.94E-3</v>
      </c>
      <c r="G38" s="39"/>
      <c r="H38" s="38">
        <v>4.5250000000000004E-3</v>
      </c>
      <c r="I38" s="39"/>
      <c r="J38" s="38">
        <v>9.0405999999999993E-3</v>
      </c>
      <c r="K38" s="39"/>
      <c r="L38" s="38">
        <v>1.004E-2</v>
      </c>
      <c r="M38" s="39"/>
      <c r="N38" s="38">
        <v>1.1340599999999999E-2</v>
      </c>
      <c r="O38" s="39"/>
      <c r="P38" s="38">
        <v>1.234E-2</v>
      </c>
      <c r="Q38" s="39"/>
      <c r="R38" s="38"/>
      <c r="S38" s="160"/>
      <c r="T38" s="39"/>
      <c r="U38" s="25"/>
      <c r="V38" s="5"/>
    </row>
    <row r="39" spans="1:22" ht="15.6" x14ac:dyDescent="0.3">
      <c r="A39" s="24"/>
      <c r="B39" s="25" t="s">
        <v>14</v>
      </c>
      <c r="C39" s="25"/>
      <c r="D39" s="38">
        <v>9.3749999999999997E-3</v>
      </c>
      <c r="E39" s="25"/>
      <c r="F39" s="38">
        <v>1.0529999999999999E-2</v>
      </c>
      <c r="G39" s="39"/>
      <c r="H39" s="38">
        <v>6.1999999999999998E-3</v>
      </c>
      <c r="I39" s="39"/>
      <c r="J39" s="38">
        <v>1.0475E-2</v>
      </c>
      <c r="K39" s="39"/>
      <c r="L39" s="38">
        <v>1.163E-2</v>
      </c>
      <c r="M39" s="39"/>
      <c r="N39" s="38">
        <v>1.2775E-2</v>
      </c>
      <c r="O39" s="39"/>
      <c r="P39" s="38">
        <v>1.393E-2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7.9406000000000008E-3</v>
      </c>
      <c r="E41" s="25"/>
      <c r="F41" s="38">
        <v>8.0406000000000002E-3</v>
      </c>
      <c r="G41" s="39"/>
      <c r="H41" s="38">
        <v>8.1706000000000001E-3</v>
      </c>
      <c r="I41" s="39"/>
      <c r="J41" s="38">
        <f>+J38</f>
        <v>9.0405999999999993E-3</v>
      </c>
      <c r="K41" s="39"/>
      <c r="L41" s="38">
        <v>9.3355999999999995E-3</v>
      </c>
      <c r="M41" s="39"/>
      <c r="N41" s="38">
        <f>+N38</f>
        <v>1.1340599999999999E-2</v>
      </c>
      <c r="O41" s="39"/>
      <c r="P41" s="38">
        <v>1.17806E-2</v>
      </c>
      <c r="Q41" s="39"/>
      <c r="R41" s="38"/>
      <c r="S41" s="160"/>
      <c r="T41" s="39">
        <f>SUMPRODUCT(D41:P41,D33:P33)/T33</f>
        <v>8.6396353315820237E-3</v>
      </c>
      <c r="U41" s="25"/>
      <c r="V41" s="5"/>
    </row>
    <row r="42" spans="1:22" ht="15.6" x14ac:dyDescent="0.3">
      <c r="A42" s="24"/>
      <c r="B42" s="25" t="s">
        <v>294</v>
      </c>
      <c r="C42" s="25"/>
      <c r="D42" s="38">
        <f>+D39</f>
        <v>9.3749999999999997E-3</v>
      </c>
      <c r="E42" s="25"/>
      <c r="F42" s="38">
        <v>9.4750000000000008E-3</v>
      </c>
      <c r="G42" s="39"/>
      <c r="H42" s="38">
        <v>9.6050000000000007E-3</v>
      </c>
      <c r="I42" s="39"/>
      <c r="J42" s="38">
        <f>+J39</f>
        <v>1.0475E-2</v>
      </c>
      <c r="K42" s="39"/>
      <c r="L42" s="38">
        <v>1.077E-2</v>
      </c>
      <c r="M42" s="39"/>
      <c r="N42" s="38">
        <f>+N39</f>
        <v>1.2775E-2</v>
      </c>
      <c r="O42" s="39"/>
      <c r="P42" s="38">
        <v>1.3214999999999999E-2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0.29592040021560068</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40225</v>
      </c>
      <c r="U53" s="25"/>
      <c r="V53" s="5"/>
    </row>
    <row r="54" spans="1:23" ht="15.6" x14ac:dyDescent="0.3">
      <c r="A54" s="24"/>
      <c r="B54" s="25" t="s">
        <v>130</v>
      </c>
      <c r="C54" s="25"/>
      <c r="D54" s="25"/>
      <c r="E54" s="25"/>
      <c r="F54" s="25"/>
      <c r="G54" s="25"/>
      <c r="H54" s="58"/>
      <c r="I54" s="58"/>
      <c r="J54" s="58"/>
      <c r="K54" s="58"/>
      <c r="L54" s="58"/>
      <c r="M54" s="58"/>
      <c r="N54" s="58"/>
      <c r="O54" s="58"/>
      <c r="P54" s="25">
        <f>+T54-R54+1</f>
        <v>91</v>
      </c>
      <c r="Q54" s="25"/>
      <c r="R54" s="45">
        <v>40042</v>
      </c>
      <c r="S54" s="46"/>
      <c r="T54" s="45">
        <v>40132</v>
      </c>
      <c r="U54" s="25"/>
      <c r="V54" s="5"/>
    </row>
    <row r="55" spans="1:23" ht="15.6" x14ac:dyDescent="0.3">
      <c r="A55" s="24"/>
      <c r="B55" s="25" t="s">
        <v>131</v>
      </c>
      <c r="C55" s="25"/>
      <c r="D55" s="25"/>
      <c r="E55" s="25"/>
      <c r="F55" s="25"/>
      <c r="G55" s="25"/>
      <c r="H55" s="25"/>
      <c r="I55" s="25"/>
      <c r="J55" s="25"/>
      <c r="K55" s="25"/>
      <c r="L55" s="25"/>
      <c r="M55" s="25"/>
      <c r="N55" s="25"/>
      <c r="O55" s="25"/>
      <c r="P55" s="25">
        <f>+T55-R55+1</f>
        <v>92</v>
      </c>
      <c r="Q55" s="25"/>
      <c r="R55" s="45">
        <v>40133</v>
      </c>
      <c r="S55" s="46"/>
      <c r="T55" s="45">
        <v>40224</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40210</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297</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334058</v>
      </c>
      <c r="M66" s="34"/>
      <c r="N66" s="34">
        <f>2984+520+21</f>
        <v>3525</v>
      </c>
      <c r="O66" s="34"/>
      <c r="P66" s="34">
        <f>520+21</f>
        <v>541</v>
      </c>
      <c r="Q66" s="34"/>
      <c r="R66" s="34">
        <v>0</v>
      </c>
      <c r="S66" s="34"/>
      <c r="T66" s="53">
        <f>+L66-N66+P66-R66</f>
        <v>331074</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334058</v>
      </c>
      <c r="M69" s="34"/>
      <c r="N69" s="34">
        <f>SUM(N66:N68)</f>
        <v>3525</v>
      </c>
      <c r="O69" s="34"/>
      <c r="P69" s="34">
        <f>SUM(P66:P68)</f>
        <v>541</v>
      </c>
      <c r="Q69" s="34"/>
      <c r="R69" s="34">
        <f>SUM(R66:R68)</f>
        <v>0</v>
      </c>
      <c r="S69" s="34"/>
      <c r="T69" s="54">
        <f>SUM(T66:T68)</f>
        <v>331074</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2"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2" ht="15.6" x14ac:dyDescent="0.3">
      <c r="A82" s="24"/>
      <c r="B82" s="25" t="s">
        <v>27</v>
      </c>
      <c r="C82" s="34"/>
      <c r="D82" s="34"/>
      <c r="E82" s="34"/>
      <c r="F82" s="54"/>
      <c r="G82" s="34"/>
      <c r="H82" s="54"/>
      <c r="I82" s="54"/>
      <c r="J82" s="54">
        <f>SUM(J69:J81)</f>
        <v>700000</v>
      </c>
      <c r="K82" s="34"/>
      <c r="L82" s="54">
        <f>SUM(L69:L81)</f>
        <v>334058</v>
      </c>
      <c r="M82" s="34"/>
      <c r="N82" s="34"/>
      <c r="O82" s="34"/>
      <c r="P82" s="34"/>
      <c r="Q82" s="34"/>
      <c r="R82" s="54"/>
      <c r="S82" s="34"/>
      <c r="T82" s="54">
        <f>SUM(T69:T81)</f>
        <v>331074</v>
      </c>
      <c r="U82" s="25"/>
      <c r="V82" s="5"/>
    </row>
    <row r="83" spans="1:22"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2" ht="15.6" x14ac:dyDescent="0.3">
      <c r="A84" s="6"/>
      <c r="B84" s="8"/>
      <c r="C84" s="8"/>
      <c r="D84" s="8"/>
      <c r="E84" s="8"/>
      <c r="F84" s="8"/>
      <c r="G84" s="8"/>
      <c r="H84" s="8"/>
      <c r="I84" s="8"/>
      <c r="J84" s="8"/>
      <c r="K84" s="8"/>
      <c r="L84" s="8"/>
      <c r="M84" s="8"/>
      <c r="N84" s="8"/>
      <c r="O84" s="8"/>
      <c r="P84" s="8"/>
      <c r="Q84" s="8"/>
      <c r="R84" s="8"/>
      <c r="S84" s="8"/>
      <c r="T84" s="8"/>
      <c r="U84" s="8"/>
      <c r="V84" s="5"/>
    </row>
    <row r="85" spans="1:22" ht="15.6" x14ac:dyDescent="0.3">
      <c r="A85" s="6"/>
      <c r="B85" s="51" t="s">
        <v>28</v>
      </c>
      <c r="C85" s="14"/>
      <c r="D85" s="14"/>
      <c r="E85" s="14"/>
      <c r="F85" s="14"/>
      <c r="G85" s="14"/>
      <c r="H85" s="17"/>
      <c r="I85" s="17"/>
      <c r="J85" s="158" t="s">
        <v>101</v>
      </c>
      <c r="K85" s="17"/>
      <c r="L85" s="157">
        <f>+R196</f>
        <v>40207</v>
      </c>
      <c r="M85" s="17"/>
      <c r="N85" s="17"/>
      <c r="O85" s="17"/>
      <c r="P85" s="17"/>
      <c r="Q85" s="17"/>
      <c r="R85" s="17" t="s">
        <v>114</v>
      </c>
      <c r="S85" s="17"/>
      <c r="T85" s="17" t="s">
        <v>122</v>
      </c>
      <c r="U85" s="8"/>
      <c r="V85" s="5"/>
    </row>
    <row r="86" spans="1:22"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2" ht="15.6" x14ac:dyDescent="0.3">
      <c r="A87" s="24"/>
      <c r="B87" s="25" t="s">
        <v>30</v>
      </c>
      <c r="C87" s="25"/>
      <c r="D87" s="25"/>
      <c r="E87" s="25"/>
      <c r="F87" s="25"/>
      <c r="G87" s="25"/>
      <c r="H87" s="40"/>
      <c r="I87" s="57"/>
      <c r="J87" s="40"/>
      <c r="K87" s="25"/>
      <c r="L87" s="128"/>
      <c r="M87" s="25"/>
      <c r="N87" s="25"/>
      <c r="O87" s="25"/>
      <c r="P87" s="25"/>
      <c r="Q87" s="25"/>
      <c r="R87" s="34">
        <f>3525-173</f>
        <v>3352</v>
      </c>
      <c r="S87" s="25"/>
      <c r="T87" s="53"/>
      <c r="U87" s="25"/>
      <c r="V87" s="5"/>
    </row>
    <row r="88" spans="1:22" ht="15.6" x14ac:dyDescent="0.3">
      <c r="A88" s="24"/>
      <c r="B88" s="25" t="s">
        <v>254</v>
      </c>
      <c r="C88" s="25"/>
      <c r="D88" s="25"/>
      <c r="E88" s="25"/>
      <c r="F88" s="25"/>
      <c r="G88" s="25"/>
      <c r="H88" s="40"/>
      <c r="I88" s="57"/>
      <c r="J88" s="40"/>
      <c r="K88" s="25"/>
      <c r="L88" s="128"/>
      <c r="M88" s="25"/>
      <c r="N88" s="25"/>
      <c r="O88" s="25"/>
      <c r="P88" s="25"/>
      <c r="Q88" s="25"/>
      <c r="R88" s="34"/>
      <c r="S88" s="25"/>
      <c r="T88" s="53">
        <f>2376+781-446-109+21</f>
        <v>2623</v>
      </c>
      <c r="U88" s="25"/>
      <c r="V88" s="5"/>
    </row>
    <row r="89" spans="1:22" ht="15.6" x14ac:dyDescent="0.3">
      <c r="A89" s="24"/>
      <c r="B89" s="25" t="s">
        <v>255</v>
      </c>
      <c r="C89" s="25"/>
      <c r="D89" s="25"/>
      <c r="E89" s="25"/>
      <c r="F89" s="25"/>
      <c r="G89" s="25"/>
      <c r="H89" s="40"/>
      <c r="I89" s="57"/>
      <c r="J89" s="40"/>
      <c r="K89" s="25"/>
      <c r="L89" s="128"/>
      <c r="M89" s="25"/>
      <c r="N89" s="25"/>
      <c r="O89" s="25"/>
      <c r="P89" s="25"/>
      <c r="Q89" s="25"/>
      <c r="R89" s="34"/>
      <c r="S89" s="25"/>
      <c r="T89" s="53">
        <f>46+31</f>
        <v>77</v>
      </c>
      <c r="U89" s="25"/>
      <c r="V89" s="5"/>
    </row>
    <row r="90" spans="1:22" ht="15.6" x14ac:dyDescent="0.3">
      <c r="A90" s="24"/>
      <c r="B90" s="25" t="s">
        <v>256</v>
      </c>
      <c r="C90" s="25"/>
      <c r="D90" s="25"/>
      <c r="E90" s="25"/>
      <c r="F90" s="25"/>
      <c r="G90" s="25"/>
      <c r="H90" s="40"/>
      <c r="I90" s="57"/>
      <c r="J90" s="40"/>
      <c r="K90" s="25"/>
      <c r="L90" s="128"/>
      <c r="M90" s="25"/>
      <c r="N90" s="25"/>
      <c r="O90" s="25"/>
      <c r="P90" s="25"/>
      <c r="Q90" s="25"/>
      <c r="R90" s="34"/>
      <c r="S90" s="25"/>
      <c r="T90" s="53">
        <v>26</v>
      </c>
      <c r="U90" s="25"/>
      <c r="V90" s="5"/>
    </row>
    <row r="91" spans="1:22" ht="15.6" x14ac:dyDescent="0.3">
      <c r="A91" s="24"/>
      <c r="B91" s="25" t="s">
        <v>270</v>
      </c>
      <c r="C91" s="25"/>
      <c r="D91" s="25"/>
      <c r="E91" s="25"/>
      <c r="F91" s="25"/>
      <c r="G91" s="25"/>
      <c r="H91" s="40"/>
      <c r="I91" s="57"/>
      <c r="J91" s="40"/>
      <c r="K91" s="25"/>
      <c r="L91" s="128"/>
      <c r="M91" s="25"/>
      <c r="N91" s="25"/>
      <c r="O91" s="25"/>
      <c r="P91" s="25"/>
      <c r="Q91" s="25"/>
      <c r="R91" s="34"/>
      <c r="S91" s="25"/>
      <c r="T91" s="53">
        <v>0</v>
      </c>
      <c r="U91" s="25"/>
      <c r="V91" s="5"/>
    </row>
    <row r="92" spans="1:22" ht="15.6" x14ac:dyDescent="0.3">
      <c r="A92" s="24"/>
      <c r="B92" s="25" t="s">
        <v>144</v>
      </c>
      <c r="C92" s="25"/>
      <c r="D92" s="25"/>
      <c r="E92" s="25"/>
      <c r="F92" s="25"/>
      <c r="G92" s="25"/>
      <c r="H92" s="25"/>
      <c r="I92" s="25"/>
      <c r="J92" s="25"/>
      <c r="K92" s="25"/>
      <c r="L92" s="25"/>
      <c r="M92" s="25"/>
      <c r="N92" s="25"/>
      <c r="O92" s="25"/>
      <c r="P92" s="25"/>
      <c r="Q92" s="25"/>
      <c r="R92" s="34"/>
      <c r="S92" s="25"/>
      <c r="T92" s="53">
        <v>0</v>
      </c>
      <c r="U92" s="25"/>
      <c r="V92" s="5"/>
    </row>
    <row r="93" spans="1:22" ht="15.6" x14ac:dyDescent="0.3">
      <c r="A93" s="24"/>
      <c r="B93" s="25" t="s">
        <v>233</v>
      </c>
      <c r="C93" s="25"/>
      <c r="D93" s="25"/>
      <c r="E93" s="25"/>
      <c r="F93" s="25"/>
      <c r="G93" s="25"/>
      <c r="H93" s="25"/>
      <c r="I93" s="25"/>
      <c r="J93" s="25"/>
      <c r="K93" s="25"/>
      <c r="L93" s="25"/>
      <c r="M93" s="25"/>
      <c r="N93" s="25"/>
      <c r="O93" s="25"/>
      <c r="P93" s="25"/>
      <c r="Q93" s="25"/>
      <c r="R93" s="34"/>
      <c r="S93" s="25"/>
      <c r="T93" s="53">
        <v>48</v>
      </c>
      <c r="U93" s="25"/>
      <c r="V93" s="5"/>
    </row>
    <row r="94" spans="1:22" ht="15.6" x14ac:dyDescent="0.3">
      <c r="A94" s="24"/>
      <c r="B94" s="25" t="s">
        <v>32</v>
      </c>
      <c r="C94" s="25"/>
      <c r="D94" s="25"/>
      <c r="E94" s="25"/>
      <c r="F94" s="25"/>
      <c r="G94" s="25"/>
      <c r="H94" s="25"/>
      <c r="I94" s="25"/>
      <c r="J94" s="25"/>
      <c r="K94" s="25"/>
      <c r="L94" s="25"/>
      <c r="M94" s="25"/>
      <c r="N94" s="25"/>
      <c r="O94" s="25"/>
      <c r="P94" s="25"/>
      <c r="Q94" s="25"/>
      <c r="R94" s="34">
        <f>SUM(R86:R93)</f>
        <v>3352</v>
      </c>
      <c r="S94" s="25"/>
      <c r="T94" s="54">
        <f>SUM(T86:T93)</f>
        <v>2774</v>
      </c>
      <c r="U94" s="25"/>
      <c r="V94" s="5"/>
    </row>
    <row r="95" spans="1:22" ht="15.6" x14ac:dyDescent="0.3">
      <c r="A95" s="24"/>
      <c r="B95" s="25" t="s">
        <v>176</v>
      </c>
      <c r="C95" s="25"/>
      <c r="D95" s="25"/>
      <c r="E95" s="25"/>
      <c r="F95" s="25"/>
      <c r="G95" s="25"/>
      <c r="H95" s="25"/>
      <c r="I95" s="25"/>
      <c r="J95" s="25"/>
      <c r="K95" s="25"/>
      <c r="L95" s="25"/>
      <c r="M95" s="25"/>
      <c r="N95" s="25"/>
      <c r="O95" s="25"/>
      <c r="P95" s="25"/>
      <c r="Q95" s="25"/>
      <c r="R95" s="34">
        <v>-21</v>
      </c>
      <c r="S95" s="25"/>
      <c r="T95" s="54">
        <f>-R95</f>
        <v>21</v>
      </c>
      <c r="U95" s="25"/>
      <c r="V95" s="5"/>
    </row>
    <row r="96" spans="1:22" ht="15.6" x14ac:dyDescent="0.3">
      <c r="A96" s="24"/>
      <c r="B96" s="25" t="s">
        <v>33</v>
      </c>
      <c r="C96" s="25"/>
      <c r="D96" s="25"/>
      <c r="E96" s="25"/>
      <c r="F96" s="25"/>
      <c r="G96" s="25"/>
      <c r="H96" s="25"/>
      <c r="I96" s="25"/>
      <c r="J96" s="25"/>
      <c r="K96" s="25"/>
      <c r="L96" s="25"/>
      <c r="M96" s="25"/>
      <c r="N96" s="25"/>
      <c r="O96" s="25"/>
      <c r="P96" s="25"/>
      <c r="Q96" s="25"/>
      <c r="R96" s="34">
        <f>-T96</f>
        <v>0</v>
      </c>
      <c r="S96" s="25"/>
      <c r="T96" s="53">
        <v>0</v>
      </c>
      <c r="U96" s="25"/>
      <c r="V96" s="5"/>
    </row>
    <row r="97" spans="1:23" ht="15.6" x14ac:dyDescent="0.3">
      <c r="A97" s="24"/>
      <c r="B97" s="25" t="s">
        <v>278</v>
      </c>
      <c r="C97" s="25"/>
      <c r="D97" s="25"/>
      <c r="E97" s="25"/>
      <c r="F97" s="25"/>
      <c r="G97" s="25"/>
      <c r="H97" s="25"/>
      <c r="I97" s="25"/>
      <c r="J97" s="25"/>
      <c r="K97" s="25"/>
      <c r="L97" s="25"/>
      <c r="M97" s="25"/>
      <c r="N97" s="25"/>
      <c r="O97" s="25"/>
      <c r="P97" s="25"/>
      <c r="Q97" s="25"/>
      <c r="R97" s="34"/>
      <c r="S97" s="25"/>
      <c r="T97" s="53">
        <v>-220</v>
      </c>
      <c r="U97" s="25"/>
      <c r="V97" s="5"/>
    </row>
    <row r="98" spans="1:23" ht="15.6" x14ac:dyDescent="0.3">
      <c r="A98" s="24"/>
      <c r="B98" s="25" t="s">
        <v>34</v>
      </c>
      <c r="C98" s="25"/>
      <c r="D98" s="25"/>
      <c r="E98" s="25"/>
      <c r="F98" s="25"/>
      <c r="G98" s="25"/>
      <c r="H98" s="25"/>
      <c r="I98" s="25"/>
      <c r="J98" s="25"/>
      <c r="K98" s="25"/>
      <c r="L98" s="25"/>
      <c r="M98" s="25"/>
      <c r="N98" s="25"/>
      <c r="O98" s="25"/>
      <c r="P98" s="25"/>
      <c r="Q98" s="25"/>
      <c r="R98" s="34">
        <f>R94+R96+R95</f>
        <v>3331</v>
      </c>
      <c r="S98" s="25"/>
      <c r="T98" s="54">
        <f>T94+T96+T95+T97</f>
        <v>2575</v>
      </c>
      <c r="U98" s="25"/>
      <c r="V98" s="5"/>
      <c r="W98" s="166"/>
    </row>
    <row r="99" spans="1:23" ht="15.6" x14ac:dyDescent="0.3">
      <c r="A99" s="24"/>
      <c r="B99" s="119" t="s">
        <v>35</v>
      </c>
      <c r="C99" s="25"/>
      <c r="D99" s="25"/>
      <c r="E99" s="25"/>
      <c r="F99" s="25"/>
      <c r="G99" s="25"/>
      <c r="H99" s="25"/>
      <c r="I99" s="25"/>
      <c r="J99" s="25"/>
      <c r="K99" s="25"/>
      <c r="L99" s="25"/>
      <c r="M99" s="25"/>
      <c r="N99" s="25"/>
      <c r="O99" s="25"/>
      <c r="P99" s="25"/>
      <c r="Q99" s="25"/>
      <c r="R99" s="34"/>
      <c r="S99" s="25"/>
      <c r="T99" s="53"/>
      <c r="U99" s="25"/>
      <c r="V99" s="5"/>
    </row>
    <row r="100" spans="1:23" ht="15.6" x14ac:dyDescent="0.3">
      <c r="A100" s="24">
        <v>1</v>
      </c>
      <c r="B100" s="25" t="s">
        <v>36</v>
      </c>
      <c r="C100" s="25"/>
      <c r="D100" s="25"/>
      <c r="E100" s="25"/>
      <c r="F100" s="25"/>
      <c r="G100" s="25"/>
      <c r="H100" s="25"/>
      <c r="I100" s="25"/>
      <c r="J100" s="25"/>
      <c r="K100" s="25"/>
      <c r="L100" s="25"/>
      <c r="M100" s="25"/>
      <c r="N100" s="25"/>
      <c r="O100" s="25"/>
      <c r="P100" s="25"/>
      <c r="Q100" s="25"/>
      <c r="R100" s="25"/>
      <c r="S100" s="25"/>
      <c r="T100" s="53">
        <v>0</v>
      </c>
      <c r="U100" s="25"/>
      <c r="V100" s="5"/>
    </row>
    <row r="101" spans="1:23" ht="15.6" x14ac:dyDescent="0.3">
      <c r="A101" s="24">
        <f>+A100+1</f>
        <v>2</v>
      </c>
      <c r="B101" s="25" t="s">
        <v>37</v>
      </c>
      <c r="C101" s="25"/>
      <c r="D101" s="25"/>
      <c r="E101" s="25"/>
      <c r="F101" s="25"/>
      <c r="G101" s="25"/>
      <c r="H101" s="25"/>
      <c r="I101" s="25"/>
      <c r="J101" s="25"/>
      <c r="K101" s="25"/>
      <c r="L101" s="25"/>
      <c r="M101" s="25"/>
      <c r="N101" s="25"/>
      <c r="O101" s="25"/>
      <c r="P101" s="25"/>
      <c r="Q101" s="25"/>
      <c r="R101" s="25"/>
      <c r="S101" s="25"/>
      <c r="T101" s="53">
        <v>-2</v>
      </c>
      <c r="U101" s="25"/>
      <c r="V101" s="5"/>
    </row>
    <row r="102" spans="1:23" ht="15.6" x14ac:dyDescent="0.3">
      <c r="A102" s="24">
        <f>+A101+1</f>
        <v>3</v>
      </c>
      <c r="B102" s="25" t="s">
        <v>160</v>
      </c>
      <c r="C102" s="25"/>
      <c r="D102" s="25"/>
      <c r="E102" s="25"/>
      <c r="F102" s="25"/>
      <c r="G102" s="25"/>
      <c r="H102" s="25"/>
      <c r="I102" s="25"/>
      <c r="J102" s="25"/>
      <c r="K102" s="25"/>
      <c r="L102" s="25"/>
      <c r="M102" s="25"/>
      <c r="N102" s="25"/>
      <c r="O102" s="25"/>
      <c r="P102" s="25"/>
      <c r="Q102" s="25"/>
      <c r="R102" s="25"/>
      <c r="S102" s="25"/>
      <c r="T102" s="53">
        <f>-127-53-4</f>
        <v>-184</v>
      </c>
      <c r="U102" s="25"/>
      <c r="V102" s="5"/>
    </row>
    <row r="103" spans="1:23" ht="15.6" x14ac:dyDescent="0.3">
      <c r="A103" s="24" t="s">
        <v>136</v>
      </c>
      <c r="B103" s="25" t="s">
        <v>125</v>
      </c>
      <c r="C103" s="25"/>
      <c r="D103" s="25"/>
      <c r="E103" s="25"/>
      <c r="F103" s="25"/>
      <c r="G103" s="25"/>
      <c r="H103" s="25"/>
      <c r="I103" s="25"/>
      <c r="J103" s="25"/>
      <c r="K103" s="25"/>
      <c r="L103" s="25"/>
      <c r="M103" s="25"/>
      <c r="N103" s="25"/>
      <c r="O103" s="25"/>
      <c r="P103" s="25"/>
      <c r="Q103" s="25"/>
      <c r="R103" s="25"/>
      <c r="S103" s="25"/>
      <c r="T103" s="53">
        <f>-843-7</f>
        <v>-850</v>
      </c>
      <c r="U103" s="25"/>
      <c r="V103" s="5"/>
    </row>
    <row r="104" spans="1:23" ht="15.6" x14ac:dyDescent="0.3">
      <c r="A104" s="24" t="s">
        <v>137</v>
      </c>
      <c r="B104" s="25" t="s">
        <v>267</v>
      </c>
      <c r="C104" s="25"/>
      <c r="D104" s="25"/>
      <c r="E104" s="25"/>
      <c r="F104" s="25"/>
      <c r="G104" s="25"/>
      <c r="H104" s="25"/>
      <c r="I104" s="25"/>
      <c r="J104" s="25"/>
      <c r="K104" s="25"/>
      <c r="L104" s="25"/>
      <c r="M104" s="25"/>
      <c r="N104" s="25"/>
      <c r="O104" s="25"/>
      <c r="P104" s="25"/>
      <c r="Q104" s="25"/>
      <c r="R104" s="25"/>
      <c r="S104" s="25"/>
      <c r="T104" s="53">
        <v>-1</v>
      </c>
      <c r="U104" s="25"/>
      <c r="V104" s="5"/>
    </row>
    <row r="105" spans="1:23" ht="15.6" x14ac:dyDescent="0.3">
      <c r="A105" s="24" t="s">
        <v>162</v>
      </c>
      <c r="B105" s="25" t="s">
        <v>218</v>
      </c>
      <c r="C105" s="25"/>
      <c r="D105" s="25"/>
      <c r="E105" s="25"/>
      <c r="F105" s="25"/>
      <c r="G105" s="25"/>
      <c r="H105" s="25"/>
      <c r="I105" s="25"/>
      <c r="J105" s="25"/>
      <c r="K105" s="25"/>
      <c r="L105" s="25"/>
      <c r="M105" s="25"/>
      <c r="N105" s="25"/>
      <c r="O105" s="25"/>
      <c r="P105" s="25"/>
      <c r="Q105" s="25"/>
      <c r="R105" s="25"/>
      <c r="S105" s="25"/>
      <c r="T105" s="53">
        <v>-287</v>
      </c>
      <c r="U105" s="25"/>
      <c r="V105" s="5"/>
      <c r="W105" s="110"/>
    </row>
    <row r="106" spans="1:23" ht="15.6" x14ac:dyDescent="0.3">
      <c r="A106" s="24" t="s">
        <v>163</v>
      </c>
      <c r="B106" s="25" t="s">
        <v>219</v>
      </c>
      <c r="C106" s="25"/>
      <c r="D106" s="25"/>
      <c r="E106" s="25"/>
      <c r="F106" s="25"/>
      <c r="G106" s="25"/>
      <c r="H106" s="25"/>
      <c r="I106" s="25"/>
      <c r="J106" s="25"/>
      <c r="K106" s="25"/>
      <c r="L106" s="25"/>
      <c r="M106" s="25"/>
      <c r="N106" s="25"/>
      <c r="O106" s="25"/>
      <c r="P106" s="25"/>
      <c r="Q106" s="25"/>
      <c r="R106" s="25"/>
      <c r="S106" s="25"/>
      <c r="T106" s="53">
        <v>-205</v>
      </c>
      <c r="U106" s="25"/>
      <c r="V106" s="5"/>
      <c r="W106" s="110"/>
    </row>
    <row r="107" spans="1:23" ht="15.6" x14ac:dyDescent="0.3">
      <c r="A107" s="24" t="s">
        <v>252</v>
      </c>
      <c r="B107" s="25" t="s">
        <v>242</v>
      </c>
      <c r="C107" s="25"/>
      <c r="D107" s="25"/>
      <c r="E107" s="25"/>
      <c r="F107" s="25"/>
      <c r="G107" s="25"/>
      <c r="H107" s="25"/>
      <c r="I107" s="25"/>
      <c r="J107" s="25"/>
      <c r="K107" s="25"/>
      <c r="L107" s="25"/>
      <c r="M107" s="25"/>
      <c r="N107" s="25"/>
      <c r="O107" s="25"/>
      <c r="P107" s="25"/>
      <c r="Q107" s="25"/>
      <c r="R107" s="25"/>
      <c r="S107" s="25"/>
      <c r="T107" s="53">
        <v>-29</v>
      </c>
      <c r="U107" s="25"/>
      <c r="V107" s="170"/>
      <c r="W107" s="110"/>
    </row>
    <row r="108" spans="1:23" ht="15.6" x14ac:dyDescent="0.3">
      <c r="A108" s="24" t="s">
        <v>245</v>
      </c>
      <c r="B108" s="25" t="s">
        <v>220</v>
      </c>
      <c r="C108" s="25"/>
      <c r="D108" s="25"/>
      <c r="E108" s="25"/>
      <c r="F108" s="25"/>
      <c r="G108" s="25"/>
      <c r="H108" s="25"/>
      <c r="I108" s="25"/>
      <c r="J108" s="25"/>
      <c r="K108" s="25"/>
      <c r="L108" s="25"/>
      <c r="M108" s="25"/>
      <c r="N108" s="25"/>
      <c r="O108" s="25"/>
      <c r="P108" s="25"/>
      <c r="Q108" s="25"/>
      <c r="R108" s="25"/>
      <c r="S108" s="25"/>
      <c r="T108" s="53">
        <v>-16</v>
      </c>
      <c r="U108" s="25"/>
      <c r="V108" s="5"/>
      <c r="W108" s="110"/>
    </row>
    <row r="109" spans="1:23" ht="15.6" x14ac:dyDescent="0.3">
      <c r="A109" s="24" t="s">
        <v>246</v>
      </c>
      <c r="B109" s="25" t="s">
        <v>221</v>
      </c>
      <c r="C109" s="25"/>
      <c r="D109" s="25"/>
      <c r="E109" s="25"/>
      <c r="F109" s="25"/>
      <c r="G109" s="25"/>
      <c r="H109" s="25"/>
      <c r="I109" s="25"/>
      <c r="J109" s="25"/>
      <c r="K109" s="25"/>
      <c r="L109" s="25"/>
      <c r="M109" s="25"/>
      <c r="N109" s="25"/>
      <c r="O109" s="25"/>
      <c r="P109" s="25"/>
      <c r="Q109" s="25"/>
      <c r="R109" s="25"/>
      <c r="S109" s="25"/>
      <c r="T109" s="53">
        <v>-48</v>
      </c>
      <c r="U109" s="25"/>
      <c r="V109" s="5"/>
      <c r="W109" s="110"/>
    </row>
    <row r="110" spans="1:23" ht="15.6" x14ac:dyDescent="0.3">
      <c r="A110" s="24" t="s">
        <v>247</v>
      </c>
      <c r="B110" s="25" t="s">
        <v>222</v>
      </c>
      <c r="C110" s="25"/>
      <c r="D110" s="25"/>
      <c r="E110" s="25"/>
      <c r="F110" s="25"/>
      <c r="G110" s="25"/>
      <c r="H110" s="25"/>
      <c r="I110" s="25"/>
      <c r="J110" s="25"/>
      <c r="K110" s="25"/>
      <c r="L110" s="25"/>
      <c r="M110" s="25"/>
      <c r="N110" s="25"/>
      <c r="O110" s="25"/>
      <c r="P110" s="25"/>
      <c r="Q110" s="25"/>
      <c r="R110" s="25"/>
      <c r="S110" s="25"/>
      <c r="T110" s="53">
        <v>-9</v>
      </c>
      <c r="U110" s="25"/>
      <c r="V110" s="5"/>
      <c r="W110" s="110"/>
    </row>
    <row r="111" spans="1:23" ht="15.6" x14ac:dyDescent="0.3">
      <c r="A111" s="24" t="s">
        <v>248</v>
      </c>
      <c r="B111" s="25" t="s">
        <v>223</v>
      </c>
      <c r="C111" s="25"/>
      <c r="D111" s="25"/>
      <c r="E111" s="25"/>
      <c r="F111" s="25"/>
      <c r="G111" s="25"/>
      <c r="H111" s="25"/>
      <c r="I111" s="25"/>
      <c r="J111" s="25"/>
      <c r="K111" s="25"/>
      <c r="L111" s="25"/>
      <c r="M111" s="25"/>
      <c r="N111" s="25"/>
      <c r="O111" s="25"/>
      <c r="P111" s="25"/>
      <c r="Q111" s="25"/>
      <c r="R111" s="25"/>
      <c r="S111" s="25"/>
      <c r="T111" s="53">
        <v>-134</v>
      </c>
      <c r="U111" s="25"/>
      <c r="V111" s="5"/>
      <c r="W111" s="110"/>
    </row>
    <row r="112" spans="1:23" ht="15.6" x14ac:dyDescent="0.3">
      <c r="A112" s="24">
        <v>7</v>
      </c>
      <c r="B112" s="25" t="s">
        <v>38</v>
      </c>
      <c r="C112" s="25"/>
      <c r="D112" s="25"/>
      <c r="E112" s="25"/>
      <c r="F112" s="25"/>
      <c r="G112" s="25"/>
      <c r="H112" s="25"/>
      <c r="I112" s="25"/>
      <c r="J112" s="25"/>
      <c r="K112" s="25"/>
      <c r="L112" s="25"/>
      <c r="M112" s="25"/>
      <c r="N112" s="25"/>
      <c r="O112" s="25"/>
      <c r="P112" s="25"/>
      <c r="Q112" s="25"/>
      <c r="R112" s="25"/>
      <c r="S112" s="25"/>
      <c r="T112" s="53">
        <v>-8</v>
      </c>
      <c r="U112" s="25"/>
      <c r="V112" s="5"/>
    </row>
    <row r="113" spans="1:22" ht="15.6" x14ac:dyDescent="0.3">
      <c r="A113" s="24">
        <f t="shared" ref="A113:A118" si="0">+A112+1</f>
        <v>8</v>
      </c>
      <c r="B113" s="25" t="s">
        <v>49</v>
      </c>
      <c r="C113" s="25"/>
      <c r="D113" s="25"/>
      <c r="E113" s="25"/>
      <c r="F113" s="25"/>
      <c r="G113" s="25"/>
      <c r="H113" s="25"/>
      <c r="I113" s="25"/>
      <c r="J113" s="25"/>
      <c r="K113" s="25"/>
      <c r="L113" s="25"/>
      <c r="M113" s="25"/>
      <c r="N113" s="25"/>
      <c r="O113" s="25"/>
      <c r="P113" s="25"/>
      <c r="Q113" s="25"/>
      <c r="R113" s="34">
        <f>-T113</f>
        <v>173</v>
      </c>
      <c r="S113" s="25"/>
      <c r="T113" s="53">
        <v>-173</v>
      </c>
      <c r="U113" s="25"/>
      <c r="V113" s="5"/>
    </row>
    <row r="114" spans="1:22" ht="15.6" x14ac:dyDescent="0.3">
      <c r="A114" s="24">
        <f t="shared" si="0"/>
        <v>9</v>
      </c>
      <c r="B114" s="25" t="s">
        <v>134</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39</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40</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161</v>
      </c>
      <c r="C117" s="25"/>
      <c r="D117" s="25"/>
      <c r="E117" s="25"/>
      <c r="F117" s="25"/>
      <c r="G117" s="25"/>
      <c r="H117" s="25"/>
      <c r="I117" s="25"/>
      <c r="J117" s="25"/>
      <c r="K117" s="25"/>
      <c r="L117" s="25"/>
      <c r="M117" s="25"/>
      <c r="N117" s="25"/>
      <c r="O117" s="25"/>
      <c r="P117" s="25"/>
      <c r="Q117" s="25"/>
      <c r="R117" s="25"/>
      <c r="S117" s="25"/>
      <c r="T117" s="53">
        <v>-127</v>
      </c>
      <c r="U117" s="25"/>
      <c r="V117" s="5"/>
    </row>
    <row r="118" spans="1:22" ht="15.6" x14ac:dyDescent="0.3">
      <c r="A118" s="24">
        <f t="shared" si="0"/>
        <v>13</v>
      </c>
      <c r="B118" s="25" t="s">
        <v>135</v>
      </c>
      <c r="C118" s="25"/>
      <c r="D118" s="25"/>
      <c r="E118" s="25"/>
      <c r="F118" s="25"/>
      <c r="G118" s="25"/>
      <c r="H118" s="25"/>
      <c r="I118" s="25"/>
      <c r="J118" s="25"/>
      <c r="K118" s="25"/>
      <c r="L118" s="25"/>
      <c r="M118" s="25"/>
      <c r="N118" s="25"/>
      <c r="O118" s="25"/>
      <c r="P118" s="25"/>
      <c r="Q118" s="25"/>
      <c r="R118" s="25"/>
      <c r="S118" s="25"/>
      <c r="T118" s="53">
        <f>-T98-SUM(T100:T117)</f>
        <v>-502</v>
      </c>
      <c r="U118" s="25"/>
      <c r="V118" s="5"/>
    </row>
    <row r="119" spans="1:22" ht="15.6" x14ac:dyDescent="0.3">
      <c r="A119" s="24"/>
      <c r="B119" s="119" t="s">
        <v>41</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229</v>
      </c>
      <c r="C120" s="25"/>
      <c r="D120" s="25"/>
      <c r="E120" s="25"/>
      <c r="F120" s="25"/>
      <c r="G120" s="25"/>
      <c r="H120" s="25"/>
      <c r="I120" s="25"/>
      <c r="J120" s="25"/>
      <c r="K120" s="25"/>
      <c r="L120" s="25"/>
      <c r="M120" s="25"/>
      <c r="N120" s="25"/>
      <c r="O120" s="25"/>
      <c r="P120" s="25"/>
      <c r="Q120" s="25"/>
      <c r="R120" s="34">
        <f>-R180</f>
        <v>-3</v>
      </c>
      <c r="S120" s="34"/>
      <c r="T120" s="53"/>
      <c r="U120" s="25"/>
      <c r="V120" s="5"/>
    </row>
    <row r="121" spans="1:22" ht="15.6" x14ac:dyDescent="0.3">
      <c r="A121" s="24"/>
      <c r="B121" s="25" t="s">
        <v>230</v>
      </c>
      <c r="C121" s="25"/>
      <c r="D121" s="25"/>
      <c r="E121" s="25"/>
      <c r="F121" s="25"/>
      <c r="G121" s="25"/>
      <c r="H121" s="25"/>
      <c r="I121" s="25"/>
      <c r="J121" s="25"/>
      <c r="K121" s="25"/>
      <c r="L121" s="25"/>
      <c r="M121" s="25"/>
      <c r="N121" s="25"/>
      <c r="O121" s="25"/>
      <c r="P121" s="25"/>
      <c r="Q121" s="25"/>
      <c r="R121" s="34">
        <v>0</v>
      </c>
      <c r="S121" s="34"/>
      <c r="T121" s="53"/>
      <c r="U121" s="25"/>
      <c r="V121" s="5"/>
    </row>
    <row r="122" spans="1:22" ht="15.6" x14ac:dyDescent="0.3">
      <c r="A122" s="24"/>
      <c r="B122" s="25" t="s">
        <v>42</v>
      </c>
      <c r="C122" s="25"/>
      <c r="D122" s="25"/>
      <c r="E122" s="25"/>
      <c r="F122" s="25"/>
      <c r="G122" s="25"/>
      <c r="H122" s="25"/>
      <c r="I122" s="25"/>
      <c r="J122" s="25"/>
      <c r="K122" s="25"/>
      <c r="L122" s="25"/>
      <c r="M122" s="25"/>
      <c r="N122" s="25"/>
      <c r="O122" s="25"/>
      <c r="P122" s="25"/>
      <c r="Q122" s="25"/>
      <c r="R122" s="34">
        <f>-Q180</f>
        <v>-517</v>
      </c>
      <c r="S122" s="34"/>
      <c r="T122" s="53"/>
      <c r="U122" s="25"/>
      <c r="V122" s="5"/>
    </row>
    <row r="123" spans="1:22" ht="15.6" x14ac:dyDescent="0.3">
      <c r="A123" s="24"/>
      <c r="B123" s="25" t="s">
        <v>235</v>
      </c>
      <c r="C123" s="25"/>
      <c r="D123" s="25"/>
      <c r="E123" s="25"/>
      <c r="F123" s="25"/>
      <c r="G123" s="25"/>
      <c r="H123" s="25"/>
      <c r="I123" s="25"/>
      <c r="J123" s="25"/>
      <c r="K123" s="25"/>
      <c r="L123" s="25"/>
      <c r="M123" s="25"/>
      <c r="N123" s="25"/>
      <c r="O123" s="25"/>
      <c r="P123" s="25"/>
      <c r="Q123" s="25"/>
      <c r="R123" s="34">
        <v>-1654</v>
      </c>
      <c r="S123" s="34"/>
      <c r="T123" s="53"/>
      <c r="U123" s="25"/>
      <c r="V123" s="5"/>
    </row>
    <row r="124" spans="1:22" ht="15.6" x14ac:dyDescent="0.3">
      <c r="A124" s="24"/>
      <c r="B124" s="25" t="s">
        <v>236</v>
      </c>
      <c r="C124" s="25"/>
      <c r="D124" s="25"/>
      <c r="E124" s="25"/>
      <c r="F124" s="25"/>
      <c r="G124" s="25"/>
      <c r="H124" s="25"/>
      <c r="I124" s="25"/>
      <c r="J124" s="25"/>
      <c r="K124" s="25"/>
      <c r="L124" s="25"/>
      <c r="M124" s="25"/>
      <c r="N124" s="25"/>
      <c r="O124" s="25"/>
      <c r="P124" s="25"/>
      <c r="Q124" s="25"/>
      <c r="R124" s="34">
        <v>-1168</v>
      </c>
      <c r="S124" s="34"/>
      <c r="T124" s="53"/>
      <c r="U124" s="25"/>
      <c r="V124" s="5"/>
    </row>
    <row r="125" spans="1:22" ht="15.6" x14ac:dyDescent="0.3">
      <c r="A125" s="24"/>
      <c r="B125" s="25" t="s">
        <v>241</v>
      </c>
      <c r="C125" s="25"/>
      <c r="D125" s="25"/>
      <c r="E125" s="25"/>
      <c r="F125" s="25"/>
      <c r="G125" s="25"/>
      <c r="H125" s="25"/>
      <c r="I125" s="25"/>
      <c r="J125" s="25"/>
      <c r="K125" s="25"/>
      <c r="L125" s="25"/>
      <c r="M125" s="25"/>
      <c r="N125" s="25"/>
      <c r="O125" s="25"/>
      <c r="P125" s="25"/>
      <c r="Q125" s="25"/>
      <c r="R125" s="34">
        <v>-162</v>
      </c>
      <c r="S125" s="34"/>
      <c r="T125" s="53"/>
      <c r="U125" s="25"/>
      <c r="V125" s="5"/>
    </row>
    <row r="126" spans="1:22" ht="15.6" x14ac:dyDescent="0.3">
      <c r="A126" s="24"/>
      <c r="B126" s="25" t="s">
        <v>237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238</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239</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240</v>
      </c>
      <c r="C129" s="25"/>
      <c r="D129" s="25"/>
      <c r="E129" s="25"/>
      <c r="F129" s="25"/>
      <c r="G129" s="25"/>
      <c r="H129" s="25"/>
      <c r="I129" s="25"/>
      <c r="J129" s="25"/>
      <c r="K129" s="25"/>
      <c r="L129" s="25"/>
      <c r="M129" s="25"/>
      <c r="N129" s="25"/>
      <c r="O129" s="25"/>
      <c r="P129" s="25"/>
      <c r="Q129" s="25"/>
      <c r="R129" s="34">
        <v>0</v>
      </c>
      <c r="S129" s="34"/>
      <c r="T129" s="53"/>
      <c r="U129" s="25"/>
      <c r="V129" s="5"/>
    </row>
    <row r="130" spans="1:22" ht="15.6" x14ac:dyDescent="0.3">
      <c r="A130" s="24"/>
      <c r="B130" s="25" t="s">
        <v>43</v>
      </c>
      <c r="C130" s="25"/>
      <c r="D130" s="25"/>
      <c r="E130" s="25"/>
      <c r="F130" s="25"/>
      <c r="G130" s="25"/>
      <c r="H130" s="25"/>
      <c r="I130" s="25"/>
      <c r="J130" s="25"/>
      <c r="K130" s="25"/>
      <c r="L130" s="25"/>
      <c r="M130" s="25"/>
      <c r="N130" s="25"/>
      <c r="O130" s="25"/>
      <c r="P130" s="25"/>
      <c r="Q130" s="25"/>
      <c r="R130" s="34">
        <f>SUM(R120:R129)</f>
        <v>-3504</v>
      </c>
      <c r="S130" s="34"/>
      <c r="T130" s="34">
        <f>SUM(T99:T128)</f>
        <v>-2575</v>
      </c>
      <c r="U130" s="25"/>
      <c r="V130" s="5"/>
    </row>
    <row r="131" spans="1:22" ht="15.6" x14ac:dyDescent="0.3">
      <c r="A131" s="24"/>
      <c r="B131" s="25" t="s">
        <v>44</v>
      </c>
      <c r="C131" s="25"/>
      <c r="D131" s="25"/>
      <c r="E131" s="25"/>
      <c r="F131" s="25"/>
      <c r="G131" s="25"/>
      <c r="H131" s="25"/>
      <c r="I131" s="25"/>
      <c r="J131" s="25"/>
      <c r="K131" s="25"/>
      <c r="L131" s="25"/>
      <c r="M131" s="25"/>
      <c r="N131" s="25"/>
      <c r="O131" s="25"/>
      <c r="P131" s="25"/>
      <c r="Q131" s="25"/>
      <c r="R131" s="34">
        <f>R98+R130+R113</f>
        <v>0</v>
      </c>
      <c r="S131" s="34"/>
      <c r="T131" s="34">
        <f>T98+T130</f>
        <v>0</v>
      </c>
      <c r="U131" s="25"/>
      <c r="V131" s="5"/>
    </row>
    <row r="132" spans="1:22" ht="15.6" x14ac:dyDescent="0.3">
      <c r="A132" s="24"/>
      <c r="B132" s="25"/>
      <c r="C132" s="25"/>
      <c r="D132" s="25"/>
      <c r="E132" s="25"/>
      <c r="F132" s="25"/>
      <c r="G132" s="25"/>
      <c r="H132" s="25"/>
      <c r="I132" s="25"/>
      <c r="J132" s="25"/>
      <c r="K132" s="25"/>
      <c r="L132" s="25"/>
      <c r="M132" s="25"/>
      <c r="N132" s="25"/>
      <c r="O132" s="25"/>
      <c r="P132" s="25"/>
      <c r="Q132" s="25"/>
      <c r="R132" s="34"/>
      <c r="S132" s="34"/>
      <c r="T132" s="34"/>
      <c r="U132" s="25"/>
      <c r="V132" s="5"/>
    </row>
    <row r="133" spans="1:22" ht="15.6" x14ac:dyDescent="0.3">
      <c r="A133" s="6"/>
      <c r="B133" s="8"/>
      <c r="C133" s="8"/>
      <c r="D133" s="8"/>
      <c r="E133" s="8"/>
      <c r="F133" s="8"/>
      <c r="G133" s="8"/>
      <c r="H133" s="8"/>
      <c r="I133" s="8"/>
      <c r="J133" s="8"/>
      <c r="K133" s="8"/>
      <c r="L133" s="8"/>
      <c r="M133" s="8"/>
      <c r="N133" s="8"/>
      <c r="O133" s="8"/>
      <c r="P133" s="8"/>
      <c r="Q133" s="8"/>
      <c r="R133" s="8"/>
      <c r="S133" s="8"/>
      <c r="T133" s="52"/>
      <c r="U133" s="8"/>
      <c r="V133" s="5"/>
    </row>
    <row r="134" spans="1:22" ht="18" thickBot="1" x14ac:dyDescent="0.35">
      <c r="A134" s="102"/>
      <c r="B134" s="103" t="str">
        <f>B61</f>
        <v>PM9 INVESTOR REPORT QUARTER ENDING JANUARY 2010</v>
      </c>
      <c r="C134" s="104"/>
      <c r="D134" s="104"/>
      <c r="E134" s="104"/>
      <c r="F134" s="104"/>
      <c r="G134" s="104"/>
      <c r="H134" s="104"/>
      <c r="I134" s="104"/>
      <c r="J134" s="104"/>
      <c r="K134" s="104"/>
      <c r="L134" s="104"/>
      <c r="M134" s="104"/>
      <c r="N134" s="104"/>
      <c r="O134" s="104"/>
      <c r="P134" s="104"/>
      <c r="Q134" s="104"/>
      <c r="R134" s="104"/>
      <c r="S134" s="104"/>
      <c r="T134" s="107"/>
      <c r="U134" s="106"/>
      <c r="V134" s="5"/>
    </row>
    <row r="135" spans="1:22" ht="15.6" x14ac:dyDescent="0.3">
      <c r="A135" s="2"/>
      <c r="B135" s="60" t="s">
        <v>45</v>
      </c>
      <c r="C135" s="4"/>
      <c r="D135" s="4"/>
      <c r="E135" s="4"/>
      <c r="F135" s="4"/>
      <c r="G135" s="4"/>
      <c r="H135" s="4"/>
      <c r="I135" s="4"/>
      <c r="J135" s="4"/>
      <c r="K135" s="4"/>
      <c r="L135" s="4"/>
      <c r="M135" s="4"/>
      <c r="N135" s="4"/>
      <c r="O135" s="4"/>
      <c r="P135" s="4"/>
      <c r="Q135" s="4"/>
      <c r="R135" s="4"/>
      <c r="S135" s="4"/>
      <c r="T135" s="50"/>
      <c r="U135" s="4"/>
      <c r="V135" s="5"/>
    </row>
    <row r="136" spans="1:22" ht="15.6" x14ac:dyDescent="0.3">
      <c r="A136" s="6"/>
      <c r="B136" s="21"/>
      <c r="C136" s="8"/>
      <c r="D136" s="8"/>
      <c r="E136" s="8"/>
      <c r="F136" s="8"/>
      <c r="G136" s="8"/>
      <c r="H136" s="8"/>
      <c r="I136" s="8"/>
      <c r="J136" s="8"/>
      <c r="K136" s="8"/>
      <c r="L136" s="8"/>
      <c r="M136" s="8"/>
      <c r="N136" s="8"/>
      <c r="O136" s="8"/>
      <c r="P136" s="8"/>
      <c r="Q136" s="8"/>
      <c r="R136" s="8"/>
      <c r="S136" s="8"/>
      <c r="T136" s="52"/>
      <c r="U136" s="8"/>
      <c r="V136" s="5"/>
    </row>
    <row r="137" spans="1:22" ht="15.6" x14ac:dyDescent="0.3">
      <c r="A137" s="6"/>
      <c r="B137" s="120" t="s">
        <v>46</v>
      </c>
      <c r="C137" s="8"/>
      <c r="D137" s="8"/>
      <c r="E137" s="8"/>
      <c r="F137" s="8"/>
      <c r="G137" s="8"/>
      <c r="H137" s="8"/>
      <c r="I137" s="8"/>
      <c r="J137" s="8"/>
      <c r="K137" s="8"/>
      <c r="L137" s="8"/>
      <c r="M137" s="8"/>
      <c r="N137" s="8"/>
      <c r="O137" s="8"/>
      <c r="P137" s="8"/>
      <c r="Q137" s="8"/>
      <c r="R137" s="8"/>
      <c r="S137" s="8"/>
      <c r="T137" s="52"/>
      <c r="U137" s="8"/>
      <c r="V137" s="5"/>
    </row>
    <row r="138" spans="1:22" ht="15.6" x14ac:dyDescent="0.3">
      <c r="A138" s="24"/>
      <c r="B138" s="25" t="s">
        <v>47</v>
      </c>
      <c r="C138" s="25"/>
      <c r="D138" s="25"/>
      <c r="E138" s="25"/>
      <c r="F138" s="25"/>
      <c r="G138" s="25"/>
      <c r="H138" s="25"/>
      <c r="I138" s="25"/>
      <c r="J138" s="25"/>
      <c r="K138" s="25"/>
      <c r="L138" s="25"/>
      <c r="M138" s="25"/>
      <c r="N138" s="25"/>
      <c r="O138" s="25"/>
      <c r="P138" s="25"/>
      <c r="Q138" s="25"/>
      <c r="R138" s="25"/>
      <c r="S138" s="25"/>
      <c r="T138" s="53">
        <f>+T32*0.0176</f>
        <v>12320</v>
      </c>
      <c r="U138" s="25"/>
      <c r="V138" s="5"/>
    </row>
    <row r="139" spans="1:22" ht="15.6" x14ac:dyDescent="0.3">
      <c r="A139" s="24"/>
      <c r="B139" s="25" t="s">
        <v>48</v>
      </c>
      <c r="C139" s="25"/>
      <c r="D139" s="25"/>
      <c r="E139" s="25"/>
      <c r="F139" s="25"/>
      <c r="G139" s="25"/>
      <c r="H139" s="25"/>
      <c r="I139" s="25"/>
      <c r="J139" s="25"/>
      <c r="K139" s="25"/>
      <c r="L139" s="25"/>
      <c r="M139" s="25"/>
      <c r="N139" s="25"/>
      <c r="O139" s="25"/>
      <c r="P139" s="25"/>
      <c r="Q139" s="25"/>
      <c r="R139" s="25"/>
      <c r="S139" s="25"/>
      <c r="T139" s="53">
        <v>12320</v>
      </c>
      <c r="U139" s="25"/>
      <c r="V139" s="5"/>
    </row>
    <row r="140" spans="1:22" ht="15.6" x14ac:dyDescent="0.3">
      <c r="A140" s="24"/>
      <c r="B140" s="25" t="s">
        <v>145</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132</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133</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232</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49</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138</v>
      </c>
      <c r="C145" s="25"/>
      <c r="D145" s="25"/>
      <c r="E145" s="25"/>
      <c r="F145" s="25"/>
      <c r="G145" s="25"/>
      <c r="H145" s="25"/>
      <c r="I145" s="25"/>
      <c r="J145" s="25"/>
      <c r="K145" s="25"/>
      <c r="L145" s="25"/>
      <c r="M145" s="25"/>
      <c r="N145" s="25"/>
      <c r="O145" s="25"/>
      <c r="P145" s="25"/>
      <c r="Q145" s="25"/>
      <c r="R145" s="25"/>
      <c r="S145" s="25"/>
      <c r="T145" s="53">
        <v>0</v>
      </c>
      <c r="U145" s="25"/>
      <c r="V145" s="5"/>
    </row>
    <row r="146" spans="1:23" ht="15.6" x14ac:dyDescent="0.3">
      <c r="A146" s="24"/>
      <c r="B146" s="25" t="s">
        <v>231</v>
      </c>
      <c r="C146" s="25"/>
      <c r="D146" s="25"/>
      <c r="E146" s="25"/>
      <c r="F146" s="25"/>
      <c r="G146" s="25"/>
      <c r="H146" s="25"/>
      <c r="I146" s="25"/>
      <c r="J146" s="25"/>
      <c r="K146" s="25"/>
      <c r="L146" s="25"/>
      <c r="M146" s="25"/>
      <c r="N146" s="25"/>
      <c r="O146" s="25"/>
      <c r="P146" s="25"/>
      <c r="Q146" s="25"/>
      <c r="R146" s="25"/>
      <c r="S146" s="25"/>
      <c r="T146" s="53">
        <v>0</v>
      </c>
      <c r="U146" s="25"/>
      <c r="V146" s="5"/>
      <c r="W146" s="110"/>
    </row>
    <row r="147" spans="1:23" ht="15.6" x14ac:dyDescent="0.3">
      <c r="A147" s="24"/>
      <c r="B147" s="25" t="s">
        <v>50</v>
      </c>
      <c r="C147" s="25"/>
      <c r="D147" s="25"/>
      <c r="E147" s="25"/>
      <c r="F147" s="25"/>
      <c r="G147" s="25"/>
      <c r="H147" s="25"/>
      <c r="I147" s="25"/>
      <c r="J147" s="25"/>
      <c r="K147" s="25"/>
      <c r="L147" s="25"/>
      <c r="M147" s="25"/>
      <c r="N147" s="25"/>
      <c r="O147" s="25"/>
      <c r="P147" s="25"/>
      <c r="Q147" s="25"/>
      <c r="R147" s="25"/>
      <c r="S147" s="25"/>
      <c r="T147" s="53">
        <f>SUM(T139:T146)</f>
        <v>12320</v>
      </c>
      <c r="U147" s="25"/>
      <c r="V147" s="5"/>
    </row>
    <row r="148" spans="1:23" ht="15.6" x14ac:dyDescent="0.3">
      <c r="A148" s="24"/>
      <c r="B148" s="25"/>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141" t="s">
        <v>264</v>
      </c>
      <c r="C149" s="25"/>
      <c r="D149" s="25"/>
      <c r="E149" s="25"/>
      <c r="F149" s="25"/>
      <c r="G149" s="25"/>
      <c r="H149" s="25"/>
      <c r="I149" s="25"/>
      <c r="J149" s="25"/>
      <c r="K149" s="25"/>
      <c r="L149" s="25"/>
      <c r="M149" s="25"/>
      <c r="N149" s="25"/>
      <c r="O149" s="25"/>
      <c r="P149" s="25"/>
      <c r="Q149" s="25"/>
      <c r="R149" s="25"/>
      <c r="S149" s="25"/>
      <c r="T149" s="53"/>
      <c r="U149" s="25"/>
      <c r="V149" s="5"/>
    </row>
    <row r="150" spans="1:23" ht="15.6" x14ac:dyDescent="0.3">
      <c r="A150" s="24"/>
      <c r="B150" s="25" t="s">
        <v>170</v>
      </c>
      <c r="C150" s="25"/>
      <c r="D150" s="25"/>
      <c r="E150" s="25"/>
      <c r="F150" s="25"/>
      <c r="G150" s="25"/>
      <c r="H150" s="25"/>
      <c r="I150" s="25"/>
      <c r="J150" s="25"/>
      <c r="K150" s="25"/>
      <c r="L150" s="25"/>
      <c r="M150" s="25"/>
      <c r="N150" s="25"/>
      <c r="O150" s="25"/>
      <c r="P150" s="25"/>
      <c r="Q150" s="25"/>
      <c r="R150" s="25"/>
      <c r="S150" s="25"/>
      <c r="T150" s="53">
        <v>10000</v>
      </c>
      <c r="U150" s="25"/>
      <c r="V150" s="5"/>
    </row>
    <row r="151" spans="1:23" ht="15.6" x14ac:dyDescent="0.3">
      <c r="A151" s="24"/>
      <c r="B151" s="25" t="s">
        <v>260</v>
      </c>
      <c r="C151" s="25"/>
      <c r="D151" s="25"/>
      <c r="E151" s="25"/>
      <c r="F151" s="25"/>
      <c r="G151" s="25"/>
      <c r="H151" s="25"/>
      <c r="I151" s="25"/>
      <c r="J151" s="25"/>
      <c r="K151" s="25"/>
      <c r="L151" s="25"/>
      <c r="M151" s="25"/>
      <c r="N151" s="25"/>
      <c r="O151" s="25"/>
      <c r="P151" s="25"/>
      <c r="Q151" s="25"/>
      <c r="R151" s="25"/>
      <c r="S151" s="25"/>
      <c r="T151" s="53">
        <v>6000</v>
      </c>
      <c r="U151" s="25"/>
      <c r="V151" s="5"/>
    </row>
    <row r="152" spans="1:23" ht="15.6" x14ac:dyDescent="0.3">
      <c r="A152" s="24"/>
      <c r="B152" s="25" t="s">
        <v>228</v>
      </c>
      <c r="C152" s="25"/>
      <c r="D152" s="25"/>
      <c r="E152" s="25"/>
      <c r="F152" s="25"/>
      <c r="G152" s="25"/>
      <c r="H152" s="25"/>
      <c r="I152" s="25"/>
      <c r="J152" s="25"/>
      <c r="K152" s="25"/>
      <c r="L152" s="25"/>
      <c r="M152" s="25"/>
      <c r="N152" s="25"/>
      <c r="O152" s="25"/>
      <c r="P152" s="25"/>
      <c r="Q152" s="25"/>
      <c r="R152" s="25"/>
      <c r="S152" s="25"/>
      <c r="T152" s="53">
        <v>0</v>
      </c>
      <c r="U152" s="25"/>
      <c r="V152" s="5"/>
    </row>
    <row r="153" spans="1:23" ht="15.6" x14ac:dyDescent="0.3">
      <c r="A153" s="24"/>
      <c r="B153" s="25" t="s">
        <v>298</v>
      </c>
      <c r="C153" s="25"/>
      <c r="D153" s="25"/>
      <c r="E153" s="25"/>
      <c r="F153" s="25"/>
      <c r="G153" s="25"/>
      <c r="H153" s="25"/>
      <c r="I153" s="25"/>
      <c r="J153" s="25"/>
      <c r="K153" s="25"/>
      <c r="L153" s="25"/>
      <c r="M153" s="25"/>
      <c r="N153" s="25"/>
      <c r="O153" s="25"/>
      <c r="P153" s="25"/>
      <c r="Q153" s="25"/>
      <c r="R153" s="25"/>
      <c r="S153" s="25"/>
      <c r="T153" s="53">
        <v>1819</v>
      </c>
      <c r="U153" s="25"/>
      <c r="V153" s="5"/>
    </row>
    <row r="154" spans="1:23" ht="15.6" x14ac:dyDescent="0.3">
      <c r="A154" s="24"/>
      <c r="B154" s="25"/>
      <c r="C154" s="25"/>
      <c r="D154" s="25"/>
      <c r="E154" s="25"/>
      <c r="F154" s="25"/>
      <c r="G154" s="25"/>
      <c r="H154" s="25"/>
      <c r="I154" s="25"/>
      <c r="J154" s="25"/>
      <c r="K154" s="25"/>
      <c r="L154" s="25"/>
      <c r="M154" s="25"/>
      <c r="N154" s="25"/>
      <c r="O154" s="25"/>
      <c r="P154" s="25"/>
      <c r="Q154" s="25"/>
      <c r="R154" s="25"/>
      <c r="S154" s="25"/>
      <c r="T154" s="53"/>
      <c r="U154" s="25"/>
      <c r="V154" s="5"/>
    </row>
    <row r="155" spans="1:23" ht="15.6" x14ac:dyDescent="0.3">
      <c r="A155" s="24"/>
      <c r="B155" s="25"/>
      <c r="C155" s="25"/>
      <c r="D155" s="25"/>
      <c r="E155" s="25"/>
      <c r="F155" s="25"/>
      <c r="G155" s="25"/>
      <c r="H155" s="25"/>
      <c r="I155" s="25"/>
      <c r="J155" s="25"/>
      <c r="K155" s="25"/>
      <c r="L155" s="25"/>
      <c r="M155" s="25"/>
      <c r="N155" s="25"/>
      <c r="O155" s="25"/>
      <c r="P155" s="25"/>
      <c r="Q155" s="25"/>
      <c r="R155" s="25"/>
      <c r="S155" s="25"/>
      <c r="T155" s="61"/>
      <c r="U155" s="25"/>
      <c r="V155" s="5"/>
    </row>
    <row r="156" spans="1:23" ht="15.6" x14ac:dyDescent="0.3">
      <c r="A156" s="6"/>
      <c r="B156" s="120" t="s">
        <v>25</v>
      </c>
      <c r="C156" s="8"/>
      <c r="D156" s="8"/>
      <c r="E156" s="8"/>
      <c r="F156" s="8"/>
      <c r="G156" s="8"/>
      <c r="H156" s="8"/>
      <c r="I156" s="8"/>
      <c r="J156" s="8"/>
      <c r="K156" s="8"/>
      <c r="L156" s="8"/>
      <c r="M156" s="8"/>
      <c r="N156" s="8"/>
      <c r="O156" s="8"/>
      <c r="P156" s="8"/>
      <c r="Q156" s="8"/>
      <c r="R156" s="8"/>
      <c r="S156" s="8"/>
      <c r="T156" s="52"/>
      <c r="U156" s="8"/>
      <c r="V156" s="5"/>
    </row>
    <row r="157" spans="1:23" ht="15.6" x14ac:dyDescent="0.3">
      <c r="A157" s="24"/>
      <c r="B157" s="25" t="s">
        <v>51</v>
      </c>
      <c r="C157" s="25"/>
      <c r="D157" s="25"/>
      <c r="E157" s="25"/>
      <c r="F157" s="25"/>
      <c r="G157" s="25"/>
      <c r="H157" s="25"/>
      <c r="I157" s="25"/>
      <c r="J157" s="25"/>
      <c r="K157" s="25"/>
      <c r="L157" s="25"/>
      <c r="M157" s="25"/>
      <c r="N157" s="25"/>
      <c r="O157" s="25"/>
      <c r="P157" s="25"/>
      <c r="Q157" s="25"/>
      <c r="R157" s="25"/>
      <c r="S157" s="25"/>
      <c r="T157" s="59" t="s">
        <v>127</v>
      </c>
      <c r="U157" s="25"/>
      <c r="V157" s="5"/>
    </row>
    <row r="158" spans="1:23" ht="15.6" x14ac:dyDescent="0.3">
      <c r="A158" s="24"/>
      <c r="B158" s="25" t="s">
        <v>52</v>
      </c>
      <c r="C158" s="160"/>
      <c r="D158" s="160"/>
      <c r="E158" s="160"/>
      <c r="F158" s="160"/>
      <c r="G158" s="160"/>
      <c r="H158" s="160"/>
      <c r="I158" s="160"/>
      <c r="J158" s="160"/>
      <c r="K158" s="160"/>
      <c r="L158" s="160"/>
      <c r="M158" s="160"/>
      <c r="N158" s="160"/>
      <c r="O158" s="160"/>
      <c r="P158" s="160"/>
      <c r="Q158" s="160"/>
      <c r="R158" s="160"/>
      <c r="S158" s="160"/>
      <c r="T158" s="59" t="s">
        <v>127</v>
      </c>
      <c r="U158" s="25"/>
      <c r="V158" s="5"/>
    </row>
    <row r="159" spans="1:23" ht="15.6" x14ac:dyDescent="0.3">
      <c r="A159" s="24"/>
      <c r="B159" s="25" t="s">
        <v>53</v>
      </c>
      <c r="C159" s="25"/>
      <c r="D159" s="25"/>
      <c r="E159" s="25"/>
      <c r="F159" s="25"/>
      <c r="G159" s="25"/>
      <c r="H159" s="25"/>
      <c r="I159" s="25"/>
      <c r="J159" s="25"/>
      <c r="K159" s="25"/>
      <c r="L159" s="25"/>
      <c r="M159" s="25"/>
      <c r="N159" s="25"/>
      <c r="O159" s="25"/>
      <c r="P159" s="25"/>
      <c r="Q159" s="25"/>
      <c r="R159" s="25"/>
      <c r="S159" s="25"/>
      <c r="T159" s="59" t="s">
        <v>127</v>
      </c>
      <c r="U159" s="25"/>
      <c r="V159" s="5"/>
    </row>
    <row r="160" spans="1:23" ht="15.6" x14ac:dyDescent="0.3">
      <c r="A160" s="24"/>
      <c r="B160" s="25" t="s">
        <v>54</v>
      </c>
      <c r="C160" s="25"/>
      <c r="D160" s="25"/>
      <c r="E160" s="25"/>
      <c r="F160" s="25"/>
      <c r="G160" s="25"/>
      <c r="H160" s="25"/>
      <c r="I160" s="25"/>
      <c r="J160" s="25"/>
      <c r="K160" s="25"/>
      <c r="L160" s="25"/>
      <c r="M160" s="25"/>
      <c r="N160" s="25"/>
      <c r="O160" s="25"/>
      <c r="P160" s="25"/>
      <c r="Q160" s="25"/>
      <c r="R160" s="25"/>
      <c r="S160" s="25"/>
      <c r="T160" s="59" t="s">
        <v>127</v>
      </c>
      <c r="U160" s="25"/>
      <c r="V160" s="5"/>
    </row>
    <row r="161" spans="1:22" ht="15.6" x14ac:dyDescent="0.3">
      <c r="A161" s="24"/>
      <c r="B161" s="25"/>
      <c r="C161" s="25"/>
      <c r="D161" s="25"/>
      <c r="E161" s="25"/>
      <c r="F161" s="25"/>
      <c r="G161" s="25"/>
      <c r="H161" s="25"/>
      <c r="I161" s="25"/>
      <c r="J161" s="25"/>
      <c r="K161" s="25"/>
      <c r="L161" s="25"/>
      <c r="M161" s="25"/>
      <c r="N161" s="25"/>
      <c r="O161" s="25"/>
      <c r="P161" s="25"/>
      <c r="Q161" s="25"/>
      <c r="R161" s="25"/>
      <c r="S161" s="25"/>
      <c r="T161" s="61"/>
      <c r="U161" s="25"/>
      <c r="V161" s="5"/>
    </row>
    <row r="162" spans="1:22" ht="15.6" x14ac:dyDescent="0.3">
      <c r="A162" s="6"/>
      <c r="B162" s="120" t="s">
        <v>55</v>
      </c>
      <c r="C162" s="8"/>
      <c r="D162" s="8"/>
      <c r="E162" s="8"/>
      <c r="F162" s="8"/>
      <c r="G162" s="8"/>
      <c r="H162" s="8"/>
      <c r="I162" s="8"/>
      <c r="J162" s="8"/>
      <c r="K162" s="8"/>
      <c r="L162" s="8"/>
      <c r="M162" s="8"/>
      <c r="N162" s="8"/>
      <c r="O162" s="8"/>
      <c r="P162" s="8"/>
      <c r="Q162" s="8"/>
      <c r="R162" s="8"/>
      <c r="S162" s="8"/>
      <c r="T162" s="63"/>
      <c r="U162" s="8"/>
      <c r="V162" s="5"/>
    </row>
    <row r="163" spans="1:22" ht="15.6" x14ac:dyDescent="0.3">
      <c r="A163" s="24"/>
      <c r="B163" s="25" t="s">
        <v>56</v>
      </c>
      <c r="C163" s="25"/>
      <c r="D163" s="25"/>
      <c r="E163" s="25"/>
      <c r="F163" s="25"/>
      <c r="G163" s="25"/>
      <c r="H163" s="25"/>
      <c r="I163" s="25"/>
      <c r="J163" s="25"/>
      <c r="K163" s="25"/>
      <c r="L163" s="25"/>
      <c r="M163" s="25"/>
      <c r="N163" s="25"/>
      <c r="O163" s="25"/>
      <c r="P163" s="25"/>
      <c r="Q163" s="25"/>
      <c r="R163" s="25"/>
      <c r="S163" s="25"/>
      <c r="T163" s="53">
        <v>0</v>
      </c>
      <c r="U163" s="25"/>
      <c r="V163" s="5"/>
    </row>
    <row r="164" spans="1:22" ht="15.6" x14ac:dyDescent="0.3">
      <c r="A164" s="24"/>
      <c r="B164" s="25" t="s">
        <v>57</v>
      </c>
      <c r="C164" s="25"/>
      <c r="D164" s="25"/>
      <c r="E164" s="25"/>
      <c r="F164" s="25"/>
      <c r="G164" s="25"/>
      <c r="H164" s="25"/>
      <c r="I164" s="25"/>
      <c r="J164" s="25"/>
      <c r="K164" s="25"/>
      <c r="L164" s="25"/>
      <c r="M164" s="25"/>
      <c r="N164" s="25"/>
      <c r="O164" s="25"/>
      <c r="P164" s="25"/>
      <c r="Q164" s="25"/>
      <c r="R164" s="25"/>
      <c r="S164" s="25"/>
      <c r="T164" s="53">
        <f>-T113</f>
        <v>173</v>
      </c>
      <c r="U164" s="25"/>
      <c r="V164" s="5"/>
    </row>
    <row r="165" spans="1:22" ht="15.6" x14ac:dyDescent="0.3">
      <c r="A165" s="24"/>
      <c r="B165" s="25" t="s">
        <v>58</v>
      </c>
      <c r="C165" s="25"/>
      <c r="D165" s="25"/>
      <c r="E165" s="25"/>
      <c r="F165" s="25"/>
      <c r="G165" s="25"/>
      <c r="H165" s="25"/>
      <c r="I165" s="25"/>
      <c r="J165" s="25"/>
      <c r="K165" s="25"/>
      <c r="L165" s="25"/>
      <c r="M165" s="25"/>
      <c r="N165" s="25"/>
      <c r="O165" s="25"/>
      <c r="P165" s="25"/>
      <c r="Q165" s="25"/>
      <c r="R165" s="25"/>
      <c r="S165" s="25"/>
      <c r="T165" s="53">
        <f>T164+T163</f>
        <v>173</v>
      </c>
      <c r="U165" s="25"/>
      <c r="V165" s="5"/>
    </row>
    <row r="166" spans="1:22" ht="15.6" x14ac:dyDescent="0.3">
      <c r="A166" s="24"/>
      <c r="B166" s="25" t="s">
        <v>309</v>
      </c>
      <c r="C166" s="25"/>
      <c r="D166" s="25"/>
      <c r="E166" s="25"/>
      <c r="F166" s="25"/>
      <c r="G166" s="25"/>
      <c r="H166" s="25"/>
      <c r="I166" s="25"/>
      <c r="J166" s="25"/>
      <c r="K166" s="25"/>
      <c r="L166" s="25"/>
      <c r="M166" s="25"/>
      <c r="N166" s="25"/>
      <c r="O166" s="25"/>
      <c r="P166" s="25"/>
      <c r="Q166" s="25"/>
      <c r="R166" s="25"/>
      <c r="S166" s="25"/>
      <c r="T166" s="53">
        <f>T113</f>
        <v>-173</v>
      </c>
      <c r="U166" s="25"/>
      <c r="V166" s="5"/>
    </row>
    <row r="167" spans="1:22" ht="15.6" x14ac:dyDescent="0.3">
      <c r="A167" s="24"/>
      <c r="B167" s="25" t="s">
        <v>59</v>
      </c>
      <c r="C167" s="25"/>
      <c r="D167" s="25"/>
      <c r="E167" s="25"/>
      <c r="F167" s="25"/>
      <c r="G167" s="25"/>
      <c r="H167" s="25"/>
      <c r="I167" s="25"/>
      <c r="J167" s="25"/>
      <c r="K167" s="25"/>
      <c r="L167" s="25"/>
      <c r="M167" s="25"/>
      <c r="N167" s="25"/>
      <c r="O167" s="25"/>
      <c r="P167" s="25"/>
      <c r="Q167" s="25"/>
      <c r="R167" s="25"/>
      <c r="S167" s="25"/>
      <c r="T167" s="53">
        <f>T165+T166</f>
        <v>0</v>
      </c>
      <c r="U167" s="25"/>
      <c r="V167" s="5"/>
    </row>
    <row r="168" spans="1:22" ht="15.6" x14ac:dyDescent="0.3">
      <c r="A168" s="24"/>
      <c r="B168" s="25" t="s">
        <v>278</v>
      </c>
      <c r="C168" s="25"/>
      <c r="D168" s="25"/>
      <c r="E168" s="25"/>
      <c r="F168" s="25"/>
      <c r="G168" s="25"/>
      <c r="H168" s="25"/>
      <c r="I168" s="25"/>
      <c r="J168" s="25"/>
      <c r="K168" s="25"/>
      <c r="L168" s="25"/>
      <c r="M168" s="25"/>
      <c r="N168" s="25"/>
      <c r="O168" s="25"/>
      <c r="P168" s="25"/>
      <c r="Q168" s="25"/>
      <c r="R168" s="25"/>
      <c r="S168" s="25"/>
      <c r="T168" s="53">
        <f>-T97</f>
        <v>220</v>
      </c>
      <c r="U168" s="25"/>
      <c r="V168" s="5"/>
    </row>
    <row r="169" spans="1:22" ht="16.2" thickBot="1" x14ac:dyDescent="0.35">
      <c r="A169" s="24"/>
      <c r="B169" s="25"/>
      <c r="C169" s="25"/>
      <c r="D169" s="25"/>
      <c r="E169" s="25"/>
      <c r="F169" s="25"/>
      <c r="G169" s="25"/>
      <c r="H169" s="25"/>
      <c r="I169" s="25"/>
      <c r="J169" s="25"/>
      <c r="K169" s="25"/>
      <c r="L169" s="25"/>
      <c r="M169" s="25"/>
      <c r="N169" s="25"/>
      <c r="O169" s="25"/>
      <c r="P169" s="25"/>
      <c r="Q169" s="25"/>
      <c r="R169" s="25"/>
      <c r="S169" s="25"/>
      <c r="T169" s="61"/>
      <c r="U169" s="25"/>
      <c r="V169" s="5"/>
    </row>
    <row r="170" spans="1:22" ht="15.6" x14ac:dyDescent="0.3">
      <c r="A170" s="2"/>
      <c r="B170" s="4"/>
      <c r="C170" s="4"/>
      <c r="D170" s="4"/>
      <c r="E170" s="4"/>
      <c r="F170" s="4"/>
      <c r="G170" s="4"/>
      <c r="H170" s="4"/>
      <c r="I170" s="4"/>
      <c r="J170" s="4"/>
      <c r="K170" s="4"/>
      <c r="L170" s="4"/>
      <c r="M170" s="4"/>
      <c r="N170" s="4"/>
      <c r="O170" s="4"/>
      <c r="P170" s="4"/>
      <c r="Q170" s="4"/>
      <c r="R170" s="4"/>
      <c r="S170" s="4"/>
      <c r="T170" s="50"/>
      <c r="U170" s="4"/>
      <c r="V170" s="5"/>
    </row>
    <row r="171" spans="1:22" ht="15.6" x14ac:dyDescent="0.3">
      <c r="A171" s="6"/>
      <c r="B171" s="120" t="s">
        <v>60</v>
      </c>
      <c r="C171" s="8"/>
      <c r="D171" s="8"/>
      <c r="E171" s="8"/>
      <c r="F171" s="8"/>
      <c r="G171" s="8"/>
      <c r="H171" s="8"/>
      <c r="I171" s="8"/>
      <c r="J171" s="8"/>
      <c r="K171" s="8"/>
      <c r="L171" s="8"/>
      <c r="M171" s="8"/>
      <c r="N171" s="8"/>
      <c r="O171" s="8"/>
      <c r="P171" s="8"/>
      <c r="Q171" s="8"/>
      <c r="R171" s="8"/>
      <c r="S171" s="8"/>
      <c r="T171" s="52"/>
      <c r="U171" s="8"/>
      <c r="V171" s="5"/>
    </row>
    <row r="172" spans="1:22" ht="15.6" x14ac:dyDescent="0.3">
      <c r="A172" s="6"/>
      <c r="B172" s="21"/>
      <c r="C172" s="8"/>
      <c r="D172" s="8"/>
      <c r="E172" s="8"/>
      <c r="F172" s="8"/>
      <c r="G172" s="8"/>
      <c r="H172" s="8"/>
      <c r="I172" s="8"/>
      <c r="J172" s="8"/>
      <c r="K172" s="8"/>
      <c r="L172" s="8"/>
      <c r="M172" s="8"/>
      <c r="N172" s="8"/>
      <c r="O172" s="8"/>
      <c r="P172" s="8"/>
      <c r="Q172" s="8"/>
      <c r="R172" s="8"/>
      <c r="S172" s="8"/>
      <c r="T172" s="52"/>
      <c r="U172" s="8"/>
      <c r="V172" s="5"/>
    </row>
    <row r="173" spans="1:22" ht="15.6" x14ac:dyDescent="0.3">
      <c r="A173" s="24"/>
      <c r="B173" s="25" t="s">
        <v>61</v>
      </c>
      <c r="C173" s="25"/>
      <c r="D173" s="25"/>
      <c r="E173" s="25"/>
      <c r="F173" s="25"/>
      <c r="G173" s="25"/>
      <c r="H173" s="25"/>
      <c r="I173" s="25"/>
      <c r="J173" s="25"/>
      <c r="K173" s="25"/>
      <c r="L173" s="25"/>
      <c r="M173" s="25"/>
      <c r="N173" s="25"/>
      <c r="O173" s="25"/>
      <c r="P173" s="25"/>
      <c r="Q173" s="25"/>
      <c r="R173" s="25"/>
      <c r="S173" s="25"/>
      <c r="T173" s="53">
        <f>T69</f>
        <v>331074</v>
      </c>
      <c r="U173" s="25"/>
      <c r="V173" s="5"/>
    </row>
    <row r="174" spans="1:22" ht="15.6" x14ac:dyDescent="0.3">
      <c r="A174" s="24"/>
      <c r="B174" s="25" t="s">
        <v>62</v>
      </c>
      <c r="C174" s="25"/>
      <c r="D174" s="25"/>
      <c r="E174" s="25"/>
      <c r="F174" s="25"/>
      <c r="G174" s="25"/>
      <c r="H174" s="25"/>
      <c r="I174" s="25"/>
      <c r="J174" s="25"/>
      <c r="K174" s="25"/>
      <c r="L174" s="25"/>
      <c r="M174" s="25"/>
      <c r="N174" s="25"/>
      <c r="O174" s="25"/>
      <c r="P174" s="25"/>
      <c r="Q174" s="25"/>
      <c r="R174" s="25"/>
      <c r="S174" s="25"/>
      <c r="T174" s="53">
        <f>T82</f>
        <v>331074</v>
      </c>
      <c r="U174" s="25"/>
      <c r="V174" s="5"/>
    </row>
    <row r="175" spans="1:22" ht="16.2" thickBot="1" x14ac:dyDescent="0.35">
      <c r="A175" s="24"/>
      <c r="B175" s="25"/>
      <c r="C175" s="25"/>
      <c r="D175" s="25"/>
      <c r="E175" s="25"/>
      <c r="F175" s="25"/>
      <c r="G175" s="25"/>
      <c r="H175" s="25"/>
      <c r="I175" s="25"/>
      <c r="J175" s="25"/>
      <c r="K175" s="25"/>
      <c r="L175" s="25"/>
      <c r="M175" s="25"/>
      <c r="N175" s="25"/>
      <c r="O175" s="25"/>
      <c r="P175" s="25"/>
      <c r="Q175" s="25"/>
      <c r="R175" s="25"/>
      <c r="S175" s="25"/>
      <c r="T175" s="61"/>
      <c r="U175" s="25"/>
      <c r="V175" s="5"/>
    </row>
    <row r="176" spans="1:22" ht="15.6" x14ac:dyDescent="0.3">
      <c r="A176" s="2"/>
      <c r="B176" s="4"/>
      <c r="C176" s="4"/>
      <c r="D176" s="4"/>
      <c r="E176" s="4"/>
      <c r="F176" s="4"/>
      <c r="G176" s="4"/>
      <c r="H176" s="4"/>
      <c r="I176" s="4"/>
      <c r="J176" s="4"/>
      <c r="K176" s="4"/>
      <c r="L176" s="4"/>
      <c r="M176" s="4"/>
      <c r="N176" s="4"/>
      <c r="O176" s="4"/>
      <c r="P176" s="4"/>
      <c r="Q176" s="4"/>
      <c r="R176" s="4"/>
      <c r="S176" s="4"/>
      <c r="T176" s="50"/>
      <c r="U176" s="4"/>
      <c r="V176" s="5"/>
    </row>
    <row r="177" spans="1:22" ht="15.6" x14ac:dyDescent="0.3">
      <c r="A177" s="6"/>
      <c r="B177" s="120" t="s">
        <v>63</v>
      </c>
      <c r="C177" s="118"/>
      <c r="D177" s="118"/>
      <c r="E177" s="118"/>
      <c r="F177" s="118"/>
      <c r="G177" s="118"/>
      <c r="H177" s="121"/>
      <c r="I177" s="121"/>
      <c r="J177" s="121"/>
      <c r="K177" s="121"/>
      <c r="L177" s="121"/>
      <c r="M177" s="121"/>
      <c r="N177" s="121"/>
      <c r="O177" s="121"/>
      <c r="P177" s="121"/>
      <c r="Q177" s="121" t="s">
        <v>107</v>
      </c>
      <c r="R177" s="121" t="s">
        <v>234</v>
      </c>
      <c r="S177" s="112"/>
      <c r="T177" s="122" t="s">
        <v>123</v>
      </c>
      <c r="U177" s="10"/>
      <c r="V177" s="5"/>
    </row>
    <row r="178" spans="1:22" ht="15.6" x14ac:dyDescent="0.3">
      <c r="A178" s="24"/>
      <c r="B178" s="25" t="s">
        <v>64</v>
      </c>
      <c r="C178" s="25"/>
      <c r="D178" s="25"/>
      <c r="E178" s="25"/>
      <c r="F178" s="25"/>
      <c r="G178" s="25"/>
      <c r="H178" s="25"/>
      <c r="I178" s="25"/>
      <c r="J178" s="25"/>
      <c r="K178" s="25"/>
      <c r="L178" s="25"/>
      <c r="M178" s="25"/>
      <c r="N178" s="25"/>
      <c r="O178" s="25"/>
      <c r="P178" s="25"/>
      <c r="Q178" s="53">
        <v>112000</v>
      </c>
      <c r="R178" s="40"/>
      <c r="S178" s="25"/>
      <c r="T178" s="53"/>
      <c r="U178" s="25"/>
      <c r="V178" s="5"/>
    </row>
    <row r="179" spans="1:22" ht="15.6" x14ac:dyDescent="0.3">
      <c r="A179" s="24"/>
      <c r="B179" s="25" t="s">
        <v>65</v>
      </c>
      <c r="C179" s="25"/>
      <c r="D179" s="25"/>
      <c r="E179" s="25"/>
      <c r="F179" s="25"/>
      <c r="G179" s="25"/>
      <c r="H179" s="25"/>
      <c r="I179" s="25"/>
      <c r="J179" s="25"/>
      <c r="K179" s="25"/>
      <c r="L179" s="25"/>
      <c r="M179" s="25"/>
      <c r="N179" s="25"/>
      <c r="O179" s="25"/>
      <c r="P179" s="25"/>
      <c r="Q179" s="53">
        <f>+'Oct 09'!Q181</f>
        <v>44439</v>
      </c>
      <c r="R179" s="53">
        <f>+'Oct 09'!R181</f>
        <v>2417</v>
      </c>
      <c r="S179" s="25"/>
      <c r="T179" s="53">
        <f>Q179+R179</f>
        <v>46856</v>
      </c>
      <c r="U179" s="25"/>
      <c r="V179" s="5"/>
    </row>
    <row r="180" spans="1:22" ht="15.6" x14ac:dyDescent="0.3">
      <c r="A180" s="24"/>
      <c r="B180" s="25" t="s">
        <v>66</v>
      </c>
      <c r="C180" s="25"/>
      <c r="D180" s="25"/>
      <c r="E180" s="25"/>
      <c r="F180" s="25"/>
      <c r="G180" s="25"/>
      <c r="H180" s="25"/>
      <c r="I180" s="25"/>
      <c r="J180" s="25"/>
      <c r="K180" s="25"/>
      <c r="L180" s="25"/>
      <c r="M180" s="25"/>
      <c r="N180" s="25"/>
      <c r="O180" s="25"/>
      <c r="P180" s="25"/>
      <c r="Q180" s="34">
        <v>517</v>
      </c>
      <c r="R180" s="34">
        <v>3</v>
      </c>
      <c r="S180" s="25"/>
      <c r="T180" s="53">
        <f>Q180+R180</f>
        <v>520</v>
      </c>
      <c r="U180" s="25"/>
      <c r="V180" s="5"/>
    </row>
    <row r="181" spans="1:22" ht="15.6" x14ac:dyDescent="0.3">
      <c r="A181" s="24"/>
      <c r="B181" s="25" t="s">
        <v>67</v>
      </c>
      <c r="C181" s="25"/>
      <c r="D181" s="25"/>
      <c r="E181" s="25"/>
      <c r="F181" s="25"/>
      <c r="G181" s="25"/>
      <c r="H181" s="25"/>
      <c r="I181" s="25"/>
      <c r="J181" s="25"/>
      <c r="K181" s="25"/>
      <c r="L181" s="25"/>
      <c r="M181" s="25"/>
      <c r="N181" s="25"/>
      <c r="O181" s="25"/>
      <c r="P181" s="25"/>
      <c r="Q181" s="53">
        <f>Q179+Q180</f>
        <v>44956</v>
      </c>
      <c r="R181" s="53">
        <f>R180+R179</f>
        <v>2420</v>
      </c>
      <c r="S181" s="25"/>
      <c r="T181" s="53">
        <f>Q181+R181</f>
        <v>47376</v>
      </c>
      <c r="U181" s="25"/>
      <c r="V181" s="5"/>
    </row>
    <row r="182" spans="1:22" ht="15.6" x14ac:dyDescent="0.3">
      <c r="A182" s="24"/>
      <c r="B182" s="25" t="s">
        <v>68</v>
      </c>
      <c r="C182" s="25"/>
      <c r="D182" s="25"/>
      <c r="E182" s="25"/>
      <c r="F182" s="25"/>
      <c r="G182" s="25"/>
      <c r="H182" s="25"/>
      <c r="I182" s="25"/>
      <c r="J182" s="25"/>
      <c r="K182" s="25"/>
      <c r="L182" s="25"/>
      <c r="M182" s="25"/>
      <c r="N182" s="25"/>
      <c r="O182" s="25"/>
      <c r="P182" s="25"/>
      <c r="Q182" s="53">
        <f>Q178-Q181-R181</f>
        <v>64624</v>
      </c>
      <c r="R182" s="40"/>
      <c r="S182" s="25"/>
      <c r="T182" s="53"/>
      <c r="U182" s="25"/>
      <c r="V182" s="5"/>
    </row>
    <row r="183" spans="1:22" ht="16.2" thickBot="1" x14ac:dyDescent="0.35">
      <c r="A183" s="24"/>
      <c r="B183" s="25"/>
      <c r="C183" s="25"/>
      <c r="D183" s="25"/>
      <c r="E183" s="25"/>
      <c r="F183" s="25"/>
      <c r="G183" s="25"/>
      <c r="H183" s="25"/>
      <c r="I183" s="25"/>
      <c r="J183" s="25"/>
      <c r="K183" s="25"/>
      <c r="L183" s="25"/>
      <c r="M183" s="25"/>
      <c r="N183" s="25"/>
      <c r="O183" s="25"/>
      <c r="P183" s="25"/>
      <c r="Q183" s="25"/>
      <c r="R183" s="25"/>
      <c r="S183" s="25"/>
      <c r="T183" s="61"/>
      <c r="U183" s="25"/>
      <c r="V183" s="5"/>
    </row>
    <row r="184" spans="1:22" ht="15.6" x14ac:dyDescent="0.3">
      <c r="A184" s="2"/>
      <c r="B184" s="4"/>
      <c r="C184" s="4"/>
      <c r="D184" s="4"/>
      <c r="E184" s="4"/>
      <c r="F184" s="4"/>
      <c r="G184" s="4"/>
      <c r="H184" s="4"/>
      <c r="I184" s="4"/>
      <c r="J184" s="4"/>
      <c r="K184" s="4"/>
      <c r="L184" s="4"/>
      <c r="M184" s="4"/>
      <c r="N184" s="4"/>
      <c r="O184" s="4"/>
      <c r="P184" s="4"/>
      <c r="Q184" s="4"/>
      <c r="R184" s="4"/>
      <c r="S184" s="4"/>
      <c r="T184" s="50"/>
      <c r="U184" s="4"/>
      <c r="V184" s="5"/>
    </row>
    <row r="185" spans="1:22" ht="15.6" x14ac:dyDescent="0.3">
      <c r="A185" s="6"/>
      <c r="B185" s="120" t="s">
        <v>69</v>
      </c>
      <c r="C185" s="8"/>
      <c r="D185" s="8"/>
      <c r="E185" s="8"/>
      <c r="F185" s="8"/>
      <c r="G185" s="8"/>
      <c r="H185" s="8"/>
      <c r="I185" s="8"/>
      <c r="J185" s="8"/>
      <c r="K185" s="8"/>
      <c r="L185" s="8"/>
      <c r="M185" s="8"/>
      <c r="N185" s="8"/>
      <c r="O185" s="8"/>
      <c r="P185" s="8"/>
      <c r="Q185" s="8"/>
      <c r="R185" s="8"/>
      <c r="S185" s="8"/>
      <c r="T185" s="65"/>
      <c r="U185" s="8"/>
      <c r="V185" s="5"/>
    </row>
    <row r="186" spans="1:22" ht="15.6" x14ac:dyDescent="0.3">
      <c r="A186" s="24"/>
      <c r="B186" s="25" t="s">
        <v>70</v>
      </c>
      <c r="C186" s="25"/>
      <c r="D186" s="25"/>
      <c r="E186" s="25"/>
      <c r="F186" s="25"/>
      <c r="G186" s="25"/>
      <c r="H186" s="25"/>
      <c r="I186" s="25"/>
      <c r="J186" s="25"/>
      <c r="K186" s="25"/>
      <c r="L186" s="25"/>
      <c r="M186" s="25"/>
      <c r="N186" s="25"/>
      <c r="O186" s="25"/>
      <c r="P186" s="25"/>
      <c r="Q186" s="25"/>
      <c r="R186" s="25"/>
      <c r="S186" s="25"/>
      <c r="T186" s="59">
        <f>(T98+T100+T101+T102+T103+T104)/-(T105+T106+T107)</f>
        <v>2.9520153550863721</v>
      </c>
      <c r="U186" s="25" t="s">
        <v>124</v>
      </c>
      <c r="V186" s="5"/>
    </row>
    <row r="187" spans="1:22" ht="15.6" x14ac:dyDescent="0.3">
      <c r="A187" s="24"/>
      <c r="B187" s="25" t="s">
        <v>71</v>
      </c>
      <c r="C187" s="25"/>
      <c r="D187" s="25"/>
      <c r="E187" s="25"/>
      <c r="F187" s="25"/>
      <c r="G187" s="25"/>
      <c r="H187" s="25"/>
      <c r="I187" s="25"/>
      <c r="J187" s="25"/>
      <c r="K187" s="25"/>
      <c r="L187" s="25"/>
      <c r="M187" s="25"/>
      <c r="N187" s="25"/>
      <c r="O187" s="25"/>
      <c r="P187" s="25"/>
      <c r="Q187" s="25"/>
      <c r="R187" s="25"/>
      <c r="S187" s="25"/>
      <c r="T187" s="66">
        <v>1.44</v>
      </c>
      <c r="U187" s="25" t="s">
        <v>124</v>
      </c>
      <c r="V187" s="5"/>
    </row>
    <row r="188" spans="1:22" ht="15.6" x14ac:dyDescent="0.3">
      <c r="A188" s="24"/>
      <c r="B188" s="25" t="s">
        <v>72</v>
      </c>
      <c r="C188" s="25"/>
      <c r="D188" s="25"/>
      <c r="E188" s="25"/>
      <c r="F188" s="25"/>
      <c r="G188" s="25"/>
      <c r="H188" s="25"/>
      <c r="I188" s="25"/>
      <c r="J188" s="25"/>
      <c r="K188" s="25"/>
      <c r="L188" s="25"/>
      <c r="M188" s="25"/>
      <c r="N188" s="25"/>
      <c r="O188" s="25"/>
      <c r="P188" s="25"/>
      <c r="Q188" s="25"/>
      <c r="R188" s="25"/>
      <c r="S188" s="25"/>
      <c r="T188" s="59">
        <f>(T98+T100+T101+T102+T103+T104+T105+T106+T107)/-(T108+T109)</f>
        <v>15.890625</v>
      </c>
      <c r="U188" s="25" t="s">
        <v>124</v>
      </c>
      <c r="V188" s="5"/>
    </row>
    <row r="189" spans="1:22" ht="15.6" x14ac:dyDescent="0.3">
      <c r="A189" s="24"/>
      <c r="B189" s="25" t="s">
        <v>73</v>
      </c>
      <c r="C189" s="25"/>
      <c r="D189" s="25"/>
      <c r="E189" s="25"/>
      <c r="F189" s="25"/>
      <c r="G189" s="25"/>
      <c r="H189" s="25"/>
      <c r="I189" s="25"/>
      <c r="J189" s="25"/>
      <c r="K189" s="25"/>
      <c r="L189" s="25"/>
      <c r="M189" s="25"/>
      <c r="N189" s="25"/>
      <c r="O189" s="25"/>
      <c r="P189" s="25"/>
      <c r="Q189" s="25"/>
      <c r="R189" s="25"/>
      <c r="S189" s="25"/>
      <c r="T189" s="67">
        <v>7.06</v>
      </c>
      <c r="U189" s="25" t="s">
        <v>124</v>
      </c>
      <c r="V189" s="5"/>
    </row>
    <row r="190" spans="1:22" ht="15.6" x14ac:dyDescent="0.3">
      <c r="A190" s="24"/>
      <c r="B190" s="25" t="s">
        <v>243</v>
      </c>
      <c r="C190" s="25"/>
      <c r="D190" s="25"/>
      <c r="E190" s="25"/>
      <c r="F190" s="25"/>
      <c r="G190" s="25"/>
      <c r="H190" s="25"/>
      <c r="I190" s="25"/>
      <c r="J190" s="25"/>
      <c r="K190" s="25"/>
      <c r="L190" s="25"/>
      <c r="M190" s="25"/>
      <c r="N190" s="25"/>
      <c r="O190" s="25"/>
      <c r="P190" s="25"/>
      <c r="Q190" s="25"/>
      <c r="R190" s="25"/>
      <c r="S190" s="25"/>
      <c r="T190" s="59">
        <f>(T98+T100+T101+T102+T103+T104+T105+T106+T107+T108+T109)/-(T110+T111)</f>
        <v>6.6643356643356642</v>
      </c>
      <c r="U190" s="25" t="s">
        <v>124</v>
      </c>
      <c r="V190" s="5"/>
    </row>
    <row r="191" spans="1:22" ht="15.6" x14ac:dyDescent="0.3">
      <c r="A191" s="24"/>
      <c r="B191" s="25" t="s">
        <v>244</v>
      </c>
      <c r="C191" s="25"/>
      <c r="D191" s="25"/>
      <c r="E191" s="25"/>
      <c r="F191" s="25"/>
      <c r="G191" s="25"/>
      <c r="H191" s="25"/>
      <c r="I191" s="25"/>
      <c r="J191" s="25"/>
      <c r="K191" s="25"/>
      <c r="L191" s="25"/>
      <c r="M191" s="25"/>
      <c r="N191" s="25"/>
      <c r="O191" s="25"/>
      <c r="P191" s="25"/>
      <c r="Q191" s="25"/>
      <c r="R191" s="25"/>
      <c r="S191" s="25"/>
      <c r="T191" s="67">
        <v>3.25</v>
      </c>
      <c r="U191" s="25" t="s">
        <v>124</v>
      </c>
      <c r="V191" s="5"/>
    </row>
    <row r="192" spans="1:22"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5"/>
    </row>
    <row r="193" spans="1:22"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5"/>
    </row>
    <row r="194" spans="1:22" ht="15.6" x14ac:dyDescent="0.3">
      <c r="A194" s="6"/>
      <c r="B194" s="8"/>
      <c r="C194" s="8"/>
      <c r="D194" s="8"/>
      <c r="E194" s="8"/>
      <c r="F194" s="8"/>
      <c r="G194" s="8"/>
      <c r="H194" s="8"/>
      <c r="I194" s="8"/>
      <c r="J194" s="8"/>
      <c r="K194" s="8"/>
      <c r="L194" s="8"/>
      <c r="M194" s="8"/>
      <c r="N194" s="8"/>
      <c r="O194" s="8"/>
      <c r="P194" s="8"/>
      <c r="Q194" s="8"/>
      <c r="R194" s="8"/>
      <c r="S194" s="8"/>
      <c r="T194" s="8"/>
      <c r="U194" s="8"/>
      <c r="V194" s="5"/>
    </row>
    <row r="195" spans="1:22" ht="18" thickBot="1" x14ac:dyDescent="0.35">
      <c r="A195" s="102"/>
      <c r="B195" s="103" t="str">
        <f>B134</f>
        <v>PM9 INVESTOR REPORT QUARTER ENDING JANUARY 2010</v>
      </c>
      <c r="C195" s="162"/>
      <c r="D195" s="162"/>
      <c r="E195" s="162"/>
      <c r="F195" s="162"/>
      <c r="G195" s="162"/>
      <c r="H195" s="162"/>
      <c r="I195" s="162"/>
      <c r="J195" s="162"/>
      <c r="K195" s="162"/>
      <c r="L195" s="162"/>
      <c r="M195" s="162"/>
      <c r="N195" s="162"/>
      <c r="O195" s="162"/>
      <c r="P195" s="162"/>
      <c r="Q195" s="162"/>
      <c r="R195" s="162"/>
      <c r="S195" s="162"/>
      <c r="T195" s="162"/>
      <c r="U195" s="163"/>
      <c r="V195" s="5"/>
    </row>
    <row r="196" spans="1:22" ht="15.6" x14ac:dyDescent="0.3">
      <c r="A196" s="68"/>
      <c r="B196" s="60" t="s">
        <v>74</v>
      </c>
      <c r="C196" s="69"/>
      <c r="D196" s="69"/>
      <c r="E196" s="69"/>
      <c r="F196" s="69"/>
      <c r="G196" s="70"/>
      <c r="H196" s="70"/>
      <c r="I196" s="70"/>
      <c r="J196" s="70"/>
      <c r="K196" s="70"/>
      <c r="L196" s="70"/>
      <c r="M196" s="70"/>
      <c r="N196" s="70"/>
      <c r="O196" s="70"/>
      <c r="P196" s="70"/>
      <c r="Q196" s="70"/>
      <c r="R196" s="71">
        <v>40207</v>
      </c>
      <c r="S196" s="4"/>
      <c r="T196" s="4"/>
      <c r="U196" s="4"/>
      <c r="V196" s="5"/>
    </row>
    <row r="197" spans="1:22" ht="15.6" x14ac:dyDescent="0.3">
      <c r="A197" s="72"/>
      <c r="B197" s="73"/>
      <c r="C197" s="74"/>
      <c r="D197" s="74"/>
      <c r="E197" s="74"/>
      <c r="F197" s="74"/>
      <c r="G197" s="75"/>
      <c r="H197" s="75"/>
      <c r="I197" s="75"/>
      <c r="J197" s="75"/>
      <c r="K197" s="75"/>
      <c r="L197" s="75"/>
      <c r="M197" s="75"/>
      <c r="N197" s="75"/>
      <c r="O197" s="75"/>
      <c r="P197" s="75"/>
      <c r="Q197" s="75"/>
      <c r="R197" s="75"/>
      <c r="S197" s="8"/>
      <c r="T197" s="8"/>
      <c r="U197" s="8"/>
      <c r="V197" s="5"/>
    </row>
    <row r="198" spans="1:22" ht="15.6" x14ac:dyDescent="0.3">
      <c r="A198" s="76"/>
      <c r="B198" s="77" t="s">
        <v>75</v>
      </c>
      <c r="C198" s="78"/>
      <c r="D198" s="78"/>
      <c r="E198" s="78"/>
      <c r="F198" s="78"/>
      <c r="G198" s="64"/>
      <c r="H198" s="64"/>
      <c r="I198" s="64"/>
      <c r="J198" s="64"/>
      <c r="K198" s="64"/>
      <c r="L198" s="64"/>
      <c r="M198" s="64"/>
      <c r="N198" s="64"/>
      <c r="O198" s="64"/>
      <c r="P198" s="64"/>
      <c r="Q198" s="64"/>
      <c r="R198" s="79">
        <v>5.8209999999999998E-2</v>
      </c>
      <c r="S198" s="25"/>
      <c r="T198" s="25"/>
      <c r="U198" s="25"/>
      <c r="V198" s="5"/>
    </row>
    <row r="199" spans="1:22" ht="15.6" x14ac:dyDescent="0.3">
      <c r="A199" s="76"/>
      <c r="B199" s="77" t="s">
        <v>164</v>
      </c>
      <c r="C199" s="78"/>
      <c r="D199" s="78"/>
      <c r="E199" s="78"/>
      <c r="F199" s="78"/>
      <c r="G199" s="64"/>
      <c r="H199" s="64"/>
      <c r="I199" s="64"/>
      <c r="J199" s="64"/>
      <c r="K199" s="64"/>
      <c r="L199" s="64"/>
      <c r="M199" s="64"/>
      <c r="N199" s="64"/>
      <c r="O199" s="64"/>
      <c r="P199" s="64"/>
      <c r="Q199" s="64"/>
      <c r="R199" s="39">
        <f>'Oct 05'!R193</f>
        <v>4.8438496428571419E-2</v>
      </c>
      <c r="S199" s="25"/>
      <c r="T199" s="25"/>
      <c r="U199" s="25"/>
      <c r="V199" s="5"/>
    </row>
    <row r="200" spans="1:22" ht="15.6" x14ac:dyDescent="0.3">
      <c r="A200" s="76"/>
      <c r="B200" s="77" t="s">
        <v>76</v>
      </c>
      <c r="C200" s="78"/>
      <c r="D200" s="78"/>
      <c r="E200" s="78"/>
      <c r="F200" s="78"/>
      <c r="G200" s="64"/>
      <c r="H200" s="64"/>
      <c r="I200" s="64"/>
      <c r="J200" s="64"/>
      <c r="K200" s="64"/>
      <c r="L200" s="64"/>
      <c r="M200" s="64"/>
      <c r="N200" s="64"/>
      <c r="O200" s="64"/>
      <c r="P200" s="64"/>
      <c r="Q200" s="64"/>
      <c r="R200" s="79">
        <f>R198-R199</f>
        <v>9.7715035714285789E-3</v>
      </c>
      <c r="S200" s="25"/>
      <c r="T200" s="25"/>
      <c r="U200" s="25"/>
      <c r="V200" s="5"/>
    </row>
    <row r="201" spans="1:22" ht="15.6" x14ac:dyDescent="0.3">
      <c r="A201" s="76"/>
      <c r="B201" s="77" t="s">
        <v>77</v>
      </c>
      <c r="C201" s="78"/>
      <c r="D201" s="78"/>
      <c r="E201" s="78"/>
      <c r="F201" s="78"/>
      <c r="G201" s="64"/>
      <c r="H201" s="64"/>
      <c r="I201" s="64"/>
      <c r="J201" s="64"/>
      <c r="K201" s="64"/>
      <c r="L201" s="64"/>
      <c r="M201" s="64"/>
      <c r="N201" s="64"/>
      <c r="O201" s="64"/>
      <c r="P201" s="64"/>
      <c r="Q201" s="64"/>
      <c r="R201" s="79">
        <v>3.0499999999999999E-2</v>
      </c>
      <c r="S201" s="25"/>
      <c r="T201" s="25"/>
      <c r="U201" s="25"/>
      <c r="V201" s="5"/>
    </row>
    <row r="202" spans="1:22" ht="15.6" x14ac:dyDescent="0.3">
      <c r="A202" s="76"/>
      <c r="B202" s="77" t="s">
        <v>257</v>
      </c>
      <c r="C202" s="78"/>
      <c r="D202" s="78"/>
      <c r="E202" s="78"/>
      <c r="F202" s="78"/>
      <c r="G202" s="64"/>
      <c r="H202" s="64"/>
      <c r="I202" s="64"/>
      <c r="J202" s="64"/>
      <c r="K202" s="64"/>
      <c r="L202" s="64"/>
      <c r="M202" s="64"/>
      <c r="N202" s="64"/>
      <c r="O202" s="64"/>
      <c r="P202" s="64"/>
      <c r="Q202" s="64"/>
      <c r="R202" s="79">
        <f>+T41</f>
        <v>8.6396353315820237E-3</v>
      </c>
      <c r="S202" s="25"/>
      <c r="T202" s="25"/>
      <c r="U202" s="25"/>
      <c r="V202" s="5"/>
    </row>
    <row r="203" spans="1:22" ht="15.6" x14ac:dyDescent="0.3">
      <c r="A203" s="76"/>
      <c r="B203" s="77" t="s">
        <v>78</v>
      </c>
      <c r="C203" s="78"/>
      <c r="D203" s="78"/>
      <c r="E203" s="78"/>
      <c r="F203" s="78"/>
      <c r="G203" s="64"/>
      <c r="H203" s="64"/>
      <c r="I203" s="64"/>
      <c r="J203" s="64"/>
      <c r="K203" s="64"/>
      <c r="L203" s="64"/>
      <c r="M203" s="64"/>
      <c r="N203" s="64"/>
      <c r="O203" s="64"/>
      <c r="P203" s="64"/>
      <c r="Q203" s="64"/>
      <c r="R203" s="79">
        <f>R201-R202</f>
        <v>2.1860364668417974E-2</v>
      </c>
      <c r="S203" s="25"/>
      <c r="T203" s="25"/>
      <c r="U203" s="25"/>
      <c r="V203" s="5"/>
    </row>
    <row r="204" spans="1:22" ht="15.6" x14ac:dyDescent="0.3">
      <c r="A204" s="76"/>
      <c r="B204" s="77" t="s">
        <v>268</v>
      </c>
      <c r="C204" s="78"/>
      <c r="D204" s="78"/>
      <c r="E204" s="78"/>
      <c r="F204" s="78"/>
      <c r="G204" s="64"/>
      <c r="H204" s="64"/>
      <c r="I204" s="64"/>
      <c r="J204" s="64"/>
      <c r="K204" s="64"/>
      <c r="L204" s="64"/>
      <c r="M204" s="64"/>
      <c r="N204" s="64"/>
      <c r="O204" s="64"/>
      <c r="P204" s="64"/>
      <c r="Q204" s="64"/>
      <c r="R204" s="79">
        <f>+T98/L69</f>
        <v>7.708242281280496E-3</v>
      </c>
      <c r="S204" s="25"/>
      <c r="T204" s="25"/>
      <c r="U204" s="25"/>
      <c r="V204" s="5"/>
    </row>
    <row r="205" spans="1:22" ht="15.6" x14ac:dyDescent="0.3">
      <c r="A205" s="76"/>
      <c r="B205" s="77" t="s">
        <v>249</v>
      </c>
      <c r="C205" s="78"/>
      <c r="D205" s="78"/>
      <c r="E205" s="78"/>
      <c r="F205" s="78"/>
      <c r="G205" s="64"/>
      <c r="H205" s="64"/>
      <c r="I205" s="64"/>
      <c r="J205" s="64"/>
      <c r="K205" s="64"/>
      <c r="L205" s="64"/>
      <c r="M205" s="64"/>
      <c r="N205" s="64"/>
      <c r="O205" s="64"/>
      <c r="P205" s="64"/>
      <c r="Q205" s="64"/>
      <c r="R205" s="132">
        <v>51622</v>
      </c>
      <c r="S205" s="25"/>
      <c r="T205" s="25"/>
      <c r="U205" s="25"/>
      <c r="V205" s="5"/>
    </row>
    <row r="206" spans="1:22" ht="15.6" x14ac:dyDescent="0.3">
      <c r="A206" s="76"/>
      <c r="B206" s="77" t="s">
        <v>250</v>
      </c>
      <c r="C206" s="78"/>
      <c r="D206" s="78"/>
      <c r="E206" s="78"/>
      <c r="F206" s="78"/>
      <c r="G206" s="64"/>
      <c r="H206" s="64"/>
      <c r="I206" s="64"/>
      <c r="J206" s="64"/>
      <c r="K206" s="64"/>
      <c r="L206" s="64"/>
      <c r="M206" s="64"/>
      <c r="N206" s="64"/>
      <c r="O206" s="64"/>
      <c r="P206" s="64"/>
      <c r="Q206" s="64"/>
      <c r="R206" s="132">
        <v>51622</v>
      </c>
      <c r="S206" s="25"/>
      <c r="T206" s="25"/>
      <c r="U206" s="25"/>
      <c r="V206" s="5"/>
    </row>
    <row r="207" spans="1:22" ht="15.6" x14ac:dyDescent="0.3">
      <c r="A207" s="76"/>
      <c r="B207" s="77" t="s">
        <v>251</v>
      </c>
      <c r="C207" s="78"/>
      <c r="D207" s="78"/>
      <c r="E207" s="78"/>
      <c r="F207" s="78"/>
      <c r="G207" s="64"/>
      <c r="H207" s="64"/>
      <c r="I207" s="64"/>
      <c r="J207" s="64"/>
      <c r="K207" s="64"/>
      <c r="L207" s="64"/>
      <c r="M207" s="64"/>
      <c r="N207" s="64"/>
      <c r="O207" s="64"/>
      <c r="P207" s="64"/>
      <c r="Q207" s="64"/>
      <c r="R207" s="132">
        <v>51622</v>
      </c>
      <c r="S207" s="25"/>
      <c r="T207" s="25"/>
      <c r="U207" s="25"/>
      <c r="V207" s="5"/>
    </row>
    <row r="208" spans="1:22" ht="15.6" x14ac:dyDescent="0.3">
      <c r="A208" s="76"/>
      <c r="B208" s="77" t="s">
        <v>79</v>
      </c>
      <c r="C208" s="78"/>
      <c r="D208" s="78"/>
      <c r="E208" s="78"/>
      <c r="F208" s="78"/>
      <c r="G208" s="64"/>
      <c r="H208" s="64"/>
      <c r="I208" s="64"/>
      <c r="J208" s="64"/>
      <c r="K208" s="64"/>
      <c r="L208" s="64"/>
      <c r="M208" s="64"/>
      <c r="N208" s="64"/>
      <c r="O208" s="64"/>
      <c r="P208" s="64"/>
      <c r="Q208" s="64"/>
      <c r="R208" s="136">
        <v>20.95</v>
      </c>
      <c r="S208" s="25" t="s">
        <v>119</v>
      </c>
      <c r="T208" s="25"/>
      <c r="U208" s="25"/>
      <c r="V208" s="5"/>
    </row>
    <row r="209" spans="1:22" ht="15.6" x14ac:dyDescent="0.3">
      <c r="A209" s="76"/>
      <c r="B209" s="77" t="s">
        <v>80</v>
      </c>
      <c r="C209" s="78"/>
      <c r="D209" s="78"/>
      <c r="E209" s="78"/>
      <c r="F209" s="78"/>
      <c r="G209" s="64"/>
      <c r="H209" s="64"/>
      <c r="I209" s="64"/>
      <c r="J209" s="64"/>
      <c r="K209" s="64"/>
      <c r="L209" s="64"/>
      <c r="M209" s="64"/>
      <c r="N209" s="64"/>
      <c r="O209" s="64"/>
      <c r="P209" s="64"/>
      <c r="Q209" s="64"/>
      <c r="R209" s="136">
        <v>16.579999999999998</v>
      </c>
      <c r="S209" s="25" t="s">
        <v>119</v>
      </c>
      <c r="T209" s="25"/>
      <c r="U209" s="25"/>
      <c r="V209" s="5"/>
    </row>
    <row r="210" spans="1:22" ht="15.6" x14ac:dyDescent="0.3">
      <c r="A210" s="76"/>
      <c r="B210" s="77" t="s">
        <v>81</v>
      </c>
      <c r="C210" s="78"/>
      <c r="D210" s="78"/>
      <c r="E210" s="78"/>
      <c r="F210" s="78"/>
      <c r="G210" s="64"/>
      <c r="H210" s="64"/>
      <c r="I210" s="64"/>
      <c r="J210" s="64"/>
      <c r="K210" s="64"/>
      <c r="L210" s="64"/>
      <c r="M210" s="64"/>
      <c r="N210" s="64"/>
      <c r="O210" s="64"/>
      <c r="P210" s="64"/>
      <c r="Q210" s="64"/>
      <c r="R210" s="79">
        <f>+N66/L66</f>
        <v>1.0552059821947088E-2</v>
      </c>
      <c r="S210" s="25"/>
      <c r="T210" s="25"/>
      <c r="U210" s="25"/>
      <c r="V210" s="5"/>
    </row>
    <row r="211" spans="1:22" ht="15.6" x14ac:dyDescent="0.3">
      <c r="A211" s="76"/>
      <c r="B211" s="77" t="s">
        <v>82</v>
      </c>
      <c r="C211" s="78"/>
      <c r="D211" s="78"/>
      <c r="E211" s="78"/>
      <c r="F211" s="78"/>
      <c r="G211" s="64"/>
      <c r="H211" s="64"/>
      <c r="I211" s="64"/>
      <c r="J211" s="64"/>
      <c r="K211" s="64"/>
      <c r="L211" s="64"/>
      <c r="M211" s="64"/>
      <c r="N211" s="64"/>
      <c r="O211" s="64"/>
      <c r="P211" s="64"/>
      <c r="Q211" s="64"/>
      <c r="R211" s="79">
        <v>0.16819999999999999</v>
      </c>
      <c r="S211" s="25"/>
      <c r="T211" s="25"/>
      <c r="U211" s="25"/>
      <c r="V211" s="5"/>
    </row>
    <row r="212" spans="1:22" ht="15.6" x14ac:dyDescent="0.3">
      <c r="A212" s="76"/>
      <c r="B212" s="77"/>
      <c r="C212" s="77"/>
      <c r="D212" s="77"/>
      <c r="E212" s="77"/>
      <c r="F212" s="77"/>
      <c r="G212" s="25"/>
      <c r="H212" s="25"/>
      <c r="I212" s="25"/>
      <c r="J212" s="25"/>
      <c r="K212" s="25"/>
      <c r="L212" s="25"/>
      <c r="M212" s="25"/>
      <c r="N212" s="25"/>
      <c r="O212" s="25"/>
      <c r="P212" s="25"/>
      <c r="Q212" s="25"/>
      <c r="R212" s="61"/>
      <c r="S212" s="25"/>
      <c r="T212" s="80"/>
      <c r="U212" s="25"/>
      <c r="V212" s="5"/>
    </row>
    <row r="213" spans="1:22" ht="15.6" x14ac:dyDescent="0.3">
      <c r="A213" s="81"/>
      <c r="B213" s="14" t="s">
        <v>83</v>
      </c>
      <c r="C213" s="82"/>
      <c r="D213" s="82"/>
      <c r="E213" s="82"/>
      <c r="F213" s="83"/>
      <c r="G213" s="82"/>
      <c r="H213" s="17"/>
      <c r="I213" s="17"/>
      <c r="J213" s="17"/>
      <c r="K213" s="17"/>
      <c r="L213" s="17"/>
      <c r="M213" s="17"/>
      <c r="N213" s="17"/>
      <c r="O213" s="17"/>
      <c r="P213" s="17"/>
      <c r="Q213" s="17" t="s">
        <v>108</v>
      </c>
      <c r="R213" s="84" t="s">
        <v>115</v>
      </c>
      <c r="S213" s="8"/>
      <c r="T213" s="8"/>
      <c r="U213" s="8"/>
      <c r="V213" s="5"/>
    </row>
    <row r="214" spans="1:22" ht="15.6" x14ac:dyDescent="0.3">
      <c r="A214" s="85"/>
      <c r="B214" s="77" t="s">
        <v>84</v>
      </c>
      <c r="C214" s="54"/>
      <c r="D214" s="54"/>
      <c r="E214" s="54"/>
      <c r="F214" s="25"/>
      <c r="G214" s="25"/>
      <c r="H214" s="30"/>
      <c r="I214" s="30"/>
      <c r="J214" s="30"/>
      <c r="K214" s="30"/>
      <c r="L214" s="30"/>
      <c r="M214" s="30"/>
      <c r="N214" s="30"/>
      <c r="O214" s="30"/>
      <c r="P214" s="30"/>
      <c r="Q214" s="30">
        <v>0</v>
      </c>
      <c r="R214" s="86">
        <v>0</v>
      </c>
      <c r="S214" s="25"/>
      <c r="T214" s="80"/>
      <c r="U214" s="87"/>
      <c r="V214" s="5"/>
    </row>
    <row r="215" spans="1:22" ht="15.6" x14ac:dyDescent="0.3">
      <c r="A215" s="85"/>
      <c r="B215" s="77" t="s">
        <v>156</v>
      </c>
      <c r="C215" s="54"/>
      <c r="D215" s="54"/>
      <c r="E215" s="54"/>
      <c r="F215" s="25"/>
      <c r="G215" s="25"/>
      <c r="H215" s="30"/>
      <c r="I215" s="30"/>
      <c r="J215" s="30"/>
      <c r="K215" s="30"/>
      <c r="L215" s="30"/>
      <c r="M215" s="30"/>
      <c r="N215" s="30"/>
      <c r="O215" s="30"/>
      <c r="P215" s="30"/>
      <c r="Q215" s="156">
        <f>+P254</f>
        <v>104</v>
      </c>
      <c r="R215" s="86">
        <f>+R254</f>
        <v>15530</v>
      </c>
      <c r="S215" s="25"/>
      <c r="T215" s="80"/>
      <c r="U215" s="87"/>
      <c r="V215" s="5"/>
    </row>
    <row r="216" spans="1:22" ht="15.6" x14ac:dyDescent="0.3">
      <c r="A216" s="85"/>
      <c r="B216" s="77" t="s">
        <v>85</v>
      </c>
      <c r="C216" s="54"/>
      <c r="D216" s="54"/>
      <c r="E216" s="54"/>
      <c r="F216" s="25"/>
      <c r="G216" s="25"/>
      <c r="H216" s="30"/>
      <c r="I216" s="30"/>
      <c r="J216" s="30"/>
      <c r="K216" s="30"/>
      <c r="L216" s="30"/>
      <c r="M216" s="30"/>
      <c r="N216" s="30"/>
      <c r="O216" s="30"/>
      <c r="P216" s="30"/>
      <c r="Q216" s="156">
        <f>+P266</f>
        <v>0</v>
      </c>
      <c r="R216" s="172">
        <f>+R266</f>
        <v>0</v>
      </c>
      <c r="S216" s="25"/>
      <c r="T216" s="80"/>
      <c r="U216" s="87"/>
      <c r="V216" s="5"/>
    </row>
    <row r="217" spans="1:22" ht="15.6" x14ac:dyDescent="0.3">
      <c r="A217" s="85"/>
      <c r="B217" s="123" t="s">
        <v>86</v>
      </c>
      <c r="C217" s="54"/>
      <c r="D217" s="54"/>
      <c r="E217" s="54"/>
      <c r="F217" s="25"/>
      <c r="G217" s="25"/>
      <c r="H217" s="25"/>
      <c r="I217" s="25"/>
      <c r="J217" s="25"/>
      <c r="K217" s="25"/>
      <c r="L217" s="25"/>
      <c r="M217" s="25"/>
      <c r="N217" s="25"/>
      <c r="O217" s="25"/>
      <c r="P217" s="25"/>
      <c r="Q217" s="25"/>
      <c r="R217" s="86">
        <v>0</v>
      </c>
      <c r="S217" s="25"/>
      <c r="T217" s="80"/>
      <c r="U217" s="87"/>
      <c r="V217" s="5"/>
    </row>
    <row r="218" spans="1:22" ht="15.6" x14ac:dyDescent="0.3">
      <c r="A218" s="85"/>
      <c r="B218" s="123" t="s">
        <v>87</v>
      </c>
      <c r="C218" s="54"/>
      <c r="D218" s="54"/>
      <c r="E218" s="54"/>
      <c r="F218" s="25"/>
      <c r="G218" s="25"/>
      <c r="H218" s="25"/>
      <c r="I218" s="25"/>
      <c r="J218" s="25"/>
      <c r="K218" s="25"/>
      <c r="L218" s="25"/>
      <c r="M218" s="25"/>
      <c r="N218" s="25"/>
      <c r="O218" s="25"/>
      <c r="P218" s="25"/>
      <c r="Q218" s="25"/>
      <c r="R218" s="62" t="s">
        <v>116</v>
      </c>
      <c r="S218" s="25"/>
      <c r="T218" s="80"/>
      <c r="U218" s="87"/>
      <c r="V218" s="5"/>
    </row>
    <row r="219" spans="1:22" ht="15.6" x14ac:dyDescent="0.3">
      <c r="A219" s="88"/>
      <c r="B219" s="123" t="s">
        <v>88</v>
      </c>
      <c r="C219" s="77"/>
      <c r="D219" s="77"/>
      <c r="E219" s="77"/>
      <c r="F219" s="77"/>
      <c r="G219" s="25"/>
      <c r="H219" s="25"/>
      <c r="I219" s="25"/>
      <c r="J219" s="25"/>
      <c r="K219" s="25"/>
      <c r="L219" s="25"/>
      <c r="M219" s="25"/>
      <c r="N219" s="25"/>
      <c r="O219" s="25"/>
      <c r="P219" s="25"/>
      <c r="Q219" s="25"/>
      <c r="R219" s="86"/>
      <c r="S219" s="25"/>
      <c r="T219" s="80"/>
      <c r="U219" s="89"/>
      <c r="V219" s="5"/>
    </row>
    <row r="220" spans="1:22" ht="15.6" x14ac:dyDescent="0.3">
      <c r="A220" s="88"/>
      <c r="B220" s="134" t="s">
        <v>89</v>
      </c>
      <c r="C220" s="77"/>
      <c r="D220" s="77"/>
      <c r="E220" s="77"/>
      <c r="F220" s="77"/>
      <c r="G220" s="25"/>
      <c r="H220" s="25"/>
      <c r="I220" s="25"/>
      <c r="J220" s="25"/>
      <c r="K220" s="25"/>
      <c r="L220" s="25"/>
      <c r="M220" s="25"/>
      <c r="N220" s="25"/>
      <c r="O220" s="25"/>
      <c r="P220" s="25"/>
      <c r="Q220" s="30"/>
      <c r="R220" s="86">
        <f>T164</f>
        <v>173</v>
      </c>
      <c r="S220" s="25"/>
      <c r="T220" s="80"/>
      <c r="U220" s="89"/>
      <c r="V220" s="5"/>
    </row>
    <row r="221" spans="1:22" ht="15.6" x14ac:dyDescent="0.3">
      <c r="A221" s="85"/>
      <c r="B221" s="77" t="s">
        <v>90</v>
      </c>
      <c r="C221" s="54"/>
      <c r="D221" s="54"/>
      <c r="E221" s="54"/>
      <c r="F221" s="54"/>
      <c r="G221" s="25"/>
      <c r="H221" s="25"/>
      <c r="I221" s="25"/>
      <c r="J221" s="25"/>
      <c r="K221" s="25"/>
      <c r="L221" s="25"/>
      <c r="M221" s="25"/>
      <c r="N221" s="25"/>
      <c r="O221" s="25"/>
      <c r="P221" s="25"/>
      <c r="Q221" s="30"/>
      <c r="R221" s="86">
        <f>'Oct 09'!R221+'Jan 10'!R220</f>
        <v>1646</v>
      </c>
      <c r="S221" s="25"/>
      <c r="T221" s="80"/>
      <c r="U221" s="89"/>
      <c r="V221" s="5"/>
    </row>
    <row r="222" spans="1:22" ht="15.6" x14ac:dyDescent="0.3">
      <c r="A222" s="88"/>
      <c r="B222" s="123" t="s">
        <v>288</v>
      </c>
      <c r="C222" s="77"/>
      <c r="D222" s="77"/>
      <c r="E222" s="77"/>
      <c r="F222" s="77"/>
      <c r="G222" s="25"/>
      <c r="H222" s="25"/>
      <c r="I222" s="25"/>
      <c r="J222" s="25"/>
      <c r="K222" s="25"/>
      <c r="L222" s="25"/>
      <c r="M222" s="25"/>
      <c r="N222" s="25"/>
      <c r="O222" s="25"/>
      <c r="P222" s="25"/>
      <c r="Q222" s="30"/>
      <c r="R222" s="86"/>
      <c r="S222" s="25"/>
      <c r="T222" s="80"/>
      <c r="U222" s="89"/>
      <c r="V222" s="5"/>
    </row>
    <row r="223" spans="1:22" ht="15.6" x14ac:dyDescent="0.3">
      <c r="A223" s="88"/>
      <c r="B223" s="77" t="s">
        <v>286</v>
      </c>
      <c r="C223" s="77"/>
      <c r="D223" s="77"/>
      <c r="E223" s="77"/>
      <c r="F223" s="77"/>
      <c r="G223" s="25"/>
      <c r="H223" s="25"/>
      <c r="I223" s="25"/>
      <c r="J223" s="25"/>
      <c r="K223" s="25"/>
      <c r="L223" s="25"/>
      <c r="M223" s="25"/>
      <c r="N223" s="25"/>
      <c r="O223" s="25"/>
      <c r="P223" s="25"/>
      <c r="Q223" s="30">
        <v>1</v>
      </c>
      <c r="R223" s="172">
        <v>52</v>
      </c>
      <c r="S223" s="25"/>
      <c r="T223" s="80"/>
      <c r="U223" s="89"/>
      <c r="V223" s="5"/>
    </row>
    <row r="224" spans="1:22" ht="15.6" x14ac:dyDescent="0.3">
      <c r="A224" s="85"/>
      <c r="B224" s="77" t="s">
        <v>92</v>
      </c>
      <c r="C224" s="90"/>
      <c r="D224" s="90"/>
      <c r="E224" s="90"/>
      <c r="F224" s="91"/>
      <c r="G224" s="25"/>
      <c r="H224" s="25"/>
      <c r="I224" s="25"/>
      <c r="J224" s="25"/>
      <c r="K224" s="25"/>
      <c r="L224" s="25"/>
      <c r="M224" s="25"/>
      <c r="N224" s="25"/>
      <c r="O224" s="25"/>
      <c r="P224" s="25"/>
      <c r="Q224" s="30"/>
      <c r="R224" s="173">
        <v>16.399999999999999</v>
      </c>
      <c r="S224" s="25"/>
      <c r="T224" s="80"/>
      <c r="U224" s="89"/>
      <c r="V224" s="5"/>
    </row>
    <row r="225" spans="1:23" ht="15.6" x14ac:dyDescent="0.3">
      <c r="A225" s="85"/>
      <c r="B225" s="77" t="s">
        <v>93</v>
      </c>
      <c r="C225" s="90"/>
      <c r="D225" s="90"/>
      <c r="E225" s="90"/>
      <c r="F225" s="91"/>
      <c r="G225" s="25"/>
      <c r="H225" s="25"/>
      <c r="I225" s="25"/>
      <c r="J225" s="25"/>
      <c r="K225" s="25"/>
      <c r="L225" s="25"/>
      <c r="M225" s="25"/>
      <c r="N225" s="25"/>
      <c r="O225" s="25"/>
      <c r="P225" s="25"/>
      <c r="Q225" s="30"/>
      <c r="R225" s="173">
        <v>4.96</v>
      </c>
      <c r="S225" s="25"/>
      <c r="T225" s="80"/>
      <c r="U225" s="89"/>
      <c r="V225" s="5"/>
    </row>
    <row r="226" spans="1:23" ht="15.6" x14ac:dyDescent="0.3">
      <c r="A226" s="85"/>
      <c r="B226" s="123" t="s">
        <v>258</v>
      </c>
      <c r="C226" s="90"/>
      <c r="D226" s="90"/>
      <c r="E226" s="90"/>
      <c r="F226" s="91"/>
      <c r="G226" s="25"/>
      <c r="H226" s="25"/>
      <c r="I226" s="25"/>
      <c r="J226" s="25"/>
      <c r="K226" s="25"/>
      <c r="L226" s="25"/>
      <c r="M226" s="25"/>
      <c r="N226" s="25"/>
      <c r="O226" s="25"/>
      <c r="P226" s="25"/>
      <c r="Q226" s="30"/>
      <c r="R226" s="174"/>
      <c r="S226" s="25"/>
      <c r="T226" s="80"/>
      <c r="U226" s="89"/>
      <c r="V226" s="5"/>
    </row>
    <row r="227" spans="1:23" ht="15.6" x14ac:dyDescent="0.3">
      <c r="A227" s="85"/>
      <c r="B227" s="77" t="s">
        <v>286</v>
      </c>
      <c r="C227" s="90"/>
      <c r="D227" s="90"/>
      <c r="E227" s="90"/>
      <c r="F227" s="91"/>
      <c r="G227" s="25"/>
      <c r="H227" s="25"/>
      <c r="I227" s="25"/>
      <c r="J227" s="25"/>
      <c r="K227" s="25"/>
      <c r="L227" s="25"/>
      <c r="M227" s="25"/>
      <c r="N227" s="25"/>
      <c r="O227" s="25"/>
      <c r="P227" s="25"/>
      <c r="Q227" s="30">
        <v>7</v>
      </c>
      <c r="R227" s="172">
        <v>1068</v>
      </c>
      <c r="S227" s="25"/>
      <c r="T227" s="80"/>
      <c r="U227" s="89"/>
      <c r="V227" s="5"/>
    </row>
    <row r="228" spans="1:23" ht="15.6" x14ac:dyDescent="0.3">
      <c r="A228" s="85"/>
      <c r="B228" s="77" t="s">
        <v>259</v>
      </c>
      <c r="C228" s="90"/>
      <c r="D228" s="90"/>
      <c r="E228" s="90"/>
      <c r="F228" s="91"/>
      <c r="G228" s="25"/>
      <c r="H228" s="25"/>
      <c r="I228" s="25"/>
      <c r="J228" s="25"/>
      <c r="K228" s="25"/>
      <c r="L228" s="25"/>
      <c r="M228" s="25"/>
      <c r="N228" s="25"/>
      <c r="O228" s="25"/>
      <c r="P228" s="25"/>
      <c r="Q228" s="25"/>
      <c r="R228" s="173">
        <v>9.1</v>
      </c>
      <c r="S228" s="25"/>
      <c r="T228" s="80"/>
      <c r="U228" s="89"/>
      <c r="V228" s="5"/>
    </row>
    <row r="229" spans="1:23" ht="15.6" x14ac:dyDescent="0.3">
      <c r="A229" s="85"/>
      <c r="B229" s="77"/>
      <c r="C229" s="90"/>
      <c r="D229" s="90"/>
      <c r="E229" s="90"/>
      <c r="F229" s="91"/>
      <c r="G229" s="25"/>
      <c r="H229" s="25"/>
      <c r="I229" s="25"/>
      <c r="J229" s="25"/>
      <c r="K229" s="25"/>
      <c r="L229" s="25"/>
      <c r="M229" s="25"/>
      <c r="N229" s="25"/>
      <c r="O229" s="25"/>
      <c r="P229" s="25"/>
      <c r="Q229" s="25"/>
      <c r="R229" s="92"/>
      <c r="S229" s="25"/>
      <c r="T229" s="80"/>
      <c r="U229" s="89"/>
      <c r="V229" s="5"/>
    </row>
    <row r="230" spans="1:23" ht="17.399999999999999" x14ac:dyDescent="0.3">
      <c r="A230" s="85"/>
      <c r="B230" s="153" t="s">
        <v>208</v>
      </c>
      <c r="C230" s="90"/>
      <c r="D230" s="90"/>
      <c r="E230" s="90"/>
      <c r="F230" s="91"/>
      <c r="G230" s="25"/>
      <c r="H230" s="25"/>
      <c r="I230" s="25"/>
      <c r="J230" s="25"/>
      <c r="K230" s="25"/>
      <c r="L230" s="25"/>
      <c r="M230" s="25"/>
      <c r="N230" s="154" t="s">
        <v>207</v>
      </c>
      <c r="O230" s="25"/>
      <c r="P230" s="25"/>
      <c r="Q230" s="25"/>
      <c r="R230" s="92"/>
      <c r="S230" s="25"/>
      <c r="T230" s="80"/>
      <c r="U230" s="89"/>
      <c r="V230" s="5"/>
    </row>
    <row r="231" spans="1:23" ht="15.6" x14ac:dyDescent="0.3">
      <c r="A231" s="85"/>
      <c r="B231" s="77"/>
      <c r="C231" s="90"/>
      <c r="D231" s="90"/>
      <c r="E231" s="90"/>
      <c r="F231" s="91"/>
      <c r="G231" s="25"/>
      <c r="H231" s="25"/>
      <c r="I231" s="25"/>
      <c r="J231" s="25"/>
      <c r="K231" s="25"/>
      <c r="L231" s="25"/>
      <c r="M231" s="25"/>
      <c r="N231" s="25"/>
      <c r="O231" s="25"/>
      <c r="P231" s="25"/>
      <c r="Q231" s="25"/>
      <c r="R231" s="92"/>
      <c r="S231" s="25"/>
      <c r="T231" s="80"/>
      <c r="U231" s="89"/>
      <c r="V231" s="5"/>
    </row>
    <row r="232" spans="1:23" ht="15.6" x14ac:dyDescent="0.3">
      <c r="A232" s="6"/>
      <c r="B232" s="14" t="s">
        <v>177</v>
      </c>
      <c r="C232" s="82"/>
      <c r="D232" s="82"/>
      <c r="E232" s="82"/>
      <c r="F232" s="83"/>
      <c r="G232" s="82"/>
      <c r="H232" s="17"/>
      <c r="I232" s="17"/>
      <c r="J232" s="17"/>
      <c r="K232" s="17"/>
      <c r="L232" s="17"/>
      <c r="M232" s="17"/>
      <c r="N232" s="17"/>
      <c r="O232" s="17"/>
      <c r="P232" s="84" t="s">
        <v>108</v>
      </c>
      <c r="Q232" s="17" t="s">
        <v>109</v>
      </c>
      <c r="R232" s="84" t="s">
        <v>117</v>
      </c>
      <c r="S232" s="17" t="s">
        <v>109</v>
      </c>
      <c r="T232" s="8"/>
      <c r="U232" s="93"/>
      <c r="V232" s="5"/>
    </row>
    <row r="233" spans="1:23" ht="15.6" x14ac:dyDescent="0.3">
      <c r="A233" s="24"/>
      <c r="B233" s="54" t="s">
        <v>94</v>
      </c>
      <c r="C233" s="94"/>
      <c r="D233" s="94"/>
      <c r="E233" s="94"/>
      <c r="F233" s="25"/>
      <c r="G233" s="94"/>
      <c r="H233" s="94"/>
      <c r="I233" s="94"/>
      <c r="J233" s="94"/>
      <c r="K233" s="94"/>
      <c r="L233" s="94"/>
      <c r="M233" s="94"/>
      <c r="N233" s="94"/>
      <c r="O233" s="94"/>
      <c r="P233" s="54">
        <v>2636</v>
      </c>
      <c r="Q233" s="95">
        <f t="shared" ref="Q233:Q240" si="1">P233/$P$242</f>
        <v>0.98800599700149927</v>
      </c>
      <c r="R233" s="53">
        <v>311471</v>
      </c>
      <c r="S233" s="135">
        <f t="shared" ref="S233:S240" si="2">R233/$R$242</f>
        <v>0.98709213295134757</v>
      </c>
      <c r="T233" s="80"/>
      <c r="U233" s="89"/>
      <c r="V233" s="5"/>
    </row>
    <row r="234" spans="1:23" ht="15.6" x14ac:dyDescent="0.3">
      <c r="A234" s="24"/>
      <c r="B234" s="54" t="s">
        <v>95</v>
      </c>
      <c r="C234" s="94"/>
      <c r="D234" s="94"/>
      <c r="E234" s="94"/>
      <c r="F234" s="25"/>
      <c r="G234" s="95"/>
      <c r="H234" s="94"/>
      <c r="I234" s="94"/>
      <c r="J234" s="94"/>
      <c r="K234" s="94"/>
      <c r="L234" s="94"/>
      <c r="M234" s="94"/>
      <c r="N234" s="94"/>
      <c r="O234" s="94"/>
      <c r="P234" s="54">
        <v>23</v>
      </c>
      <c r="Q234" s="95">
        <f t="shared" si="1"/>
        <v>8.6206896551724137E-3</v>
      </c>
      <c r="R234" s="53">
        <v>2729</v>
      </c>
      <c r="S234" s="135">
        <f t="shared" si="2"/>
        <v>8.6485561443095105E-3</v>
      </c>
      <c r="T234" s="80"/>
      <c r="U234" s="89"/>
      <c r="V234" s="5"/>
      <c r="W234" s="110"/>
    </row>
    <row r="235" spans="1:23" ht="15.6" x14ac:dyDescent="0.3">
      <c r="A235" s="24"/>
      <c r="B235" s="54" t="s">
        <v>96</v>
      </c>
      <c r="C235" s="94"/>
      <c r="D235" s="94"/>
      <c r="E235" s="94"/>
      <c r="F235" s="25"/>
      <c r="G235" s="95"/>
      <c r="H235" s="94"/>
      <c r="I235" s="94"/>
      <c r="J235" s="94"/>
      <c r="K235" s="94"/>
      <c r="L235" s="94"/>
      <c r="M235" s="94"/>
      <c r="N235" s="94"/>
      <c r="O235" s="94"/>
      <c r="P235" s="54">
        <v>7</v>
      </c>
      <c r="Q235" s="95">
        <f t="shared" si="1"/>
        <v>2.6236881559220391E-3</v>
      </c>
      <c r="R235" s="53">
        <v>973</v>
      </c>
      <c r="S235" s="135">
        <f t="shared" si="2"/>
        <v>3.0835636234566336E-3</v>
      </c>
      <c r="T235" s="80"/>
      <c r="U235" s="89"/>
      <c r="V235" s="5"/>
    </row>
    <row r="236" spans="1:23" ht="15.6" x14ac:dyDescent="0.3">
      <c r="A236" s="24"/>
      <c r="B236" s="54" t="s">
        <v>171</v>
      </c>
      <c r="C236" s="94"/>
      <c r="D236" s="94"/>
      <c r="E236" s="94"/>
      <c r="F236" s="25"/>
      <c r="G236" s="95"/>
      <c r="H236" s="94"/>
      <c r="I236" s="94"/>
      <c r="J236" s="94"/>
      <c r="K236" s="94"/>
      <c r="L236" s="94"/>
      <c r="M236" s="94"/>
      <c r="N236" s="94"/>
      <c r="O236" s="94"/>
      <c r="P236" s="54">
        <v>0</v>
      </c>
      <c r="Q236" s="95">
        <f t="shared" si="1"/>
        <v>0</v>
      </c>
      <c r="R236" s="53">
        <v>0</v>
      </c>
      <c r="S236" s="135">
        <f t="shared" si="2"/>
        <v>0</v>
      </c>
      <c r="T236" s="80"/>
      <c r="U236" s="89"/>
      <c r="V236" s="5"/>
      <c r="W236" s="110"/>
    </row>
    <row r="237" spans="1:23" ht="15.6" x14ac:dyDescent="0.3">
      <c r="A237" s="24"/>
      <c r="B237" s="54" t="s">
        <v>172</v>
      </c>
      <c r="C237" s="94"/>
      <c r="D237" s="94"/>
      <c r="E237" s="94"/>
      <c r="F237" s="25"/>
      <c r="G237" s="95"/>
      <c r="H237" s="94"/>
      <c r="I237" s="94"/>
      <c r="J237" s="94"/>
      <c r="K237" s="94"/>
      <c r="L237" s="94"/>
      <c r="M237" s="94"/>
      <c r="N237" s="94"/>
      <c r="O237" s="94"/>
      <c r="P237" s="54">
        <v>0</v>
      </c>
      <c r="Q237" s="95">
        <f t="shared" si="1"/>
        <v>0</v>
      </c>
      <c r="R237" s="53">
        <v>0</v>
      </c>
      <c r="S237" s="135">
        <f t="shared" si="2"/>
        <v>0</v>
      </c>
      <c r="T237" s="80"/>
      <c r="U237" s="89"/>
      <c r="V237" s="5"/>
    </row>
    <row r="238" spans="1:23" ht="15.6" x14ac:dyDescent="0.3">
      <c r="A238" s="24"/>
      <c r="B238" s="54" t="s">
        <v>173</v>
      </c>
      <c r="C238" s="94"/>
      <c r="D238" s="94"/>
      <c r="E238" s="94"/>
      <c r="F238" s="25"/>
      <c r="G238" s="95"/>
      <c r="H238" s="94"/>
      <c r="I238" s="94"/>
      <c r="J238" s="94"/>
      <c r="K238" s="94"/>
      <c r="L238" s="94"/>
      <c r="M238" s="94"/>
      <c r="N238" s="94"/>
      <c r="O238" s="94"/>
      <c r="P238" s="54">
        <v>0</v>
      </c>
      <c r="Q238" s="95">
        <f t="shared" si="1"/>
        <v>0</v>
      </c>
      <c r="R238" s="53">
        <v>0</v>
      </c>
      <c r="S238" s="135">
        <f t="shared" si="2"/>
        <v>0</v>
      </c>
      <c r="T238" s="80"/>
      <c r="U238" s="89"/>
      <c r="V238" s="5"/>
      <c r="W238" s="110"/>
    </row>
    <row r="239" spans="1:23" ht="15.6" x14ac:dyDescent="0.3">
      <c r="A239" s="24"/>
      <c r="B239" s="54" t="s">
        <v>174</v>
      </c>
      <c r="C239" s="94"/>
      <c r="D239" s="94"/>
      <c r="E239" s="94"/>
      <c r="F239" s="25"/>
      <c r="G239" s="95"/>
      <c r="H239" s="94"/>
      <c r="I239" s="94"/>
      <c r="J239" s="94"/>
      <c r="K239" s="94"/>
      <c r="L239" s="94"/>
      <c r="M239" s="94"/>
      <c r="N239" s="94"/>
      <c r="O239" s="94"/>
      <c r="P239" s="54">
        <v>0</v>
      </c>
      <c r="Q239" s="95">
        <f t="shared" si="1"/>
        <v>0</v>
      </c>
      <c r="R239" s="53">
        <v>0</v>
      </c>
      <c r="S239" s="135">
        <f t="shared" si="2"/>
        <v>0</v>
      </c>
      <c r="T239" s="80"/>
      <c r="U239" s="89"/>
      <c r="V239" s="5"/>
    </row>
    <row r="240" spans="1:23" ht="15.6" x14ac:dyDescent="0.3">
      <c r="A240" s="24"/>
      <c r="B240" s="54" t="s">
        <v>175</v>
      </c>
      <c r="C240" s="94"/>
      <c r="D240" s="94"/>
      <c r="E240" s="94"/>
      <c r="F240" s="25"/>
      <c r="G240" s="95"/>
      <c r="H240" s="94"/>
      <c r="I240" s="94"/>
      <c r="J240" s="94"/>
      <c r="K240" s="94"/>
      <c r="L240" s="94"/>
      <c r="M240" s="94"/>
      <c r="N240" s="94"/>
      <c r="O240" s="94"/>
      <c r="P240" s="54">
        <v>2</v>
      </c>
      <c r="Q240" s="95">
        <f t="shared" si="1"/>
        <v>7.4962518740629683E-4</v>
      </c>
      <c r="R240" s="53">
        <v>371</v>
      </c>
      <c r="S240" s="135">
        <f t="shared" si="2"/>
        <v>1.1757472808863424E-3</v>
      </c>
      <c r="T240" s="80"/>
      <c r="U240" s="89"/>
      <c r="V240" s="5"/>
      <c r="W240" s="110"/>
    </row>
    <row r="241" spans="1:22" ht="15.6" x14ac:dyDescent="0.3">
      <c r="A241" s="24"/>
      <c r="B241" s="54"/>
      <c r="C241" s="94"/>
      <c r="D241" s="94"/>
      <c r="E241" s="94"/>
      <c r="F241" s="25"/>
      <c r="G241" s="95"/>
      <c r="H241" s="94"/>
      <c r="I241" s="94"/>
      <c r="J241" s="94"/>
      <c r="K241" s="94"/>
      <c r="L241" s="94"/>
      <c r="M241" s="94"/>
      <c r="N241" s="94"/>
      <c r="O241" s="94"/>
      <c r="P241" s="54"/>
      <c r="Q241" s="95"/>
      <c r="R241" s="53"/>
      <c r="S241" s="135"/>
      <c r="T241" s="80"/>
      <c r="U241" s="89"/>
      <c r="V241" s="5"/>
    </row>
    <row r="242" spans="1:22" ht="15.6" x14ac:dyDescent="0.3">
      <c r="A242" s="24"/>
      <c r="B242" s="25"/>
      <c r="C242" s="25"/>
      <c r="D242" s="25"/>
      <c r="E242" s="25"/>
      <c r="F242" s="25"/>
      <c r="G242" s="25"/>
      <c r="H242" s="96"/>
      <c r="I242" s="96"/>
      <c r="J242" s="96"/>
      <c r="K242" s="96"/>
      <c r="L242" s="96"/>
      <c r="M242" s="96"/>
      <c r="N242" s="96"/>
      <c r="O242" s="96"/>
      <c r="P242" s="34">
        <f>SUM(P233:P241)</f>
        <v>2668</v>
      </c>
      <c r="Q242" s="135">
        <f>SUM(Q233:Q241)</f>
        <v>1</v>
      </c>
      <c r="R242" s="53">
        <f>SUM(R233:R241)</f>
        <v>315544</v>
      </c>
      <c r="S242" s="135">
        <f>SUM(S233:S241)</f>
        <v>1</v>
      </c>
      <c r="T242" s="25"/>
      <c r="U242" s="25"/>
      <c r="V242" s="5"/>
    </row>
    <row r="243" spans="1:22" ht="15.6" x14ac:dyDescent="0.3">
      <c r="A243" s="24"/>
      <c r="B243" s="25"/>
      <c r="C243" s="25"/>
      <c r="D243" s="25"/>
      <c r="E243" s="25"/>
      <c r="F243" s="25"/>
      <c r="G243" s="25"/>
      <c r="H243" s="96"/>
      <c r="I243" s="96"/>
      <c r="J243" s="96"/>
      <c r="K243" s="96"/>
      <c r="L243" s="96"/>
      <c r="M243" s="96"/>
      <c r="N243" s="96"/>
      <c r="O243" s="96"/>
      <c r="P243" s="34"/>
      <c r="Q243" s="135"/>
      <c r="R243" s="53"/>
      <c r="S243" s="135"/>
      <c r="T243" s="25"/>
      <c r="U243" s="25"/>
      <c r="V243" s="5"/>
    </row>
    <row r="244" spans="1:22" ht="15.6" x14ac:dyDescent="0.3">
      <c r="A244" s="144"/>
      <c r="B244" s="14" t="s">
        <v>279</v>
      </c>
      <c r="C244" s="82"/>
      <c r="D244" s="82"/>
      <c r="E244" s="82"/>
      <c r="F244" s="83"/>
      <c r="G244" s="82"/>
      <c r="H244" s="17"/>
      <c r="I244" s="17"/>
      <c r="J244" s="17"/>
      <c r="K244" s="17"/>
      <c r="L244" s="17"/>
      <c r="M244" s="17"/>
      <c r="N244" s="17"/>
      <c r="O244" s="17"/>
      <c r="P244" s="84" t="s">
        <v>108</v>
      </c>
      <c r="Q244" s="17" t="s">
        <v>109</v>
      </c>
      <c r="R244" s="84" t="s">
        <v>117</v>
      </c>
      <c r="S244" s="17" t="s">
        <v>109</v>
      </c>
      <c r="T244" s="142"/>
      <c r="U244" s="143"/>
      <c r="V244" s="5"/>
    </row>
    <row r="245" spans="1:22" ht="15.6" x14ac:dyDescent="0.3">
      <c r="A245" s="24"/>
      <c r="B245" s="54" t="s">
        <v>94</v>
      </c>
      <c r="C245" s="94"/>
      <c r="D245" s="94"/>
      <c r="E245" s="94"/>
      <c r="F245" s="25"/>
      <c r="G245" s="94"/>
      <c r="H245" s="94"/>
      <c r="I245" s="94"/>
      <c r="J245" s="94"/>
      <c r="K245" s="94"/>
      <c r="L245" s="94"/>
      <c r="M245" s="94"/>
      <c r="N245" s="94"/>
      <c r="O245" s="94"/>
      <c r="P245" s="54">
        <v>60</v>
      </c>
      <c r="Q245" s="95">
        <f t="shared" ref="Q245:Q252" si="3">P245/$P$254</f>
        <v>0.57692307692307687</v>
      </c>
      <c r="R245" s="53">
        <v>8380</v>
      </c>
      <c r="S245" s="135">
        <f t="shared" ref="S245:S252" si="4">R245/$R$254</f>
        <v>0.53960077269800388</v>
      </c>
      <c r="T245" s="25"/>
      <c r="U245" s="25"/>
      <c r="V245" s="5"/>
    </row>
    <row r="246" spans="1:22" ht="15.6" x14ac:dyDescent="0.3">
      <c r="A246" s="24"/>
      <c r="B246" s="54" t="s">
        <v>95</v>
      </c>
      <c r="C246" s="94"/>
      <c r="D246" s="94"/>
      <c r="E246" s="94"/>
      <c r="F246" s="25"/>
      <c r="G246" s="95"/>
      <c r="H246" s="94"/>
      <c r="I246" s="94"/>
      <c r="J246" s="94"/>
      <c r="K246" s="94"/>
      <c r="L246" s="94"/>
      <c r="M246" s="94"/>
      <c r="N246" s="94"/>
      <c r="O246" s="94"/>
      <c r="P246" s="54">
        <v>9</v>
      </c>
      <c r="Q246" s="95">
        <f t="shared" si="3"/>
        <v>8.6538461538461536E-2</v>
      </c>
      <c r="R246" s="53">
        <v>1387</v>
      </c>
      <c r="S246" s="135">
        <f t="shared" si="4"/>
        <v>8.9311010946555053E-2</v>
      </c>
      <c r="T246" s="25"/>
      <c r="U246" s="25"/>
      <c r="V246" s="5"/>
    </row>
    <row r="247" spans="1:22" ht="15.6" x14ac:dyDescent="0.3">
      <c r="A247" s="24"/>
      <c r="B247" s="54" t="s">
        <v>96</v>
      </c>
      <c r="C247" s="94"/>
      <c r="D247" s="94"/>
      <c r="E247" s="94"/>
      <c r="F247" s="25"/>
      <c r="G247" s="95"/>
      <c r="H247" s="94"/>
      <c r="I247" s="94"/>
      <c r="J247" s="94"/>
      <c r="K247" s="94"/>
      <c r="L247" s="94"/>
      <c r="M247" s="94"/>
      <c r="N247" s="94"/>
      <c r="O247" s="94"/>
      <c r="P247" s="54">
        <v>4</v>
      </c>
      <c r="Q247" s="95">
        <f t="shared" si="3"/>
        <v>3.8461538461538464E-2</v>
      </c>
      <c r="R247" s="53">
        <v>632</v>
      </c>
      <c r="S247" s="135">
        <f t="shared" si="4"/>
        <v>4.0695428203477144E-2</v>
      </c>
      <c r="T247" s="25"/>
      <c r="U247" s="25"/>
      <c r="V247" s="5"/>
    </row>
    <row r="248" spans="1:22" ht="15.6" x14ac:dyDescent="0.3">
      <c r="A248" s="24"/>
      <c r="B248" s="54" t="s">
        <v>171</v>
      </c>
      <c r="C248" s="94"/>
      <c r="D248" s="94"/>
      <c r="E248" s="94"/>
      <c r="F248" s="25"/>
      <c r="G248" s="95"/>
      <c r="H248" s="94"/>
      <c r="I248" s="94"/>
      <c r="J248" s="94"/>
      <c r="K248" s="94"/>
      <c r="L248" s="94"/>
      <c r="M248" s="94"/>
      <c r="N248" s="94"/>
      <c r="O248" s="94"/>
      <c r="P248" s="54">
        <v>0</v>
      </c>
      <c r="Q248" s="95">
        <f t="shared" si="3"/>
        <v>0</v>
      </c>
      <c r="R248" s="53">
        <v>0</v>
      </c>
      <c r="S248" s="135">
        <f t="shared" si="4"/>
        <v>0</v>
      </c>
      <c r="T248" s="25"/>
      <c r="U248" s="25"/>
      <c r="V248" s="5"/>
    </row>
    <row r="249" spans="1:22" ht="15.6" x14ac:dyDescent="0.3">
      <c r="A249" s="24"/>
      <c r="B249" s="54" t="s">
        <v>172</v>
      </c>
      <c r="C249" s="94"/>
      <c r="D249" s="94"/>
      <c r="E249" s="94"/>
      <c r="F249" s="25"/>
      <c r="G249" s="95"/>
      <c r="H249" s="94"/>
      <c r="I249" s="94"/>
      <c r="J249" s="94"/>
      <c r="K249" s="94"/>
      <c r="L249" s="94"/>
      <c r="M249" s="94"/>
      <c r="N249" s="94"/>
      <c r="O249" s="94"/>
      <c r="P249" s="54">
        <v>3</v>
      </c>
      <c r="Q249" s="95">
        <f t="shared" si="3"/>
        <v>2.8846153846153848E-2</v>
      </c>
      <c r="R249" s="53">
        <v>412</v>
      </c>
      <c r="S249" s="135">
        <f t="shared" si="4"/>
        <v>2.6529298132646491E-2</v>
      </c>
      <c r="T249" s="25"/>
      <c r="U249" s="25"/>
      <c r="V249" s="5"/>
    </row>
    <row r="250" spans="1:22" ht="15.6" x14ac:dyDescent="0.3">
      <c r="A250" s="24"/>
      <c r="B250" s="54" t="s">
        <v>173</v>
      </c>
      <c r="C250" s="94"/>
      <c r="D250" s="94"/>
      <c r="E250" s="94"/>
      <c r="F250" s="25"/>
      <c r="G250" s="95"/>
      <c r="H250" s="94"/>
      <c r="I250" s="94"/>
      <c r="J250" s="94"/>
      <c r="K250" s="94"/>
      <c r="L250" s="94"/>
      <c r="M250" s="94"/>
      <c r="N250" s="94"/>
      <c r="O250" s="94"/>
      <c r="P250" s="54">
        <v>2</v>
      </c>
      <c r="Q250" s="95">
        <f t="shared" si="3"/>
        <v>1.9230769230769232E-2</v>
      </c>
      <c r="R250" s="53">
        <v>247</v>
      </c>
      <c r="S250" s="135">
        <f t="shared" si="4"/>
        <v>1.5904700579523503E-2</v>
      </c>
      <c r="T250" s="25"/>
      <c r="U250" s="25"/>
      <c r="V250" s="5"/>
    </row>
    <row r="251" spans="1:22" ht="15.6" x14ac:dyDescent="0.3">
      <c r="A251" s="24"/>
      <c r="B251" s="54" t="s">
        <v>174</v>
      </c>
      <c r="C251" s="94"/>
      <c r="D251" s="94"/>
      <c r="E251" s="94"/>
      <c r="F251" s="25"/>
      <c r="G251" s="95"/>
      <c r="H251" s="94"/>
      <c r="I251" s="94"/>
      <c r="J251" s="94"/>
      <c r="K251" s="94"/>
      <c r="L251" s="94"/>
      <c r="M251" s="94"/>
      <c r="N251" s="94"/>
      <c r="O251" s="94"/>
      <c r="P251" s="54">
        <v>15</v>
      </c>
      <c r="Q251" s="95">
        <f t="shared" si="3"/>
        <v>0.14423076923076922</v>
      </c>
      <c r="R251" s="53">
        <v>3062</v>
      </c>
      <c r="S251" s="135">
        <f t="shared" si="4"/>
        <v>0.19716677398583388</v>
      </c>
      <c r="T251" s="25"/>
      <c r="U251" s="25"/>
      <c r="V251" s="5"/>
    </row>
    <row r="252" spans="1:22" ht="15.6" x14ac:dyDescent="0.3">
      <c r="A252" s="24"/>
      <c r="B252" s="54" t="s">
        <v>175</v>
      </c>
      <c r="C252" s="94"/>
      <c r="D252" s="94"/>
      <c r="E252" s="94"/>
      <c r="F252" s="25"/>
      <c r="G252" s="95"/>
      <c r="H252" s="94"/>
      <c r="I252" s="94"/>
      <c r="J252" s="94"/>
      <c r="K252" s="94"/>
      <c r="L252" s="94"/>
      <c r="M252" s="94"/>
      <c r="N252" s="94"/>
      <c r="O252" s="94"/>
      <c r="P252" s="54">
        <v>11</v>
      </c>
      <c r="Q252" s="95">
        <f t="shared" si="3"/>
        <v>0.10576923076923077</v>
      </c>
      <c r="R252" s="53">
        <v>1410</v>
      </c>
      <c r="S252" s="135">
        <f t="shared" si="4"/>
        <v>9.0792015453960082E-2</v>
      </c>
      <c r="T252" s="25"/>
      <c r="U252" s="25"/>
      <c r="V252" s="5"/>
    </row>
    <row r="253" spans="1:22" ht="15.6" x14ac:dyDescent="0.3">
      <c r="A253" s="24"/>
      <c r="B253" s="54"/>
      <c r="C253" s="94"/>
      <c r="D253" s="94"/>
      <c r="E253" s="94"/>
      <c r="F253" s="25"/>
      <c r="G253" s="95"/>
      <c r="H253" s="94"/>
      <c r="I253" s="94"/>
      <c r="J253" s="94"/>
      <c r="K253" s="94"/>
      <c r="L253" s="94"/>
      <c r="M253" s="94"/>
      <c r="N253" s="94"/>
      <c r="O253" s="94"/>
      <c r="P253" s="54"/>
      <c r="Q253" s="95"/>
      <c r="R253" s="53"/>
      <c r="S253" s="135"/>
      <c r="T253" s="25"/>
      <c r="U253" s="25"/>
      <c r="V253" s="5"/>
    </row>
    <row r="254" spans="1:22" ht="15.6" x14ac:dyDescent="0.3">
      <c r="A254" s="24"/>
      <c r="B254" s="25"/>
      <c r="C254" s="25"/>
      <c r="D254" s="25"/>
      <c r="E254" s="25"/>
      <c r="F254" s="25"/>
      <c r="G254" s="25"/>
      <c r="H254" s="96"/>
      <c r="I254" s="96"/>
      <c r="J254" s="96"/>
      <c r="K254" s="96"/>
      <c r="L254" s="96"/>
      <c r="M254" s="96"/>
      <c r="N254" s="96"/>
      <c r="O254" s="96"/>
      <c r="P254" s="34">
        <f>SUM(P245:P253)</f>
        <v>104</v>
      </c>
      <c r="Q254" s="135">
        <f>SUM(Q245:Q253)</f>
        <v>0.99999999999999989</v>
      </c>
      <c r="R254" s="53">
        <f>SUM(R245:R253)</f>
        <v>15530</v>
      </c>
      <c r="S254" s="135">
        <f>SUM(S245:S253)</f>
        <v>1</v>
      </c>
      <c r="T254" s="25"/>
      <c r="U254" s="25"/>
      <c r="V254" s="5"/>
    </row>
    <row r="255" spans="1:22" ht="15.6" x14ac:dyDescent="0.3">
      <c r="A255" s="24"/>
      <c r="B255" s="25"/>
      <c r="C255" s="25"/>
      <c r="D255" s="25"/>
      <c r="E255" s="25"/>
      <c r="F255" s="25"/>
      <c r="G255" s="25"/>
      <c r="H255" s="96"/>
      <c r="I255" s="96"/>
      <c r="J255" s="96"/>
      <c r="K255" s="96"/>
      <c r="L255" s="96"/>
      <c r="M255" s="96"/>
      <c r="N255" s="96"/>
      <c r="O255" s="96"/>
      <c r="P255" s="34"/>
      <c r="Q255" s="135"/>
      <c r="R255" s="53"/>
      <c r="S255" s="135"/>
      <c r="T255" s="25"/>
      <c r="U255" s="25"/>
      <c r="V255" s="5"/>
    </row>
    <row r="256" spans="1:22" ht="15.6" x14ac:dyDescent="0.3">
      <c r="A256" s="144"/>
      <c r="B256" s="14" t="s">
        <v>179</v>
      </c>
      <c r="C256" s="142"/>
      <c r="D256" s="142"/>
      <c r="E256" s="142"/>
      <c r="F256" s="142"/>
      <c r="G256" s="142"/>
      <c r="H256" s="149"/>
      <c r="I256" s="149"/>
      <c r="J256" s="149"/>
      <c r="K256" s="149"/>
      <c r="L256" s="149"/>
      <c r="M256" s="149"/>
      <c r="N256" s="149"/>
      <c r="O256" s="149"/>
      <c r="P256" s="84" t="s">
        <v>108</v>
      </c>
      <c r="Q256" s="17" t="s">
        <v>109</v>
      </c>
      <c r="R256" s="84" t="s">
        <v>117</v>
      </c>
      <c r="S256" s="17" t="s">
        <v>109</v>
      </c>
      <c r="T256" s="142"/>
      <c r="U256" s="143"/>
      <c r="V256" s="5"/>
    </row>
    <row r="257" spans="1:22" ht="15.6" x14ac:dyDescent="0.3">
      <c r="A257" s="24"/>
      <c r="B257" s="54" t="s">
        <v>94</v>
      </c>
      <c r="C257" s="25"/>
      <c r="D257" s="25"/>
      <c r="E257" s="25"/>
      <c r="F257" s="25"/>
      <c r="G257" s="25"/>
      <c r="H257" s="96"/>
      <c r="I257" s="96"/>
      <c r="J257" s="96"/>
      <c r="K257" s="96"/>
      <c r="L257" s="96"/>
      <c r="M257" s="96"/>
      <c r="N257" s="96"/>
      <c r="O257" s="96"/>
      <c r="P257" s="54">
        <v>0</v>
      </c>
      <c r="Q257" s="95">
        <v>0</v>
      </c>
      <c r="R257" s="53">
        <v>0</v>
      </c>
      <c r="S257" s="95">
        <v>0</v>
      </c>
      <c r="T257" s="25"/>
      <c r="U257" s="25"/>
      <c r="V257" s="5"/>
    </row>
    <row r="258" spans="1:22" ht="15.6" x14ac:dyDescent="0.3">
      <c r="A258" s="24"/>
      <c r="B258" s="54" t="s">
        <v>95</v>
      </c>
      <c r="C258" s="25"/>
      <c r="D258" s="25"/>
      <c r="E258" s="25"/>
      <c r="F258" s="25"/>
      <c r="G258" s="25"/>
      <c r="H258" s="96"/>
      <c r="I258" s="96"/>
      <c r="J258" s="96"/>
      <c r="K258" s="96"/>
      <c r="L258" s="96"/>
      <c r="M258" s="96"/>
      <c r="N258" s="96"/>
      <c r="O258" s="96"/>
      <c r="P258" s="54">
        <v>0</v>
      </c>
      <c r="Q258" s="95">
        <v>0</v>
      </c>
      <c r="R258" s="53">
        <v>0</v>
      </c>
      <c r="S258" s="95">
        <v>0</v>
      </c>
      <c r="T258" s="25"/>
      <c r="U258" s="25"/>
      <c r="V258" s="5"/>
    </row>
    <row r="259" spans="1:22" ht="15.6" x14ac:dyDescent="0.3">
      <c r="A259" s="24"/>
      <c r="B259" s="54" t="s">
        <v>96</v>
      </c>
      <c r="C259" s="25"/>
      <c r="D259" s="25"/>
      <c r="E259" s="25"/>
      <c r="F259" s="25"/>
      <c r="G259" s="25"/>
      <c r="H259" s="96"/>
      <c r="I259" s="96"/>
      <c r="J259" s="96"/>
      <c r="K259" s="96"/>
      <c r="L259" s="96"/>
      <c r="M259" s="96"/>
      <c r="N259" s="96"/>
      <c r="O259" s="96"/>
      <c r="P259" s="54">
        <v>0</v>
      </c>
      <c r="Q259" s="95">
        <v>0</v>
      </c>
      <c r="R259" s="53">
        <v>0</v>
      </c>
      <c r="S259" s="95">
        <v>0</v>
      </c>
      <c r="T259" s="25"/>
      <c r="U259" s="25"/>
      <c r="V259" s="5"/>
    </row>
    <row r="260" spans="1:22" ht="15.6" x14ac:dyDescent="0.3">
      <c r="A260" s="24"/>
      <c r="B260" s="54" t="s">
        <v>171</v>
      </c>
      <c r="C260" s="25"/>
      <c r="D260" s="25"/>
      <c r="E260" s="25"/>
      <c r="F260" s="25"/>
      <c r="G260" s="25"/>
      <c r="H260" s="96"/>
      <c r="I260" s="96"/>
      <c r="J260" s="96"/>
      <c r="K260" s="96"/>
      <c r="L260" s="96"/>
      <c r="M260" s="96"/>
      <c r="N260" s="96"/>
      <c r="O260" s="96"/>
      <c r="P260" s="54">
        <v>0</v>
      </c>
      <c r="Q260" s="95">
        <v>0</v>
      </c>
      <c r="R260" s="53">
        <v>0</v>
      </c>
      <c r="S260" s="95">
        <v>0</v>
      </c>
      <c r="T260" s="25"/>
      <c r="U260" s="25"/>
      <c r="V260" s="5"/>
    </row>
    <row r="261" spans="1:22" ht="15.6" x14ac:dyDescent="0.3">
      <c r="A261" s="24"/>
      <c r="B261" s="54" t="s">
        <v>172</v>
      </c>
      <c r="C261" s="25"/>
      <c r="D261" s="25"/>
      <c r="E261" s="25"/>
      <c r="F261" s="25"/>
      <c r="G261" s="25"/>
      <c r="H261" s="96"/>
      <c r="I261" s="96"/>
      <c r="J261" s="96"/>
      <c r="K261" s="96"/>
      <c r="L261" s="96"/>
      <c r="M261" s="96"/>
      <c r="N261" s="96"/>
      <c r="O261" s="96"/>
      <c r="P261" s="54">
        <v>0</v>
      </c>
      <c r="Q261" s="95">
        <v>0</v>
      </c>
      <c r="R261" s="53">
        <v>0</v>
      </c>
      <c r="S261" s="95">
        <v>0</v>
      </c>
      <c r="T261" s="25"/>
      <c r="U261" s="25"/>
      <c r="V261" s="5"/>
    </row>
    <row r="262" spans="1:22" ht="15.6" x14ac:dyDescent="0.3">
      <c r="A262" s="24"/>
      <c r="B262" s="54" t="s">
        <v>173</v>
      </c>
      <c r="C262" s="25"/>
      <c r="D262" s="25"/>
      <c r="E262" s="25"/>
      <c r="F262" s="25"/>
      <c r="G262" s="25"/>
      <c r="H262" s="96"/>
      <c r="I262" s="96"/>
      <c r="J262" s="96"/>
      <c r="K262" s="96"/>
      <c r="L262" s="96"/>
      <c r="M262" s="96"/>
      <c r="N262" s="96"/>
      <c r="O262" s="96"/>
      <c r="P262" s="54">
        <v>0</v>
      </c>
      <c r="Q262" s="95">
        <v>0</v>
      </c>
      <c r="R262" s="53">
        <v>0</v>
      </c>
      <c r="S262" s="95">
        <v>0</v>
      </c>
      <c r="T262" s="25"/>
      <c r="U262" s="25"/>
      <c r="V262" s="5"/>
    </row>
    <row r="263" spans="1:22" ht="15.6" x14ac:dyDescent="0.3">
      <c r="A263" s="24"/>
      <c r="B263" s="54" t="s">
        <v>174</v>
      </c>
      <c r="C263" s="25"/>
      <c r="D263" s="25"/>
      <c r="E263" s="25"/>
      <c r="F263" s="25"/>
      <c r="G263" s="25"/>
      <c r="H263" s="96"/>
      <c r="I263" s="96"/>
      <c r="J263" s="96"/>
      <c r="K263" s="96"/>
      <c r="L263" s="96"/>
      <c r="M263" s="96"/>
      <c r="N263" s="96"/>
      <c r="O263" s="96"/>
      <c r="P263" s="54">
        <v>0</v>
      </c>
      <c r="Q263" s="95">
        <v>0</v>
      </c>
      <c r="R263" s="53">
        <v>0</v>
      </c>
      <c r="S263" s="95">
        <v>0</v>
      </c>
      <c r="T263" s="25"/>
      <c r="U263" s="25"/>
      <c r="V263" s="5"/>
    </row>
    <row r="264" spans="1:22" ht="15.6" x14ac:dyDescent="0.3">
      <c r="A264" s="24"/>
      <c r="B264" s="54" t="s">
        <v>175</v>
      </c>
      <c r="C264" s="25"/>
      <c r="D264" s="25"/>
      <c r="E264" s="25"/>
      <c r="F264" s="25"/>
      <c r="G264" s="25"/>
      <c r="H264" s="96"/>
      <c r="I264" s="96"/>
      <c r="J264" s="96"/>
      <c r="K264" s="96"/>
      <c r="L264" s="96"/>
      <c r="M264" s="96"/>
      <c r="N264" s="96"/>
      <c r="O264" s="96"/>
      <c r="P264" s="34">
        <v>0</v>
      </c>
      <c r="Q264" s="135">
        <v>0</v>
      </c>
      <c r="R264" s="171">
        <v>0</v>
      </c>
      <c r="S264" s="95">
        <v>0</v>
      </c>
      <c r="T264" s="25"/>
      <c r="U264" s="25"/>
      <c r="V264" s="5"/>
    </row>
    <row r="265" spans="1:22" ht="15.6" x14ac:dyDescent="0.3">
      <c r="A265" s="24"/>
      <c r="B265" s="54"/>
      <c r="C265" s="25"/>
      <c r="D265" s="25"/>
      <c r="E265" s="25"/>
      <c r="F265" s="25"/>
      <c r="G265" s="25"/>
      <c r="H265" s="96"/>
      <c r="I265" s="96"/>
      <c r="J265" s="96"/>
      <c r="K265" s="96"/>
      <c r="L265" s="96"/>
      <c r="M265" s="96"/>
      <c r="N265" s="96"/>
      <c r="O265" s="96"/>
      <c r="P265" s="54"/>
      <c r="Q265" s="95"/>
      <c r="R265" s="53"/>
      <c r="S265" s="135"/>
      <c r="T265" s="25"/>
      <c r="U265" s="25"/>
      <c r="V265" s="5"/>
    </row>
    <row r="266" spans="1:22" ht="15.6" x14ac:dyDescent="0.3">
      <c r="A266" s="24"/>
      <c r="B266" s="25" t="s">
        <v>123</v>
      </c>
      <c r="C266" s="25"/>
      <c r="D266" s="25"/>
      <c r="E266" s="25"/>
      <c r="F266" s="25"/>
      <c r="G266" s="25"/>
      <c r="H266" s="96"/>
      <c r="I266" s="96"/>
      <c r="J266" s="96"/>
      <c r="K266" s="96"/>
      <c r="L266" s="96"/>
      <c r="M266" s="96"/>
      <c r="N266" s="96"/>
      <c r="O266" s="96"/>
      <c r="P266" s="34">
        <f>SUM(P257:P264)</f>
        <v>0</v>
      </c>
      <c r="Q266" s="95">
        <f>SUM(Q257:Q264)</f>
        <v>0</v>
      </c>
      <c r="R266" s="53">
        <f>SUM(R257:R264)</f>
        <v>0</v>
      </c>
      <c r="S266" s="135">
        <f>SUM(S257:S264)</f>
        <v>0</v>
      </c>
      <c r="T266" s="25"/>
      <c r="U266" s="25"/>
      <c r="V266" s="5"/>
    </row>
    <row r="267" spans="1:22" ht="15.6" x14ac:dyDescent="0.3">
      <c r="A267" s="24"/>
      <c r="B267" s="25"/>
      <c r="C267" s="25"/>
      <c r="D267" s="25"/>
      <c r="E267" s="25"/>
      <c r="F267" s="25"/>
      <c r="G267" s="25"/>
      <c r="H267" s="96"/>
      <c r="I267" s="96"/>
      <c r="J267" s="96"/>
      <c r="K267" s="96"/>
      <c r="L267" s="96"/>
      <c r="M267" s="96"/>
      <c r="N267" s="96"/>
      <c r="O267" s="96"/>
      <c r="P267" s="34"/>
      <c r="Q267" s="135"/>
      <c r="R267" s="53"/>
      <c r="S267" s="135"/>
      <c r="T267" s="25"/>
      <c r="U267" s="25"/>
      <c r="V267" s="5"/>
    </row>
    <row r="268" spans="1:22" ht="15.6" x14ac:dyDescent="0.3">
      <c r="A268" s="24"/>
      <c r="B268" s="145" t="s">
        <v>180</v>
      </c>
      <c r="C268" s="25"/>
      <c r="D268" s="25"/>
      <c r="E268" s="25"/>
      <c r="F268" s="25"/>
      <c r="G268" s="25"/>
      <c r="H268" s="96"/>
      <c r="I268" s="96"/>
      <c r="J268" s="96"/>
      <c r="K268" s="96"/>
      <c r="L268" s="96"/>
      <c r="M268" s="96"/>
      <c r="N268" s="96"/>
      <c r="O268" s="96"/>
      <c r="P268" s="165">
        <f>+P242+P254+P266</f>
        <v>2772</v>
      </c>
      <c r="Q268" s="147"/>
      <c r="R268" s="148">
        <f>+R266+R254+R242</f>
        <v>331074</v>
      </c>
      <c r="S268" s="147"/>
      <c r="T268" s="25"/>
      <c r="U268" s="25"/>
      <c r="V268" s="5"/>
    </row>
    <row r="269" spans="1:22" ht="15.6" x14ac:dyDescent="0.3">
      <c r="A269" s="24"/>
      <c r="B269" s="25"/>
      <c r="C269" s="25"/>
      <c r="D269" s="25"/>
      <c r="E269" s="25"/>
      <c r="F269" s="25"/>
      <c r="G269" s="25"/>
      <c r="H269" s="96"/>
      <c r="I269" s="96"/>
      <c r="J269" s="96"/>
      <c r="K269" s="96"/>
      <c r="L269" s="96"/>
      <c r="M269" s="96"/>
      <c r="N269" s="96"/>
      <c r="O269" s="96"/>
      <c r="P269" s="96"/>
      <c r="Q269" s="96"/>
      <c r="R269" s="53"/>
      <c r="S269" s="96"/>
      <c r="T269" s="25"/>
      <c r="U269" s="25"/>
      <c r="V269" s="5"/>
    </row>
    <row r="270" spans="1:22" ht="15.6" x14ac:dyDescent="0.3">
      <c r="A270" s="6"/>
      <c r="B270" s="8"/>
      <c r="C270" s="8"/>
      <c r="D270" s="8"/>
      <c r="E270" s="8"/>
      <c r="F270" s="8"/>
      <c r="G270" s="8"/>
      <c r="H270" s="97"/>
      <c r="I270" s="97"/>
      <c r="J270" s="97"/>
      <c r="K270" s="97"/>
      <c r="L270" s="97"/>
      <c r="M270" s="97"/>
      <c r="N270" s="97"/>
      <c r="O270" s="97"/>
      <c r="P270" s="97"/>
      <c r="Q270" s="97"/>
      <c r="R270" s="98"/>
      <c r="S270" s="97"/>
      <c r="T270" s="8"/>
      <c r="U270" s="8"/>
      <c r="V270" s="5"/>
    </row>
    <row r="271" spans="1:22" ht="15.6" x14ac:dyDescent="0.3">
      <c r="A271" s="164"/>
      <c r="B271" s="14" t="s">
        <v>97</v>
      </c>
      <c r="C271" s="15"/>
      <c r="D271" s="15"/>
      <c r="E271" s="15"/>
      <c r="F271" s="17" t="s">
        <v>103</v>
      </c>
      <c r="G271" s="15"/>
      <c r="H271" s="14" t="s">
        <v>105</v>
      </c>
      <c r="I271" s="159"/>
      <c r="J271" s="159"/>
      <c r="K271" s="159"/>
      <c r="L271" s="159"/>
      <c r="M271" s="159"/>
      <c r="N271" s="159"/>
      <c r="O271" s="159"/>
      <c r="P271" s="159"/>
      <c r="Q271" s="159"/>
      <c r="R271" s="159"/>
      <c r="S271" s="159"/>
      <c r="T271" s="159"/>
      <c r="U271" s="159"/>
      <c r="V271" s="5"/>
    </row>
    <row r="272" spans="1:22" ht="15.6" x14ac:dyDescent="0.3">
      <c r="A272" s="164"/>
      <c r="B272" s="159"/>
      <c r="C272" s="8"/>
      <c r="D272" s="8"/>
      <c r="E272" s="8"/>
      <c r="F272" s="8"/>
      <c r="G272" s="8"/>
      <c r="H272" s="8"/>
      <c r="I272" s="159"/>
      <c r="J272" s="159"/>
      <c r="K272" s="159"/>
      <c r="L272" s="159"/>
      <c r="M272" s="159"/>
      <c r="N272" s="159"/>
      <c r="O272" s="159"/>
      <c r="P272" s="159"/>
      <c r="Q272" s="159"/>
      <c r="R272" s="159"/>
      <c r="S272" s="159"/>
      <c r="T272" s="159"/>
      <c r="U272" s="159"/>
      <c r="V272" s="5"/>
    </row>
    <row r="273" spans="1:22" ht="15.6" x14ac:dyDescent="0.3">
      <c r="A273" s="164"/>
      <c r="B273" s="13" t="s">
        <v>98</v>
      </c>
      <c r="C273" s="13"/>
      <c r="D273" s="13"/>
      <c r="E273" s="13"/>
      <c r="F273" s="133" t="s">
        <v>159</v>
      </c>
      <c r="G273" s="13"/>
      <c r="H273" s="13" t="s">
        <v>167</v>
      </c>
      <c r="I273" s="159"/>
      <c r="J273" s="159"/>
      <c r="K273" s="159"/>
      <c r="L273" s="159"/>
      <c r="M273" s="159"/>
      <c r="N273" s="159"/>
      <c r="O273" s="159"/>
      <c r="P273" s="159"/>
      <c r="Q273" s="159"/>
      <c r="R273" s="159"/>
      <c r="S273" s="159"/>
      <c r="T273" s="159"/>
      <c r="U273" s="159"/>
      <c r="V273" s="5"/>
    </row>
    <row r="274" spans="1:22" ht="15.6" x14ac:dyDescent="0.3">
      <c r="A274" s="164"/>
      <c r="B274" s="13" t="s">
        <v>273</v>
      </c>
      <c r="C274" s="13"/>
      <c r="D274" s="13"/>
      <c r="E274" s="13"/>
      <c r="F274" s="133" t="s">
        <v>274</v>
      </c>
      <c r="G274" s="13"/>
      <c r="H274" s="13" t="s">
        <v>275</v>
      </c>
      <c r="I274" s="159"/>
      <c r="J274" s="159"/>
      <c r="K274" s="159"/>
      <c r="L274" s="159"/>
      <c r="M274" s="159"/>
      <c r="N274" s="159"/>
      <c r="O274" s="159"/>
      <c r="P274" s="159"/>
      <c r="Q274" s="159"/>
      <c r="R274" s="159"/>
      <c r="S274" s="159"/>
      <c r="T274" s="159"/>
      <c r="U274" s="159"/>
      <c r="V274" s="5"/>
    </row>
    <row r="275" spans="1:22" ht="15.6" x14ac:dyDescent="0.3">
      <c r="A275" s="164"/>
      <c r="B275" s="13" t="s">
        <v>99</v>
      </c>
      <c r="C275" s="13"/>
      <c r="D275" s="13"/>
      <c r="E275" s="13"/>
      <c r="F275" s="133" t="s">
        <v>158</v>
      </c>
      <c r="G275" s="13"/>
      <c r="H275" s="13" t="s">
        <v>168</v>
      </c>
      <c r="I275" s="159"/>
      <c r="J275" s="159"/>
      <c r="K275" s="159"/>
      <c r="L275" s="159"/>
      <c r="M275" s="159"/>
      <c r="N275" s="159"/>
      <c r="O275" s="159"/>
      <c r="P275" s="159"/>
      <c r="Q275" s="159"/>
      <c r="R275" s="159"/>
      <c r="S275" s="159"/>
      <c r="T275" s="159"/>
      <c r="U275" s="159"/>
      <c r="V275" s="5"/>
    </row>
    <row r="276" spans="1:22" ht="15.6" x14ac:dyDescent="0.3">
      <c r="A276" s="164"/>
      <c r="B276" s="13"/>
      <c r="C276" s="13"/>
      <c r="D276" s="13"/>
      <c r="E276" s="13"/>
      <c r="F276" s="13"/>
      <c r="G276" s="100"/>
      <c r="H276" s="159"/>
      <c r="I276" s="159"/>
      <c r="J276" s="159"/>
      <c r="K276" s="159"/>
      <c r="L276" s="159"/>
      <c r="M276" s="159"/>
      <c r="N276" s="159"/>
      <c r="O276" s="159"/>
      <c r="P276" s="159"/>
      <c r="Q276" s="159"/>
      <c r="R276" s="159"/>
      <c r="S276" s="159"/>
      <c r="T276" s="159"/>
      <c r="U276" s="159"/>
      <c r="V276" s="5"/>
    </row>
    <row r="277" spans="1:22" ht="15.6" x14ac:dyDescent="0.3">
      <c r="A277" s="164"/>
      <c r="B277" s="13"/>
      <c r="C277" s="13"/>
      <c r="D277" s="13"/>
      <c r="E277" s="13"/>
      <c r="F277" s="13"/>
      <c r="G277" s="100"/>
      <c r="H277" s="159"/>
      <c r="I277" s="159"/>
      <c r="J277" s="159"/>
      <c r="K277" s="159"/>
      <c r="L277" s="159"/>
      <c r="M277" s="159"/>
      <c r="N277" s="159"/>
      <c r="O277" s="159"/>
      <c r="P277" s="159"/>
      <c r="Q277" s="159"/>
      <c r="R277" s="159"/>
      <c r="S277" s="159"/>
      <c r="T277" s="159"/>
      <c r="U277" s="159"/>
      <c r="V277" s="5"/>
    </row>
    <row r="278" spans="1:22" ht="18" thickBot="1" x14ac:dyDescent="0.35">
      <c r="A278" s="164"/>
      <c r="B278" s="49" t="str">
        <f>B195</f>
        <v>PM9 INVESTOR REPORT QUARTER ENDING JANUARY 2010</v>
      </c>
      <c r="C278" s="13"/>
      <c r="D278" s="13"/>
      <c r="E278" s="13"/>
      <c r="F278" s="13"/>
      <c r="G278" s="100"/>
      <c r="H278" s="159"/>
      <c r="I278" s="159"/>
      <c r="J278" s="159"/>
      <c r="K278" s="159"/>
      <c r="L278" s="159"/>
      <c r="M278" s="159"/>
      <c r="N278" s="159"/>
      <c r="O278" s="159"/>
      <c r="P278" s="159"/>
      <c r="Q278" s="159"/>
      <c r="R278" s="159"/>
      <c r="S278" s="159"/>
      <c r="T278" s="159"/>
      <c r="U278" s="159"/>
      <c r="V278" s="5"/>
    </row>
    <row r="279" spans="1:22" x14ac:dyDescent="0.25">
      <c r="A279" s="101"/>
      <c r="B279" s="101"/>
      <c r="C279" s="101"/>
      <c r="D279" s="101"/>
      <c r="E279" s="101"/>
      <c r="F279" s="101"/>
      <c r="G279" s="101"/>
      <c r="H279" s="101"/>
      <c r="I279" s="101"/>
      <c r="J279" s="101"/>
      <c r="K279" s="101"/>
      <c r="L279" s="101"/>
      <c r="M279" s="101"/>
      <c r="N279" s="101"/>
      <c r="O279" s="101"/>
      <c r="P279" s="101"/>
      <c r="Q279" s="101"/>
      <c r="R279" s="101"/>
      <c r="S279" s="101"/>
      <c r="T279" s="101"/>
      <c r="U279" s="101"/>
    </row>
  </sheetData>
  <phoneticPr fontId="0" type="noConversion"/>
  <hyperlinks>
    <hyperlink ref="J9" r:id="rId1" xr:uid="{00000000-0004-0000-1100-000000000000}"/>
    <hyperlink ref="N230" r:id="rId2" xr:uid="{00000000-0004-0000-11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4" max="14" man="1"/>
    <brk id="195" max="14"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9CB31"/>
  </sheetPr>
  <dimension ref="A1:W279"/>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t="s">
        <v>263</v>
      </c>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0.71650000000000003</v>
      </c>
      <c r="R16" s="17" t="s">
        <v>149</v>
      </c>
      <c r="S16" s="140">
        <v>0.28349999999999997</v>
      </c>
      <c r="T16" s="16"/>
      <c r="U16" s="15"/>
      <c r="V16" s="5"/>
    </row>
    <row r="17" spans="1:22" ht="15.6" x14ac:dyDescent="0.3">
      <c r="A17" s="6"/>
      <c r="B17" s="14" t="s">
        <v>4</v>
      </c>
      <c r="C17" s="15"/>
      <c r="D17" s="15"/>
      <c r="E17" s="15"/>
      <c r="F17" s="15"/>
      <c r="G17" s="15"/>
      <c r="H17" s="15"/>
      <c r="I17" s="15"/>
      <c r="J17" s="15"/>
      <c r="K17" s="15"/>
      <c r="L17" s="15"/>
      <c r="M17" s="15"/>
      <c r="N17" s="15"/>
      <c r="O17" s="15"/>
      <c r="P17" s="15"/>
      <c r="Q17" s="169"/>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40317</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141566.38440000001</v>
      </c>
      <c r="E30" s="32"/>
      <c r="F30" s="125">
        <f>F29*F36</f>
        <v>145248.747</v>
      </c>
      <c r="G30" s="31"/>
      <c r="H30" s="150">
        <f>H29*H36</f>
        <v>24549.036</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140325.0056</v>
      </c>
      <c r="E31" s="36"/>
      <c r="F31" s="126">
        <f>F35*F29</f>
        <v>143975.07800000001</v>
      </c>
      <c r="G31" s="35"/>
      <c r="H31" s="155">
        <f>H35*H29</f>
        <v>24333.768</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141566.38440000001</v>
      </c>
      <c r="E33" s="32"/>
      <c r="F33" s="31">
        <f>F32*F36</f>
        <v>100037.51730000001</v>
      </c>
      <c r="G33" s="31"/>
      <c r="H33" s="31">
        <f>H32*H36</f>
        <v>13870.205339999999</v>
      </c>
      <c r="I33" s="31"/>
      <c r="J33" s="31">
        <f>J32*J36</f>
        <v>7000</v>
      </c>
      <c r="K33" s="31"/>
      <c r="L33" s="31">
        <f>L32*L36</f>
        <v>20300</v>
      </c>
      <c r="M33" s="31"/>
      <c r="N33" s="31">
        <f>N32*N36</f>
        <v>3000</v>
      </c>
      <c r="O33" s="31"/>
      <c r="P33" s="31">
        <f>P32*P36</f>
        <v>45300</v>
      </c>
      <c r="Q33" s="31"/>
      <c r="R33" s="31"/>
      <c r="S33" s="161"/>
      <c r="T33" s="31">
        <f>SUM(C33:P33)</f>
        <v>331074.10704000003</v>
      </c>
      <c r="U33" s="34"/>
      <c r="V33" s="5"/>
    </row>
    <row r="34" spans="1:22" ht="15.6" x14ac:dyDescent="0.3">
      <c r="A34" s="28"/>
      <c r="B34" s="29" t="s">
        <v>291</v>
      </c>
      <c r="C34" s="36"/>
      <c r="D34" s="35">
        <f>D35*D32</f>
        <v>140325.0056</v>
      </c>
      <c r="E34" s="36"/>
      <c r="F34" s="35">
        <f>F35*F32</f>
        <v>99160.300200000012</v>
      </c>
      <c r="G34" s="35"/>
      <c r="H34" s="35">
        <f>H35*H32</f>
        <v>13748.57892</v>
      </c>
      <c r="I34" s="35"/>
      <c r="J34" s="35">
        <f>J35*J32</f>
        <v>7000</v>
      </c>
      <c r="K34" s="35"/>
      <c r="L34" s="35">
        <f>L35*L32</f>
        <v>20300</v>
      </c>
      <c r="M34" s="35"/>
      <c r="N34" s="35">
        <f>N35*N32</f>
        <v>3000</v>
      </c>
      <c r="O34" s="35"/>
      <c r="P34" s="35">
        <f>P35*P32</f>
        <v>45300</v>
      </c>
      <c r="Q34" s="35"/>
      <c r="R34" s="35"/>
      <c r="S34" s="37"/>
      <c r="T34" s="35">
        <f>SUM(C34:P34)</f>
        <v>328833.88472000003</v>
      </c>
      <c r="U34" s="34"/>
      <c r="V34" s="5"/>
    </row>
    <row r="35" spans="1:22" ht="15.6" x14ac:dyDescent="0.3">
      <c r="A35" s="28"/>
      <c r="B35" s="123" t="s">
        <v>139</v>
      </c>
      <c r="C35" s="127"/>
      <c r="D35" s="167">
        <v>0.40556360000000002</v>
      </c>
      <c r="E35" s="168"/>
      <c r="F35" s="167">
        <v>0.40556360000000002</v>
      </c>
      <c r="G35" s="167"/>
      <c r="H35" s="167">
        <v>0.4055628</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67">
        <v>0.4091514</v>
      </c>
      <c r="E36" s="168"/>
      <c r="F36" s="167">
        <v>0.4091514</v>
      </c>
      <c r="G36" s="167"/>
      <c r="H36" s="167">
        <v>0.40915059999999998</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8.2124999999999993E-3</v>
      </c>
      <c r="E38" s="25"/>
      <c r="F38" s="38">
        <v>8.43E-3</v>
      </c>
      <c r="G38" s="39"/>
      <c r="H38" s="38">
        <v>4.3E-3</v>
      </c>
      <c r="I38" s="39"/>
      <c r="J38" s="38">
        <v>9.3124999999999996E-3</v>
      </c>
      <c r="K38" s="39"/>
      <c r="L38" s="38">
        <v>9.5300000000000003E-3</v>
      </c>
      <c r="M38" s="39"/>
      <c r="N38" s="38">
        <v>1.16125E-2</v>
      </c>
      <c r="O38" s="39"/>
      <c r="P38" s="38">
        <v>1.183E-2</v>
      </c>
      <c r="Q38" s="39"/>
      <c r="R38" s="38"/>
      <c r="S38" s="160"/>
      <c r="T38" s="39"/>
      <c r="U38" s="25"/>
      <c r="V38" s="5"/>
    </row>
    <row r="39" spans="1:22" ht="15.6" x14ac:dyDescent="0.3">
      <c r="A39" s="24"/>
      <c r="B39" s="25" t="s">
        <v>14</v>
      </c>
      <c r="C39" s="25"/>
      <c r="D39" s="38">
        <v>7.9406000000000008E-3</v>
      </c>
      <c r="E39" s="25"/>
      <c r="F39" s="38">
        <v>8.94E-3</v>
      </c>
      <c r="G39" s="39"/>
      <c r="H39" s="38">
        <v>4.5250000000000004E-3</v>
      </c>
      <c r="I39" s="39"/>
      <c r="J39" s="38">
        <v>9.0405999999999993E-3</v>
      </c>
      <c r="K39" s="39"/>
      <c r="L39" s="38">
        <v>1.004E-2</v>
      </c>
      <c r="M39" s="39"/>
      <c r="N39" s="38">
        <v>1.1340599999999999E-2</v>
      </c>
      <c r="O39" s="39"/>
      <c r="P39" s="38">
        <v>1.234E-2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8.2124999999999993E-3</v>
      </c>
      <c r="E41" s="25"/>
      <c r="F41" s="38">
        <v>8.3125000000000004E-3</v>
      </c>
      <c r="G41" s="39"/>
      <c r="H41" s="38">
        <v>8.4425000000000004E-3</v>
      </c>
      <c r="I41" s="39"/>
      <c r="J41" s="38">
        <f>+J38</f>
        <v>9.3124999999999996E-3</v>
      </c>
      <c r="K41" s="39"/>
      <c r="L41" s="38">
        <v>9.6074999999999997E-3</v>
      </c>
      <c r="M41" s="39"/>
      <c r="N41" s="38">
        <f>+N38</f>
        <v>1.16125E-2</v>
      </c>
      <c r="O41" s="39"/>
      <c r="P41" s="38">
        <v>1.2052500000000001E-2</v>
      </c>
      <c r="Q41" s="39"/>
      <c r="R41" s="38"/>
      <c r="S41" s="160"/>
      <c r="T41" s="39">
        <f>SUMPRODUCT(D41:P41,D33:P33)/T33</f>
        <v>8.917370583340441E-3</v>
      </c>
      <c r="U41" s="25"/>
      <c r="V41" s="5"/>
    </row>
    <row r="42" spans="1:22" ht="15.6" x14ac:dyDescent="0.3">
      <c r="A42" s="24"/>
      <c r="B42" s="25" t="s">
        <v>294</v>
      </c>
      <c r="C42" s="25"/>
      <c r="D42" s="38">
        <f>+D39</f>
        <v>7.9406000000000008E-3</v>
      </c>
      <c r="E42" s="25"/>
      <c r="F42" s="38">
        <v>8.0406000000000002E-3</v>
      </c>
      <c r="G42" s="39"/>
      <c r="H42" s="38">
        <v>8.1706000000000001E-3</v>
      </c>
      <c r="I42" s="39"/>
      <c r="J42" s="38">
        <f>+J39</f>
        <v>9.0405999999999993E-3</v>
      </c>
      <c r="K42" s="39"/>
      <c r="L42" s="38">
        <v>9.3355999999999995E-3</v>
      </c>
      <c r="M42" s="39"/>
      <c r="N42" s="38">
        <f>+N39</f>
        <v>1.1340599999999999E-2</v>
      </c>
      <c r="O42" s="39"/>
      <c r="P42" s="38">
        <v>1.17806E-2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0.29853824690005726</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40315</v>
      </c>
      <c r="U53" s="25"/>
      <c r="V53" s="5"/>
    </row>
    <row r="54" spans="1:23" ht="15.6" x14ac:dyDescent="0.3">
      <c r="A54" s="24"/>
      <c r="B54" s="25" t="s">
        <v>130</v>
      </c>
      <c r="C54" s="25"/>
      <c r="D54" s="25"/>
      <c r="E54" s="25"/>
      <c r="F54" s="25"/>
      <c r="G54" s="25"/>
      <c r="H54" s="58"/>
      <c r="I54" s="58"/>
      <c r="J54" s="58"/>
      <c r="K54" s="58"/>
      <c r="L54" s="58"/>
      <c r="M54" s="58"/>
      <c r="N54" s="58"/>
      <c r="O54" s="58"/>
      <c r="P54" s="25">
        <f>+T54-R54+1</f>
        <v>92</v>
      </c>
      <c r="Q54" s="25"/>
      <c r="R54" s="45">
        <v>40133</v>
      </c>
      <c r="S54" s="46"/>
      <c r="T54" s="45">
        <v>40224</v>
      </c>
      <c r="U54" s="25"/>
      <c r="V54" s="5"/>
    </row>
    <row r="55" spans="1:23" ht="15.6" x14ac:dyDescent="0.3">
      <c r="A55" s="24"/>
      <c r="B55" s="25" t="s">
        <v>131</v>
      </c>
      <c r="C55" s="25"/>
      <c r="D55" s="25"/>
      <c r="E55" s="25"/>
      <c r="F55" s="25"/>
      <c r="G55" s="25"/>
      <c r="H55" s="25"/>
      <c r="I55" s="25"/>
      <c r="J55" s="25"/>
      <c r="K55" s="25"/>
      <c r="L55" s="25"/>
      <c r="M55" s="25"/>
      <c r="N55" s="25"/>
      <c r="O55" s="25"/>
      <c r="P55" s="25">
        <f>+T55-R55+1</f>
        <v>90</v>
      </c>
      <c r="Q55" s="25"/>
      <c r="R55" s="45">
        <v>40225</v>
      </c>
      <c r="S55" s="46"/>
      <c r="T55" s="45">
        <v>40314</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40302</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299</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331074</v>
      </c>
      <c r="M66" s="34"/>
      <c r="N66" s="34">
        <f>2240+602+119</f>
        <v>2961</v>
      </c>
      <c r="O66" s="34"/>
      <c r="P66" s="34">
        <f>602+119</f>
        <v>721</v>
      </c>
      <c r="Q66" s="34"/>
      <c r="R66" s="34">
        <v>0</v>
      </c>
      <c r="S66" s="34"/>
      <c r="T66" s="53">
        <f>+L66-N66+P66-R66</f>
        <v>328834</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331074</v>
      </c>
      <c r="M69" s="34"/>
      <c r="N69" s="34">
        <f>SUM(N66:N68)</f>
        <v>2961</v>
      </c>
      <c r="O69" s="34"/>
      <c r="P69" s="34">
        <f>SUM(P66:P68)</f>
        <v>721</v>
      </c>
      <c r="Q69" s="34"/>
      <c r="R69" s="34">
        <f>SUM(R66:R68)</f>
        <v>0</v>
      </c>
      <c r="S69" s="34"/>
      <c r="T69" s="54">
        <f>SUM(T66:T68)</f>
        <v>328834</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2"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2" ht="15.6" x14ac:dyDescent="0.3">
      <c r="A82" s="24"/>
      <c r="B82" s="25" t="s">
        <v>27</v>
      </c>
      <c r="C82" s="34"/>
      <c r="D82" s="34"/>
      <c r="E82" s="34"/>
      <c r="F82" s="54"/>
      <c r="G82" s="34"/>
      <c r="H82" s="54"/>
      <c r="I82" s="54"/>
      <c r="J82" s="54">
        <f>SUM(J69:J81)</f>
        <v>700000</v>
      </c>
      <c r="K82" s="34"/>
      <c r="L82" s="54">
        <f>SUM(L69:L81)</f>
        <v>331074</v>
      </c>
      <c r="M82" s="34"/>
      <c r="N82" s="34"/>
      <c r="O82" s="34"/>
      <c r="P82" s="34"/>
      <c r="Q82" s="34"/>
      <c r="R82" s="54"/>
      <c r="S82" s="34"/>
      <c r="T82" s="54">
        <f>SUM(T69:T81)</f>
        <v>328834</v>
      </c>
      <c r="U82" s="25"/>
      <c r="V82" s="5"/>
    </row>
    <row r="83" spans="1:22"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2" ht="15.6" x14ac:dyDescent="0.3">
      <c r="A84" s="6"/>
      <c r="B84" s="8"/>
      <c r="C84" s="8"/>
      <c r="D84" s="8"/>
      <c r="E84" s="8"/>
      <c r="F84" s="8"/>
      <c r="G84" s="8"/>
      <c r="H84" s="8"/>
      <c r="I84" s="8"/>
      <c r="J84" s="8"/>
      <c r="K84" s="8"/>
      <c r="L84" s="8"/>
      <c r="M84" s="8"/>
      <c r="N84" s="8"/>
      <c r="O84" s="8"/>
      <c r="P84" s="8"/>
      <c r="Q84" s="8"/>
      <c r="R84" s="8"/>
      <c r="S84" s="8"/>
      <c r="T84" s="8"/>
      <c r="U84" s="8"/>
      <c r="V84" s="5"/>
    </row>
    <row r="85" spans="1:22" ht="15.6" x14ac:dyDescent="0.3">
      <c r="A85" s="6"/>
      <c r="B85" s="51" t="s">
        <v>28</v>
      </c>
      <c r="C85" s="14"/>
      <c r="D85" s="14"/>
      <c r="E85" s="14"/>
      <c r="F85" s="14"/>
      <c r="G85" s="14"/>
      <c r="H85" s="17"/>
      <c r="I85" s="17"/>
      <c r="J85" s="158" t="s">
        <v>101</v>
      </c>
      <c r="K85" s="17"/>
      <c r="L85" s="157">
        <f>+R196</f>
        <v>40298</v>
      </c>
      <c r="M85" s="17"/>
      <c r="N85" s="17"/>
      <c r="O85" s="17"/>
      <c r="P85" s="17"/>
      <c r="Q85" s="17"/>
      <c r="R85" s="17" t="s">
        <v>114</v>
      </c>
      <c r="S85" s="17"/>
      <c r="T85" s="17" t="s">
        <v>122</v>
      </c>
      <c r="U85" s="8"/>
      <c r="V85" s="5"/>
    </row>
    <row r="86" spans="1:22"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2" ht="15.6" x14ac:dyDescent="0.3">
      <c r="A87" s="24"/>
      <c r="B87" s="25" t="s">
        <v>30</v>
      </c>
      <c r="C87" s="25"/>
      <c r="D87" s="25"/>
      <c r="E87" s="25"/>
      <c r="F87" s="25"/>
      <c r="G87" s="25"/>
      <c r="H87" s="40"/>
      <c r="I87" s="57"/>
      <c r="J87" s="40"/>
      <c r="K87" s="25"/>
      <c r="L87" s="128"/>
      <c r="M87" s="25"/>
      <c r="N87" s="25"/>
      <c r="O87" s="25"/>
      <c r="P87" s="25"/>
      <c r="Q87" s="25"/>
      <c r="R87" s="34">
        <f>2961-332</f>
        <v>2629</v>
      </c>
      <c r="S87" s="25"/>
      <c r="T87" s="53"/>
      <c r="U87" s="25"/>
      <c r="V87" s="5"/>
    </row>
    <row r="88" spans="1:22" ht="15.6" x14ac:dyDescent="0.3">
      <c r="A88" s="24"/>
      <c r="B88" s="25" t="s">
        <v>254</v>
      </c>
      <c r="C88" s="25"/>
      <c r="D88" s="25"/>
      <c r="E88" s="25"/>
      <c r="F88" s="25"/>
      <c r="G88" s="25"/>
      <c r="H88" s="40"/>
      <c r="I88" s="57"/>
      <c r="J88" s="40"/>
      <c r="K88" s="25"/>
      <c r="L88" s="128"/>
      <c r="M88" s="25"/>
      <c r="N88" s="25"/>
      <c r="O88" s="25"/>
      <c r="P88" s="25"/>
      <c r="Q88" s="25"/>
      <c r="R88" s="34"/>
      <c r="S88" s="25"/>
      <c r="T88" s="53">
        <f>2117+750-497-99+90+3</f>
        <v>2364</v>
      </c>
      <c r="U88" s="25"/>
      <c r="V88" s="5"/>
    </row>
    <row r="89" spans="1:22" ht="15.6" x14ac:dyDescent="0.3">
      <c r="A89" s="24"/>
      <c r="B89" s="25" t="s">
        <v>255</v>
      </c>
      <c r="C89" s="25"/>
      <c r="D89" s="25"/>
      <c r="E89" s="25"/>
      <c r="F89" s="25"/>
      <c r="G89" s="25"/>
      <c r="H89" s="40"/>
      <c r="I89" s="57"/>
      <c r="J89" s="40"/>
      <c r="K89" s="25"/>
      <c r="L89" s="128"/>
      <c r="M89" s="25"/>
      <c r="N89" s="25"/>
      <c r="O89" s="25"/>
      <c r="P89" s="25"/>
      <c r="Q89" s="25"/>
      <c r="R89" s="34"/>
      <c r="S89" s="25"/>
      <c r="T89" s="53">
        <f>26+57</f>
        <v>83</v>
      </c>
      <c r="U89" s="25"/>
      <c r="V89" s="5"/>
    </row>
    <row r="90" spans="1:22" ht="15.6" x14ac:dyDescent="0.3">
      <c r="A90" s="24"/>
      <c r="B90" s="25" t="s">
        <v>256</v>
      </c>
      <c r="C90" s="25"/>
      <c r="D90" s="25"/>
      <c r="E90" s="25"/>
      <c r="F90" s="25"/>
      <c r="G90" s="25"/>
      <c r="H90" s="40"/>
      <c r="I90" s="57"/>
      <c r="J90" s="40"/>
      <c r="K90" s="25"/>
      <c r="L90" s="128"/>
      <c r="M90" s="25"/>
      <c r="N90" s="25"/>
      <c r="O90" s="25"/>
      <c r="P90" s="25"/>
      <c r="Q90" s="25"/>
      <c r="R90" s="34"/>
      <c r="S90" s="25"/>
      <c r="T90" s="53">
        <v>21</v>
      </c>
      <c r="U90" s="25"/>
      <c r="V90" s="5"/>
    </row>
    <row r="91" spans="1:22" ht="15.6" x14ac:dyDescent="0.3">
      <c r="A91" s="24"/>
      <c r="B91" s="25" t="s">
        <v>270</v>
      </c>
      <c r="C91" s="25"/>
      <c r="D91" s="25"/>
      <c r="E91" s="25"/>
      <c r="F91" s="25"/>
      <c r="G91" s="25"/>
      <c r="H91" s="40"/>
      <c r="I91" s="57"/>
      <c r="J91" s="40"/>
      <c r="K91" s="25"/>
      <c r="L91" s="128"/>
      <c r="M91" s="25"/>
      <c r="N91" s="25"/>
      <c r="O91" s="25"/>
      <c r="P91" s="25"/>
      <c r="Q91" s="25"/>
      <c r="R91" s="34"/>
      <c r="S91" s="25"/>
      <c r="T91" s="53">
        <v>0</v>
      </c>
      <c r="U91" s="25"/>
      <c r="V91" s="5"/>
    </row>
    <row r="92" spans="1:22" ht="15.6" x14ac:dyDescent="0.3">
      <c r="A92" s="24"/>
      <c r="B92" s="25" t="s">
        <v>144</v>
      </c>
      <c r="C92" s="25"/>
      <c r="D92" s="25"/>
      <c r="E92" s="25"/>
      <c r="F92" s="25"/>
      <c r="G92" s="25"/>
      <c r="H92" s="25"/>
      <c r="I92" s="25"/>
      <c r="J92" s="25"/>
      <c r="K92" s="25"/>
      <c r="L92" s="25"/>
      <c r="M92" s="25"/>
      <c r="N92" s="25"/>
      <c r="O92" s="25"/>
      <c r="P92" s="25"/>
      <c r="Q92" s="25"/>
      <c r="R92" s="34"/>
      <c r="S92" s="25"/>
      <c r="T92" s="53">
        <v>0</v>
      </c>
      <c r="U92" s="25"/>
      <c r="V92" s="5"/>
    </row>
    <row r="93" spans="1:22" ht="15.6" x14ac:dyDescent="0.3">
      <c r="A93" s="24"/>
      <c r="B93" s="25" t="s">
        <v>233</v>
      </c>
      <c r="C93" s="25"/>
      <c r="D93" s="25"/>
      <c r="E93" s="25"/>
      <c r="F93" s="25"/>
      <c r="G93" s="25"/>
      <c r="H93" s="25"/>
      <c r="I93" s="25"/>
      <c r="J93" s="25"/>
      <c r="K93" s="25"/>
      <c r="L93" s="25"/>
      <c r="M93" s="25"/>
      <c r="N93" s="25"/>
      <c r="O93" s="25"/>
      <c r="P93" s="25"/>
      <c r="Q93" s="25"/>
      <c r="R93" s="34"/>
      <c r="S93" s="25"/>
      <c r="T93" s="53">
        <v>14</v>
      </c>
      <c r="U93" s="25"/>
      <c r="V93" s="5"/>
    </row>
    <row r="94" spans="1:22" ht="15.6" x14ac:dyDescent="0.3">
      <c r="A94" s="24"/>
      <c r="B94" s="25" t="s">
        <v>32</v>
      </c>
      <c r="C94" s="25"/>
      <c r="D94" s="25"/>
      <c r="E94" s="25"/>
      <c r="F94" s="25"/>
      <c r="G94" s="25"/>
      <c r="H94" s="25"/>
      <c r="I94" s="25"/>
      <c r="J94" s="25"/>
      <c r="K94" s="25"/>
      <c r="L94" s="25"/>
      <c r="M94" s="25"/>
      <c r="N94" s="25"/>
      <c r="O94" s="25"/>
      <c r="P94" s="25"/>
      <c r="Q94" s="25"/>
      <c r="R94" s="34">
        <f>SUM(R86:R93)</f>
        <v>2629</v>
      </c>
      <c r="S94" s="25"/>
      <c r="T94" s="54">
        <f>SUM(T86:T93)</f>
        <v>2482</v>
      </c>
      <c r="U94" s="25"/>
      <c r="V94" s="5"/>
    </row>
    <row r="95" spans="1:22" ht="15.6" x14ac:dyDescent="0.3">
      <c r="A95" s="24"/>
      <c r="B95" s="25" t="s">
        <v>176</v>
      </c>
      <c r="C95" s="25"/>
      <c r="D95" s="25"/>
      <c r="E95" s="25"/>
      <c r="F95" s="25"/>
      <c r="G95" s="25"/>
      <c r="H95" s="25"/>
      <c r="I95" s="25"/>
      <c r="J95" s="25"/>
      <c r="K95" s="25"/>
      <c r="L95" s="25"/>
      <c r="M95" s="25"/>
      <c r="N95" s="25"/>
      <c r="O95" s="25"/>
      <c r="P95" s="25"/>
      <c r="Q95" s="25"/>
      <c r="R95" s="34">
        <v>-16</v>
      </c>
      <c r="S95" s="25"/>
      <c r="T95" s="54">
        <f>-R95</f>
        <v>16</v>
      </c>
      <c r="U95" s="25"/>
      <c r="V95" s="5"/>
    </row>
    <row r="96" spans="1:22" ht="15.6" x14ac:dyDescent="0.3">
      <c r="A96" s="24"/>
      <c r="B96" s="25" t="s">
        <v>33</v>
      </c>
      <c r="C96" s="25"/>
      <c r="D96" s="25"/>
      <c r="E96" s="25"/>
      <c r="F96" s="25"/>
      <c r="G96" s="25"/>
      <c r="H96" s="25"/>
      <c r="I96" s="25"/>
      <c r="J96" s="25"/>
      <c r="K96" s="25"/>
      <c r="L96" s="25"/>
      <c r="M96" s="25"/>
      <c r="N96" s="25"/>
      <c r="O96" s="25"/>
      <c r="P96" s="25"/>
      <c r="Q96" s="25"/>
      <c r="R96" s="34">
        <f>-T96</f>
        <v>0</v>
      </c>
      <c r="S96" s="25"/>
      <c r="T96" s="53">
        <v>0</v>
      </c>
      <c r="U96" s="25"/>
      <c r="V96" s="5"/>
    </row>
    <row r="97" spans="1:23" ht="15.6" x14ac:dyDescent="0.3">
      <c r="A97" s="24"/>
      <c r="B97" s="25" t="s">
        <v>278</v>
      </c>
      <c r="C97" s="25"/>
      <c r="D97" s="25"/>
      <c r="E97" s="25"/>
      <c r="F97" s="25"/>
      <c r="G97" s="25"/>
      <c r="H97" s="25"/>
      <c r="I97" s="25"/>
      <c r="J97" s="25"/>
      <c r="K97" s="25"/>
      <c r="L97" s="25"/>
      <c r="M97" s="25"/>
      <c r="N97" s="25"/>
      <c r="O97" s="25"/>
      <c r="P97" s="25"/>
      <c r="Q97" s="25"/>
      <c r="R97" s="34"/>
      <c r="S97" s="25"/>
      <c r="T97" s="53">
        <v>233</v>
      </c>
      <c r="U97" s="25"/>
      <c r="V97" s="5"/>
    </row>
    <row r="98" spans="1:23" ht="15.6" x14ac:dyDescent="0.3">
      <c r="A98" s="24"/>
      <c r="B98" s="25" t="s">
        <v>34</v>
      </c>
      <c r="C98" s="25"/>
      <c r="D98" s="25"/>
      <c r="E98" s="25"/>
      <c r="F98" s="25"/>
      <c r="G98" s="25"/>
      <c r="H98" s="25"/>
      <c r="I98" s="25"/>
      <c r="J98" s="25"/>
      <c r="K98" s="25"/>
      <c r="L98" s="25"/>
      <c r="M98" s="25"/>
      <c r="N98" s="25"/>
      <c r="O98" s="25"/>
      <c r="P98" s="25"/>
      <c r="Q98" s="25"/>
      <c r="R98" s="34">
        <f>R94+R96+R95</f>
        <v>2613</v>
      </c>
      <c r="S98" s="25"/>
      <c r="T98" s="54">
        <f>T94+T96+T95+T97</f>
        <v>2731</v>
      </c>
      <c r="U98" s="25"/>
      <c r="V98" s="5"/>
      <c r="W98" s="166"/>
    </row>
    <row r="99" spans="1:23" ht="15.6" x14ac:dyDescent="0.3">
      <c r="A99" s="24"/>
      <c r="B99" s="119" t="s">
        <v>35</v>
      </c>
      <c r="C99" s="25"/>
      <c r="D99" s="25"/>
      <c r="E99" s="25"/>
      <c r="F99" s="25"/>
      <c r="G99" s="25"/>
      <c r="H99" s="25"/>
      <c r="I99" s="25"/>
      <c r="J99" s="25"/>
      <c r="K99" s="25"/>
      <c r="L99" s="25"/>
      <c r="M99" s="25"/>
      <c r="N99" s="25"/>
      <c r="O99" s="25"/>
      <c r="P99" s="25"/>
      <c r="Q99" s="25"/>
      <c r="R99" s="34"/>
      <c r="S99" s="25"/>
      <c r="T99" s="53"/>
      <c r="U99" s="25"/>
      <c r="V99" s="5"/>
    </row>
    <row r="100" spans="1:23" ht="15.6" x14ac:dyDescent="0.3">
      <c r="A100" s="24">
        <v>1</v>
      </c>
      <c r="B100" s="25" t="s">
        <v>36</v>
      </c>
      <c r="C100" s="25"/>
      <c r="D100" s="25"/>
      <c r="E100" s="25"/>
      <c r="F100" s="25"/>
      <c r="G100" s="25"/>
      <c r="H100" s="25"/>
      <c r="I100" s="25"/>
      <c r="J100" s="25"/>
      <c r="K100" s="25"/>
      <c r="L100" s="25"/>
      <c r="M100" s="25"/>
      <c r="N100" s="25"/>
      <c r="O100" s="25"/>
      <c r="P100" s="25"/>
      <c r="Q100" s="25"/>
      <c r="R100" s="25"/>
      <c r="S100" s="25"/>
      <c r="T100" s="53">
        <v>0</v>
      </c>
      <c r="U100" s="25"/>
      <c r="V100" s="5"/>
    </row>
    <row r="101" spans="1:23" ht="15.6" x14ac:dyDescent="0.3">
      <c r="A101" s="24">
        <f>+A100+1</f>
        <v>2</v>
      </c>
      <c r="B101" s="25" t="s">
        <v>37</v>
      </c>
      <c r="C101" s="25"/>
      <c r="D101" s="25"/>
      <c r="E101" s="25"/>
      <c r="F101" s="25"/>
      <c r="G101" s="25"/>
      <c r="H101" s="25"/>
      <c r="I101" s="25"/>
      <c r="J101" s="25"/>
      <c r="K101" s="25"/>
      <c r="L101" s="25"/>
      <c r="M101" s="25"/>
      <c r="N101" s="25"/>
      <c r="O101" s="25"/>
      <c r="P101" s="25"/>
      <c r="Q101" s="25"/>
      <c r="R101" s="25"/>
      <c r="S101" s="25"/>
      <c r="T101" s="53">
        <v>-2</v>
      </c>
      <c r="U101" s="25"/>
      <c r="V101" s="5"/>
    </row>
    <row r="102" spans="1:23" ht="15.6" x14ac:dyDescent="0.3">
      <c r="A102" s="24">
        <f>+A101+1</f>
        <v>3</v>
      </c>
      <c r="B102" s="25" t="s">
        <v>160</v>
      </c>
      <c r="C102" s="25"/>
      <c r="D102" s="25"/>
      <c r="E102" s="25"/>
      <c r="F102" s="25"/>
      <c r="G102" s="25"/>
      <c r="H102" s="25"/>
      <c r="I102" s="25"/>
      <c r="J102" s="25"/>
      <c r="K102" s="25"/>
      <c r="L102" s="25"/>
      <c r="M102" s="25"/>
      <c r="N102" s="25"/>
      <c r="O102" s="25"/>
      <c r="P102" s="25"/>
      <c r="Q102" s="25"/>
      <c r="R102" s="25"/>
      <c r="S102" s="25"/>
      <c r="T102" s="53">
        <f>-122-123-4</f>
        <v>-249</v>
      </c>
      <c r="U102" s="25"/>
      <c r="V102" s="5"/>
    </row>
    <row r="103" spans="1:23" ht="15.6" x14ac:dyDescent="0.3">
      <c r="A103" s="24" t="s">
        <v>136</v>
      </c>
      <c r="B103" s="25" t="s">
        <v>125</v>
      </c>
      <c r="C103" s="25"/>
      <c r="D103" s="25"/>
      <c r="E103" s="25"/>
      <c r="F103" s="25"/>
      <c r="G103" s="25"/>
      <c r="H103" s="25"/>
      <c r="I103" s="25"/>
      <c r="J103" s="25"/>
      <c r="K103" s="25"/>
      <c r="L103" s="25"/>
      <c r="M103" s="25"/>
      <c r="N103" s="25"/>
      <c r="O103" s="25"/>
      <c r="P103" s="25"/>
      <c r="Q103" s="25"/>
      <c r="R103" s="25"/>
      <c r="S103" s="25"/>
      <c r="T103" s="53">
        <v>-703</v>
      </c>
      <c r="U103" s="25"/>
      <c r="V103" s="5"/>
    </row>
    <row r="104" spans="1:23" ht="15.6" x14ac:dyDescent="0.3">
      <c r="A104" s="24" t="s">
        <v>137</v>
      </c>
      <c r="B104" s="25" t="s">
        <v>267</v>
      </c>
      <c r="C104" s="25"/>
      <c r="D104" s="25"/>
      <c r="E104" s="25"/>
      <c r="F104" s="25"/>
      <c r="G104" s="25"/>
      <c r="H104" s="25"/>
      <c r="I104" s="25"/>
      <c r="J104" s="25"/>
      <c r="K104" s="25"/>
      <c r="L104" s="25"/>
      <c r="M104" s="25"/>
      <c r="N104" s="25"/>
      <c r="O104" s="25"/>
      <c r="P104" s="25"/>
      <c r="Q104" s="25"/>
      <c r="R104" s="25"/>
      <c r="S104" s="25"/>
      <c r="T104" s="53">
        <v>-1</v>
      </c>
      <c r="U104" s="25"/>
      <c r="V104" s="5"/>
    </row>
    <row r="105" spans="1:23" ht="15.6" x14ac:dyDescent="0.3">
      <c r="A105" s="24" t="s">
        <v>162</v>
      </c>
      <c r="B105" s="25" t="s">
        <v>218</v>
      </c>
      <c r="C105" s="25"/>
      <c r="D105" s="25"/>
      <c r="E105" s="25"/>
      <c r="F105" s="25"/>
      <c r="G105" s="25"/>
      <c r="H105" s="25"/>
      <c r="I105" s="25"/>
      <c r="J105" s="25"/>
      <c r="K105" s="25"/>
      <c r="L105" s="25"/>
      <c r="M105" s="25"/>
      <c r="N105" s="25"/>
      <c r="O105" s="25"/>
      <c r="P105" s="25"/>
      <c r="Q105" s="25"/>
      <c r="R105" s="25"/>
      <c r="S105" s="25"/>
      <c r="T105" s="53">
        <v>-287</v>
      </c>
      <c r="U105" s="25"/>
      <c r="V105" s="5"/>
      <c r="W105" s="110"/>
    </row>
    <row r="106" spans="1:23" ht="15.6" x14ac:dyDescent="0.3">
      <c r="A106" s="24" t="s">
        <v>163</v>
      </c>
      <c r="B106" s="25" t="s">
        <v>219</v>
      </c>
      <c r="C106" s="25"/>
      <c r="D106" s="25"/>
      <c r="E106" s="25"/>
      <c r="F106" s="25"/>
      <c r="G106" s="25"/>
      <c r="H106" s="25"/>
      <c r="I106" s="25"/>
      <c r="J106" s="25"/>
      <c r="K106" s="25"/>
      <c r="L106" s="25"/>
      <c r="M106" s="25"/>
      <c r="N106" s="25"/>
      <c r="O106" s="25"/>
      <c r="P106" s="25"/>
      <c r="Q106" s="25"/>
      <c r="R106" s="25"/>
      <c r="S106" s="25"/>
      <c r="T106" s="53">
        <v>-205</v>
      </c>
      <c r="U106" s="25"/>
      <c r="V106" s="5"/>
      <c r="W106" s="110"/>
    </row>
    <row r="107" spans="1:23" ht="15.6" x14ac:dyDescent="0.3">
      <c r="A107" s="24" t="s">
        <v>252</v>
      </c>
      <c r="B107" s="25" t="s">
        <v>242</v>
      </c>
      <c r="C107" s="25"/>
      <c r="D107" s="25"/>
      <c r="E107" s="25"/>
      <c r="F107" s="25"/>
      <c r="G107" s="25"/>
      <c r="H107" s="25"/>
      <c r="I107" s="25"/>
      <c r="J107" s="25"/>
      <c r="K107" s="25"/>
      <c r="L107" s="25"/>
      <c r="M107" s="25"/>
      <c r="N107" s="25"/>
      <c r="O107" s="25"/>
      <c r="P107" s="25"/>
      <c r="Q107" s="25"/>
      <c r="R107" s="25"/>
      <c r="S107" s="25"/>
      <c r="T107" s="53">
        <v>-29</v>
      </c>
      <c r="U107" s="25"/>
      <c r="V107" s="170"/>
      <c r="W107" s="110"/>
    </row>
    <row r="108" spans="1:23" ht="15.6" x14ac:dyDescent="0.3">
      <c r="A108" s="24" t="s">
        <v>245</v>
      </c>
      <c r="B108" s="25" t="s">
        <v>220</v>
      </c>
      <c r="C108" s="25"/>
      <c r="D108" s="25"/>
      <c r="E108" s="25"/>
      <c r="F108" s="25"/>
      <c r="G108" s="25"/>
      <c r="H108" s="25"/>
      <c r="I108" s="25"/>
      <c r="J108" s="25"/>
      <c r="K108" s="25"/>
      <c r="L108" s="25"/>
      <c r="M108" s="25"/>
      <c r="N108" s="25"/>
      <c r="O108" s="25"/>
      <c r="P108" s="25"/>
      <c r="Q108" s="25"/>
      <c r="R108" s="25"/>
      <c r="S108" s="25"/>
      <c r="T108" s="53">
        <v>-16</v>
      </c>
      <c r="U108" s="25"/>
      <c r="V108" s="5"/>
      <c r="W108" s="110"/>
    </row>
    <row r="109" spans="1:23" ht="15.6" x14ac:dyDescent="0.3">
      <c r="A109" s="24" t="s">
        <v>246</v>
      </c>
      <c r="B109" s="25" t="s">
        <v>221</v>
      </c>
      <c r="C109" s="25"/>
      <c r="D109" s="25"/>
      <c r="E109" s="25"/>
      <c r="F109" s="25"/>
      <c r="G109" s="25"/>
      <c r="H109" s="25"/>
      <c r="I109" s="25"/>
      <c r="J109" s="25"/>
      <c r="K109" s="25"/>
      <c r="L109" s="25"/>
      <c r="M109" s="25"/>
      <c r="N109" s="25"/>
      <c r="O109" s="25"/>
      <c r="P109" s="25"/>
      <c r="Q109" s="25"/>
      <c r="R109" s="25"/>
      <c r="S109" s="25"/>
      <c r="T109" s="53">
        <v>-48</v>
      </c>
      <c r="U109" s="25"/>
      <c r="V109" s="5"/>
      <c r="W109" s="110"/>
    </row>
    <row r="110" spans="1:23" ht="15.6" x14ac:dyDescent="0.3">
      <c r="A110" s="24" t="s">
        <v>247</v>
      </c>
      <c r="B110" s="25" t="s">
        <v>222</v>
      </c>
      <c r="C110" s="25"/>
      <c r="D110" s="25"/>
      <c r="E110" s="25"/>
      <c r="F110" s="25"/>
      <c r="G110" s="25"/>
      <c r="H110" s="25"/>
      <c r="I110" s="25"/>
      <c r="J110" s="25"/>
      <c r="K110" s="25"/>
      <c r="L110" s="25"/>
      <c r="M110" s="25"/>
      <c r="N110" s="25"/>
      <c r="O110" s="25"/>
      <c r="P110" s="25"/>
      <c r="Q110" s="25"/>
      <c r="R110" s="25"/>
      <c r="S110" s="25"/>
      <c r="T110" s="53">
        <v>-9</v>
      </c>
      <c r="U110" s="25"/>
      <c r="V110" s="5"/>
      <c r="W110" s="110"/>
    </row>
    <row r="111" spans="1:23" ht="15.6" x14ac:dyDescent="0.3">
      <c r="A111" s="24" t="s">
        <v>248</v>
      </c>
      <c r="B111" s="25" t="s">
        <v>223</v>
      </c>
      <c r="C111" s="25"/>
      <c r="D111" s="25"/>
      <c r="E111" s="25"/>
      <c r="F111" s="25"/>
      <c r="G111" s="25"/>
      <c r="H111" s="25"/>
      <c r="I111" s="25"/>
      <c r="J111" s="25"/>
      <c r="K111" s="25"/>
      <c r="L111" s="25"/>
      <c r="M111" s="25"/>
      <c r="N111" s="25"/>
      <c r="O111" s="25"/>
      <c r="P111" s="25"/>
      <c r="Q111" s="25"/>
      <c r="R111" s="25"/>
      <c r="S111" s="25"/>
      <c r="T111" s="53">
        <v>-135</v>
      </c>
      <c r="U111" s="25"/>
      <c r="V111" s="5"/>
      <c r="W111" s="110"/>
    </row>
    <row r="112" spans="1:23" ht="15.6" x14ac:dyDescent="0.3">
      <c r="A112" s="24">
        <v>7</v>
      </c>
      <c r="B112" s="25" t="s">
        <v>38</v>
      </c>
      <c r="C112" s="25"/>
      <c r="D112" s="25"/>
      <c r="E112" s="25"/>
      <c r="F112" s="25"/>
      <c r="G112" s="25"/>
      <c r="H112" s="25"/>
      <c r="I112" s="25"/>
      <c r="J112" s="25"/>
      <c r="K112" s="25"/>
      <c r="L112" s="25"/>
      <c r="M112" s="25"/>
      <c r="N112" s="25"/>
      <c r="O112" s="25"/>
      <c r="P112" s="25"/>
      <c r="Q112" s="25"/>
      <c r="R112" s="25"/>
      <c r="S112" s="25"/>
      <c r="T112" s="53">
        <v>-8</v>
      </c>
      <c r="U112" s="25"/>
      <c r="V112" s="5"/>
    </row>
    <row r="113" spans="1:22" ht="15.6" x14ac:dyDescent="0.3">
      <c r="A113" s="24">
        <f t="shared" ref="A113:A118" si="0">+A112+1</f>
        <v>8</v>
      </c>
      <c r="B113" s="25" t="s">
        <v>49</v>
      </c>
      <c r="C113" s="25"/>
      <c r="D113" s="25"/>
      <c r="E113" s="25"/>
      <c r="F113" s="25"/>
      <c r="G113" s="25"/>
      <c r="H113" s="25"/>
      <c r="I113" s="25"/>
      <c r="J113" s="25"/>
      <c r="K113" s="25"/>
      <c r="L113" s="25"/>
      <c r="M113" s="25"/>
      <c r="N113" s="25"/>
      <c r="O113" s="25"/>
      <c r="P113" s="25"/>
      <c r="Q113" s="25"/>
      <c r="R113" s="34">
        <f>-T113</f>
        <v>332</v>
      </c>
      <c r="S113" s="25"/>
      <c r="T113" s="53">
        <v>-332</v>
      </c>
      <c r="U113" s="25"/>
      <c r="V113" s="5"/>
    </row>
    <row r="114" spans="1:22" ht="15.6" x14ac:dyDescent="0.3">
      <c r="A114" s="24">
        <f t="shared" si="0"/>
        <v>9</v>
      </c>
      <c r="B114" s="25" t="s">
        <v>134</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10</v>
      </c>
      <c r="B115" s="25" t="s">
        <v>39</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11</v>
      </c>
      <c r="B116" s="25" t="s">
        <v>40</v>
      </c>
      <c r="C116" s="25"/>
      <c r="D116" s="25"/>
      <c r="E116" s="25"/>
      <c r="F116" s="25"/>
      <c r="G116" s="25"/>
      <c r="H116" s="25"/>
      <c r="I116" s="25"/>
      <c r="J116" s="25"/>
      <c r="K116" s="25"/>
      <c r="L116" s="25"/>
      <c r="M116" s="25"/>
      <c r="N116" s="25"/>
      <c r="O116" s="25"/>
      <c r="P116" s="25"/>
      <c r="Q116" s="25"/>
      <c r="R116" s="25"/>
      <c r="S116" s="25"/>
      <c r="T116" s="53">
        <v>0</v>
      </c>
      <c r="U116" s="25"/>
      <c r="V116" s="5"/>
    </row>
    <row r="117" spans="1:22" ht="15.6" x14ac:dyDescent="0.3">
      <c r="A117" s="24">
        <f t="shared" si="0"/>
        <v>12</v>
      </c>
      <c r="B117" s="25" t="s">
        <v>161</v>
      </c>
      <c r="C117" s="25"/>
      <c r="D117" s="25"/>
      <c r="E117" s="25"/>
      <c r="F117" s="25"/>
      <c r="G117" s="25"/>
      <c r="H117" s="25"/>
      <c r="I117" s="25"/>
      <c r="J117" s="25"/>
      <c r="K117" s="25"/>
      <c r="L117" s="25"/>
      <c r="M117" s="25"/>
      <c r="N117" s="25"/>
      <c r="O117" s="25"/>
      <c r="P117" s="25"/>
      <c r="Q117" s="25"/>
      <c r="R117" s="25"/>
      <c r="S117" s="25"/>
      <c r="T117" s="53">
        <v>-122</v>
      </c>
      <c r="U117" s="25"/>
      <c r="V117" s="5"/>
    </row>
    <row r="118" spans="1:22" ht="15.6" x14ac:dyDescent="0.3">
      <c r="A118" s="24">
        <f t="shared" si="0"/>
        <v>13</v>
      </c>
      <c r="B118" s="25" t="s">
        <v>135</v>
      </c>
      <c r="C118" s="25"/>
      <c r="D118" s="25"/>
      <c r="E118" s="25"/>
      <c r="F118" s="25"/>
      <c r="G118" s="25"/>
      <c r="H118" s="25"/>
      <c r="I118" s="25"/>
      <c r="J118" s="25"/>
      <c r="K118" s="25"/>
      <c r="L118" s="25"/>
      <c r="M118" s="25"/>
      <c r="N118" s="25"/>
      <c r="O118" s="25"/>
      <c r="P118" s="25"/>
      <c r="Q118" s="25"/>
      <c r="R118" s="25"/>
      <c r="S118" s="25"/>
      <c r="T118" s="53">
        <f>-T98-SUM(T100:T117)</f>
        <v>-585</v>
      </c>
      <c r="U118" s="25"/>
      <c r="V118" s="5"/>
    </row>
    <row r="119" spans="1:22" ht="15.6" x14ac:dyDescent="0.3">
      <c r="A119" s="24"/>
      <c r="B119" s="119" t="s">
        <v>41</v>
      </c>
      <c r="C119" s="25"/>
      <c r="D119" s="25"/>
      <c r="E119" s="25"/>
      <c r="F119" s="25"/>
      <c r="G119" s="25"/>
      <c r="H119" s="25"/>
      <c r="I119" s="25"/>
      <c r="J119" s="25"/>
      <c r="K119" s="25"/>
      <c r="L119" s="25"/>
      <c r="M119" s="25"/>
      <c r="N119" s="25"/>
      <c r="O119" s="25"/>
      <c r="P119" s="25"/>
      <c r="Q119" s="25"/>
      <c r="R119" s="25"/>
      <c r="S119" s="25"/>
      <c r="T119" s="59"/>
      <c r="U119" s="25"/>
      <c r="V119" s="5"/>
    </row>
    <row r="120" spans="1:22" ht="15.6" x14ac:dyDescent="0.3">
      <c r="A120" s="24"/>
      <c r="B120" s="25" t="s">
        <v>229</v>
      </c>
      <c r="C120" s="25"/>
      <c r="D120" s="25"/>
      <c r="E120" s="25"/>
      <c r="F120" s="25"/>
      <c r="G120" s="25"/>
      <c r="H120" s="25"/>
      <c r="I120" s="25"/>
      <c r="J120" s="25"/>
      <c r="K120" s="25"/>
      <c r="L120" s="25"/>
      <c r="M120" s="25"/>
      <c r="N120" s="25"/>
      <c r="O120" s="25"/>
      <c r="P120" s="25"/>
      <c r="Q120" s="25"/>
      <c r="R120" s="34">
        <f>-R180</f>
        <v>-15</v>
      </c>
      <c r="S120" s="34"/>
      <c r="T120" s="53"/>
      <c r="U120" s="25"/>
      <c r="V120" s="5"/>
    </row>
    <row r="121" spans="1:22" ht="15.6" x14ac:dyDescent="0.3">
      <c r="A121" s="24"/>
      <c r="B121" s="25" t="s">
        <v>230</v>
      </c>
      <c r="C121" s="25"/>
      <c r="D121" s="25"/>
      <c r="E121" s="25"/>
      <c r="F121" s="25"/>
      <c r="G121" s="25"/>
      <c r="H121" s="25"/>
      <c r="I121" s="25"/>
      <c r="J121" s="25"/>
      <c r="K121" s="25"/>
      <c r="L121" s="25"/>
      <c r="M121" s="25"/>
      <c r="N121" s="25"/>
      <c r="O121" s="25"/>
      <c r="P121" s="25"/>
      <c r="Q121" s="25"/>
      <c r="R121" s="34">
        <v>-102</v>
      </c>
      <c r="S121" s="34"/>
      <c r="T121" s="53"/>
      <c r="U121" s="25"/>
      <c r="V121" s="5"/>
    </row>
    <row r="122" spans="1:22" ht="15.6" x14ac:dyDescent="0.3">
      <c r="A122" s="24"/>
      <c r="B122" s="25" t="s">
        <v>42</v>
      </c>
      <c r="C122" s="25"/>
      <c r="D122" s="25"/>
      <c r="E122" s="25"/>
      <c r="F122" s="25"/>
      <c r="G122" s="25"/>
      <c r="H122" s="25"/>
      <c r="I122" s="25"/>
      <c r="J122" s="25"/>
      <c r="K122" s="25"/>
      <c r="L122" s="25"/>
      <c r="M122" s="25"/>
      <c r="N122" s="25"/>
      <c r="O122" s="25"/>
      <c r="P122" s="25"/>
      <c r="Q122" s="25"/>
      <c r="R122" s="34">
        <f>-Q180</f>
        <v>-588</v>
      </c>
      <c r="S122" s="34"/>
      <c r="T122" s="53"/>
      <c r="U122" s="25"/>
      <c r="V122" s="5"/>
    </row>
    <row r="123" spans="1:22" ht="15.6" x14ac:dyDescent="0.3">
      <c r="A123" s="24"/>
      <c r="B123" s="25" t="s">
        <v>235</v>
      </c>
      <c r="C123" s="25"/>
      <c r="D123" s="25"/>
      <c r="E123" s="25"/>
      <c r="F123" s="25"/>
      <c r="G123" s="25"/>
      <c r="H123" s="25"/>
      <c r="I123" s="25"/>
      <c r="J123" s="25"/>
      <c r="K123" s="25"/>
      <c r="L123" s="25"/>
      <c r="M123" s="25"/>
      <c r="N123" s="25"/>
      <c r="O123" s="25"/>
      <c r="P123" s="25"/>
      <c r="Q123" s="25"/>
      <c r="R123" s="34">
        <v>-1241</v>
      </c>
      <c r="S123" s="34"/>
      <c r="T123" s="53"/>
      <c r="U123" s="25"/>
      <c r="V123" s="5"/>
    </row>
    <row r="124" spans="1:22" ht="15.6" x14ac:dyDescent="0.3">
      <c r="A124" s="24"/>
      <c r="B124" s="25" t="s">
        <v>236</v>
      </c>
      <c r="C124" s="25"/>
      <c r="D124" s="25"/>
      <c r="E124" s="25"/>
      <c r="F124" s="25"/>
      <c r="G124" s="25"/>
      <c r="H124" s="25"/>
      <c r="I124" s="25"/>
      <c r="J124" s="25"/>
      <c r="K124" s="25"/>
      <c r="L124" s="25"/>
      <c r="M124" s="25"/>
      <c r="N124" s="25"/>
      <c r="O124" s="25"/>
      <c r="P124" s="25"/>
      <c r="Q124" s="25"/>
      <c r="R124" s="34">
        <v>-877</v>
      </c>
      <c r="S124" s="34"/>
      <c r="T124" s="53"/>
      <c r="U124" s="25"/>
      <c r="V124" s="5"/>
    </row>
    <row r="125" spans="1:22" ht="15.6" x14ac:dyDescent="0.3">
      <c r="A125" s="24"/>
      <c r="B125" s="25" t="s">
        <v>241</v>
      </c>
      <c r="C125" s="25"/>
      <c r="D125" s="25"/>
      <c r="E125" s="25"/>
      <c r="F125" s="25"/>
      <c r="G125" s="25"/>
      <c r="H125" s="25"/>
      <c r="I125" s="25"/>
      <c r="J125" s="25"/>
      <c r="K125" s="25"/>
      <c r="L125" s="25"/>
      <c r="M125" s="25"/>
      <c r="N125" s="25"/>
      <c r="O125" s="25"/>
      <c r="P125" s="25"/>
      <c r="Q125" s="25"/>
      <c r="R125" s="34">
        <v>-122</v>
      </c>
      <c r="S125" s="34"/>
      <c r="T125" s="53"/>
      <c r="U125" s="25"/>
      <c r="V125" s="5"/>
    </row>
    <row r="126" spans="1:22" ht="15.6" x14ac:dyDescent="0.3">
      <c r="A126" s="24"/>
      <c r="B126" s="25" t="s">
        <v>237</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238</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239</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240</v>
      </c>
      <c r="C129" s="25"/>
      <c r="D129" s="25"/>
      <c r="E129" s="25"/>
      <c r="F129" s="25"/>
      <c r="G129" s="25"/>
      <c r="H129" s="25"/>
      <c r="I129" s="25"/>
      <c r="J129" s="25"/>
      <c r="K129" s="25"/>
      <c r="L129" s="25"/>
      <c r="M129" s="25"/>
      <c r="N129" s="25"/>
      <c r="O129" s="25"/>
      <c r="P129" s="25"/>
      <c r="Q129" s="25"/>
      <c r="R129" s="34">
        <v>0</v>
      </c>
      <c r="S129" s="34"/>
      <c r="T129" s="53"/>
      <c r="U129" s="25"/>
      <c r="V129" s="5"/>
    </row>
    <row r="130" spans="1:22" ht="15.6" x14ac:dyDescent="0.3">
      <c r="A130" s="24"/>
      <c r="B130" s="25" t="s">
        <v>43</v>
      </c>
      <c r="C130" s="25"/>
      <c r="D130" s="25"/>
      <c r="E130" s="25"/>
      <c r="F130" s="25"/>
      <c r="G130" s="25"/>
      <c r="H130" s="25"/>
      <c r="I130" s="25"/>
      <c r="J130" s="25"/>
      <c r="K130" s="25"/>
      <c r="L130" s="25"/>
      <c r="M130" s="25"/>
      <c r="N130" s="25"/>
      <c r="O130" s="25"/>
      <c r="P130" s="25"/>
      <c r="Q130" s="25"/>
      <c r="R130" s="34">
        <f>SUM(R120:R129)</f>
        <v>-2945</v>
      </c>
      <c r="S130" s="34"/>
      <c r="T130" s="34">
        <f>SUM(T99:T128)</f>
        <v>-2731</v>
      </c>
      <c r="U130" s="25"/>
      <c r="V130" s="5"/>
    </row>
    <row r="131" spans="1:22" ht="15.6" x14ac:dyDescent="0.3">
      <c r="A131" s="24"/>
      <c r="B131" s="25" t="s">
        <v>44</v>
      </c>
      <c r="C131" s="25"/>
      <c r="D131" s="25"/>
      <c r="E131" s="25"/>
      <c r="F131" s="25"/>
      <c r="G131" s="25"/>
      <c r="H131" s="25"/>
      <c r="I131" s="25"/>
      <c r="J131" s="25"/>
      <c r="K131" s="25"/>
      <c r="L131" s="25"/>
      <c r="M131" s="25"/>
      <c r="N131" s="25"/>
      <c r="O131" s="25"/>
      <c r="P131" s="25"/>
      <c r="Q131" s="25"/>
      <c r="R131" s="34">
        <f>R98+R130+R113</f>
        <v>0</v>
      </c>
      <c r="S131" s="34"/>
      <c r="T131" s="34">
        <f>T98+T130</f>
        <v>0</v>
      </c>
      <c r="U131" s="25"/>
      <c r="V131" s="5"/>
    </row>
    <row r="132" spans="1:22" ht="15.6" x14ac:dyDescent="0.3">
      <c r="A132" s="24"/>
      <c r="B132" s="25"/>
      <c r="C132" s="25"/>
      <c r="D132" s="25"/>
      <c r="E132" s="25"/>
      <c r="F132" s="25"/>
      <c r="G132" s="25"/>
      <c r="H132" s="25"/>
      <c r="I132" s="25"/>
      <c r="J132" s="25"/>
      <c r="K132" s="25"/>
      <c r="L132" s="25"/>
      <c r="M132" s="25"/>
      <c r="N132" s="25"/>
      <c r="O132" s="25"/>
      <c r="P132" s="25"/>
      <c r="Q132" s="25"/>
      <c r="R132" s="34"/>
      <c r="S132" s="34"/>
      <c r="T132" s="34"/>
      <c r="U132" s="25"/>
      <c r="V132" s="5"/>
    </row>
    <row r="133" spans="1:22" ht="15.6" x14ac:dyDescent="0.3">
      <c r="A133" s="6"/>
      <c r="B133" s="8"/>
      <c r="C133" s="8"/>
      <c r="D133" s="8"/>
      <c r="E133" s="8"/>
      <c r="F133" s="8"/>
      <c r="G133" s="8"/>
      <c r="H133" s="8"/>
      <c r="I133" s="8"/>
      <c r="J133" s="8"/>
      <c r="K133" s="8"/>
      <c r="L133" s="8"/>
      <c r="M133" s="8"/>
      <c r="N133" s="8"/>
      <c r="O133" s="8"/>
      <c r="P133" s="8"/>
      <c r="Q133" s="8"/>
      <c r="R133" s="8"/>
      <c r="S133" s="8"/>
      <c r="T133" s="52"/>
      <c r="U133" s="8"/>
      <c r="V133" s="5"/>
    </row>
    <row r="134" spans="1:22" ht="18" thickBot="1" x14ac:dyDescent="0.35">
      <c r="A134" s="102"/>
      <c r="B134" s="103" t="str">
        <f>B61</f>
        <v>PM9 INVESTOR REPORT QUARTER ENDING APRIL 2010</v>
      </c>
      <c r="C134" s="104"/>
      <c r="D134" s="104"/>
      <c r="E134" s="104"/>
      <c r="F134" s="104"/>
      <c r="G134" s="104"/>
      <c r="H134" s="104"/>
      <c r="I134" s="104"/>
      <c r="J134" s="104"/>
      <c r="K134" s="104"/>
      <c r="L134" s="104"/>
      <c r="M134" s="104"/>
      <c r="N134" s="104"/>
      <c r="O134" s="104"/>
      <c r="P134" s="104"/>
      <c r="Q134" s="104"/>
      <c r="R134" s="104"/>
      <c r="S134" s="104"/>
      <c r="T134" s="107"/>
      <c r="U134" s="106"/>
      <c r="V134" s="5"/>
    </row>
    <row r="135" spans="1:22" ht="15.6" x14ac:dyDescent="0.3">
      <c r="A135" s="2"/>
      <c r="B135" s="60" t="s">
        <v>45</v>
      </c>
      <c r="C135" s="4"/>
      <c r="D135" s="4"/>
      <c r="E135" s="4"/>
      <c r="F135" s="4"/>
      <c r="G135" s="4"/>
      <c r="H135" s="4"/>
      <c r="I135" s="4"/>
      <c r="J135" s="4"/>
      <c r="K135" s="4"/>
      <c r="L135" s="4"/>
      <c r="M135" s="4"/>
      <c r="N135" s="4"/>
      <c r="O135" s="4"/>
      <c r="P135" s="4"/>
      <c r="Q135" s="4"/>
      <c r="R135" s="4"/>
      <c r="S135" s="4"/>
      <c r="T135" s="50"/>
      <c r="U135" s="4"/>
      <c r="V135" s="5"/>
    </row>
    <row r="136" spans="1:22" ht="15.6" x14ac:dyDescent="0.3">
      <c r="A136" s="6"/>
      <c r="B136" s="21"/>
      <c r="C136" s="8"/>
      <c r="D136" s="8"/>
      <c r="E136" s="8"/>
      <c r="F136" s="8"/>
      <c r="G136" s="8"/>
      <c r="H136" s="8"/>
      <c r="I136" s="8"/>
      <c r="J136" s="8"/>
      <c r="K136" s="8"/>
      <c r="L136" s="8"/>
      <c r="M136" s="8"/>
      <c r="N136" s="8"/>
      <c r="O136" s="8"/>
      <c r="P136" s="8"/>
      <c r="Q136" s="8"/>
      <c r="R136" s="8"/>
      <c r="S136" s="8"/>
      <c r="T136" s="52"/>
      <c r="U136" s="8"/>
      <c r="V136" s="5"/>
    </row>
    <row r="137" spans="1:22" ht="15.6" x14ac:dyDescent="0.3">
      <c r="A137" s="6"/>
      <c r="B137" s="120" t="s">
        <v>46</v>
      </c>
      <c r="C137" s="8"/>
      <c r="D137" s="8"/>
      <c r="E137" s="8"/>
      <c r="F137" s="8"/>
      <c r="G137" s="8"/>
      <c r="H137" s="8"/>
      <c r="I137" s="8"/>
      <c r="J137" s="8"/>
      <c r="K137" s="8"/>
      <c r="L137" s="8"/>
      <c r="M137" s="8"/>
      <c r="N137" s="8"/>
      <c r="O137" s="8"/>
      <c r="P137" s="8"/>
      <c r="Q137" s="8"/>
      <c r="R137" s="8"/>
      <c r="S137" s="8"/>
      <c r="T137" s="52"/>
      <c r="U137" s="8"/>
      <c r="V137" s="5"/>
    </row>
    <row r="138" spans="1:22" ht="15.6" x14ac:dyDescent="0.3">
      <c r="A138" s="24"/>
      <c r="B138" s="25" t="s">
        <v>47</v>
      </c>
      <c r="C138" s="25"/>
      <c r="D138" s="25"/>
      <c r="E138" s="25"/>
      <c r="F138" s="25"/>
      <c r="G138" s="25"/>
      <c r="H138" s="25"/>
      <c r="I138" s="25"/>
      <c r="J138" s="25"/>
      <c r="K138" s="25"/>
      <c r="L138" s="25"/>
      <c r="M138" s="25"/>
      <c r="N138" s="25"/>
      <c r="O138" s="25"/>
      <c r="P138" s="25"/>
      <c r="Q138" s="25"/>
      <c r="R138" s="25"/>
      <c r="S138" s="25"/>
      <c r="T138" s="53">
        <f>+T32*0.0176</f>
        <v>12320</v>
      </c>
      <c r="U138" s="25"/>
      <c r="V138" s="5"/>
    </row>
    <row r="139" spans="1:22" ht="15.6" x14ac:dyDescent="0.3">
      <c r="A139" s="24"/>
      <c r="B139" s="25" t="s">
        <v>48</v>
      </c>
      <c r="C139" s="25"/>
      <c r="D139" s="25"/>
      <c r="E139" s="25"/>
      <c r="F139" s="25"/>
      <c r="G139" s="25"/>
      <c r="H139" s="25"/>
      <c r="I139" s="25"/>
      <c r="J139" s="25"/>
      <c r="K139" s="25"/>
      <c r="L139" s="25"/>
      <c r="M139" s="25"/>
      <c r="N139" s="25"/>
      <c r="O139" s="25"/>
      <c r="P139" s="25"/>
      <c r="Q139" s="25"/>
      <c r="R139" s="25"/>
      <c r="S139" s="25"/>
      <c r="T139" s="53">
        <v>12320</v>
      </c>
      <c r="U139" s="25"/>
      <c r="V139" s="5"/>
    </row>
    <row r="140" spans="1:22" ht="15.6" x14ac:dyDescent="0.3">
      <c r="A140" s="24"/>
      <c r="B140" s="25" t="s">
        <v>145</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132</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133</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232</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49</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138</v>
      </c>
      <c r="C145" s="25"/>
      <c r="D145" s="25"/>
      <c r="E145" s="25"/>
      <c r="F145" s="25"/>
      <c r="G145" s="25"/>
      <c r="H145" s="25"/>
      <c r="I145" s="25"/>
      <c r="J145" s="25"/>
      <c r="K145" s="25"/>
      <c r="L145" s="25"/>
      <c r="M145" s="25"/>
      <c r="N145" s="25"/>
      <c r="O145" s="25"/>
      <c r="P145" s="25"/>
      <c r="Q145" s="25"/>
      <c r="R145" s="25"/>
      <c r="S145" s="25"/>
      <c r="T145" s="53">
        <v>0</v>
      </c>
      <c r="U145" s="25"/>
      <c r="V145" s="5"/>
    </row>
    <row r="146" spans="1:23" ht="15.6" x14ac:dyDescent="0.3">
      <c r="A146" s="24"/>
      <c r="B146" s="25" t="s">
        <v>231</v>
      </c>
      <c r="C146" s="25"/>
      <c r="D146" s="25"/>
      <c r="E146" s="25"/>
      <c r="F146" s="25"/>
      <c r="G146" s="25"/>
      <c r="H146" s="25"/>
      <c r="I146" s="25"/>
      <c r="J146" s="25"/>
      <c r="K146" s="25"/>
      <c r="L146" s="25"/>
      <c r="M146" s="25"/>
      <c r="N146" s="25"/>
      <c r="O146" s="25"/>
      <c r="P146" s="25"/>
      <c r="Q146" s="25"/>
      <c r="R146" s="25"/>
      <c r="S146" s="25"/>
      <c r="T146" s="53">
        <v>0</v>
      </c>
      <c r="U146" s="25"/>
      <c r="V146" s="5"/>
      <c r="W146" s="110"/>
    </row>
    <row r="147" spans="1:23" ht="15.6" x14ac:dyDescent="0.3">
      <c r="A147" s="24"/>
      <c r="B147" s="25" t="s">
        <v>50</v>
      </c>
      <c r="C147" s="25"/>
      <c r="D147" s="25"/>
      <c r="E147" s="25"/>
      <c r="F147" s="25"/>
      <c r="G147" s="25"/>
      <c r="H147" s="25"/>
      <c r="I147" s="25"/>
      <c r="J147" s="25"/>
      <c r="K147" s="25"/>
      <c r="L147" s="25"/>
      <c r="M147" s="25"/>
      <c r="N147" s="25"/>
      <c r="O147" s="25"/>
      <c r="P147" s="25"/>
      <c r="Q147" s="25"/>
      <c r="R147" s="25"/>
      <c r="S147" s="25"/>
      <c r="T147" s="53">
        <f>SUM(T139:T146)</f>
        <v>12320</v>
      </c>
      <c r="U147" s="25"/>
      <c r="V147" s="5"/>
    </row>
    <row r="148" spans="1:23" ht="15.6" x14ac:dyDescent="0.3">
      <c r="A148" s="24"/>
      <c r="B148" s="25"/>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141" t="s">
        <v>264</v>
      </c>
      <c r="C149" s="25"/>
      <c r="D149" s="25"/>
      <c r="E149" s="25"/>
      <c r="F149" s="25"/>
      <c r="G149" s="25"/>
      <c r="H149" s="25"/>
      <c r="I149" s="25"/>
      <c r="J149" s="25"/>
      <c r="K149" s="25"/>
      <c r="L149" s="25"/>
      <c r="M149" s="25"/>
      <c r="N149" s="25"/>
      <c r="O149" s="25"/>
      <c r="P149" s="25"/>
      <c r="Q149" s="25"/>
      <c r="R149" s="25"/>
      <c r="S149" s="25"/>
      <c r="T149" s="53"/>
      <c r="U149" s="25"/>
      <c r="V149" s="5"/>
    </row>
    <row r="150" spans="1:23" ht="15.6" x14ac:dyDescent="0.3">
      <c r="A150" s="24"/>
      <c r="B150" s="25" t="s">
        <v>170</v>
      </c>
      <c r="C150" s="25"/>
      <c r="D150" s="25"/>
      <c r="E150" s="25"/>
      <c r="F150" s="25"/>
      <c r="G150" s="25"/>
      <c r="H150" s="25"/>
      <c r="I150" s="25"/>
      <c r="J150" s="25"/>
      <c r="K150" s="25"/>
      <c r="L150" s="25"/>
      <c r="M150" s="25"/>
      <c r="N150" s="25"/>
      <c r="O150" s="25"/>
      <c r="P150" s="25"/>
      <c r="Q150" s="25"/>
      <c r="R150" s="25"/>
      <c r="S150" s="25"/>
      <c r="T150" s="53">
        <v>10000</v>
      </c>
      <c r="U150" s="25"/>
      <c r="V150" s="5"/>
    </row>
    <row r="151" spans="1:23" ht="15.6" x14ac:dyDescent="0.3">
      <c r="A151" s="24"/>
      <c r="B151" s="25" t="s">
        <v>260</v>
      </c>
      <c r="C151" s="25"/>
      <c r="D151" s="25"/>
      <c r="E151" s="25"/>
      <c r="F151" s="25"/>
      <c r="G151" s="25"/>
      <c r="H151" s="25"/>
      <c r="I151" s="25"/>
      <c r="J151" s="25"/>
      <c r="K151" s="25"/>
      <c r="L151" s="25"/>
      <c r="M151" s="25"/>
      <c r="N151" s="25"/>
      <c r="O151" s="25"/>
      <c r="P151" s="25"/>
      <c r="Q151" s="25"/>
      <c r="R151" s="25"/>
      <c r="S151" s="25"/>
      <c r="T151" s="53">
        <v>1819</v>
      </c>
      <c r="U151" s="25"/>
      <c r="V151" s="5"/>
    </row>
    <row r="152" spans="1:23" ht="15.6" x14ac:dyDescent="0.3">
      <c r="A152" s="24"/>
      <c r="B152" s="25" t="s">
        <v>228</v>
      </c>
      <c r="C152" s="25"/>
      <c r="D152" s="25"/>
      <c r="E152" s="25"/>
      <c r="F152" s="25"/>
      <c r="G152" s="25"/>
      <c r="H152" s="25"/>
      <c r="I152" s="25"/>
      <c r="J152" s="25"/>
      <c r="K152" s="25"/>
      <c r="L152" s="25"/>
      <c r="M152" s="25"/>
      <c r="N152" s="25"/>
      <c r="O152" s="25"/>
      <c r="P152" s="25"/>
      <c r="Q152" s="25"/>
      <c r="R152" s="25"/>
      <c r="S152" s="25"/>
      <c r="T152" s="53">
        <v>0</v>
      </c>
      <c r="U152" s="25"/>
      <c r="V152" s="5"/>
    </row>
    <row r="153" spans="1:23" ht="15.6" x14ac:dyDescent="0.3">
      <c r="A153" s="24"/>
      <c r="B153" s="25" t="s">
        <v>300</v>
      </c>
      <c r="C153" s="25"/>
      <c r="D153" s="25"/>
      <c r="E153" s="25"/>
      <c r="F153" s="25"/>
      <c r="G153" s="25"/>
      <c r="H153" s="25"/>
      <c r="I153" s="25"/>
      <c r="J153" s="25"/>
      <c r="K153" s="25"/>
      <c r="L153" s="25"/>
      <c r="M153" s="25"/>
      <c r="N153" s="25"/>
      <c r="O153" s="25"/>
      <c r="P153" s="25"/>
      <c r="Q153" s="25"/>
      <c r="R153" s="25"/>
      <c r="S153" s="25"/>
      <c r="T153" s="53">
        <v>1819</v>
      </c>
      <c r="U153" s="25"/>
      <c r="V153" s="5"/>
    </row>
    <row r="154" spans="1:23" ht="15.6" x14ac:dyDescent="0.3">
      <c r="A154" s="24"/>
      <c r="B154" s="25"/>
      <c r="C154" s="25"/>
      <c r="D154" s="25"/>
      <c r="E154" s="25"/>
      <c r="F154" s="25"/>
      <c r="G154" s="25"/>
      <c r="H154" s="25"/>
      <c r="I154" s="25"/>
      <c r="J154" s="25"/>
      <c r="K154" s="25"/>
      <c r="L154" s="25"/>
      <c r="M154" s="25"/>
      <c r="N154" s="25"/>
      <c r="O154" s="25"/>
      <c r="P154" s="25"/>
      <c r="Q154" s="25"/>
      <c r="R154" s="25"/>
      <c r="S154" s="25"/>
      <c r="T154" s="53"/>
      <c r="U154" s="25"/>
      <c r="V154" s="5"/>
    </row>
    <row r="155" spans="1:23" ht="15.6" x14ac:dyDescent="0.3">
      <c r="A155" s="24"/>
      <c r="B155" s="25"/>
      <c r="C155" s="25"/>
      <c r="D155" s="25"/>
      <c r="E155" s="25"/>
      <c r="F155" s="25"/>
      <c r="G155" s="25"/>
      <c r="H155" s="25"/>
      <c r="I155" s="25"/>
      <c r="J155" s="25"/>
      <c r="K155" s="25"/>
      <c r="L155" s="25"/>
      <c r="M155" s="25"/>
      <c r="N155" s="25"/>
      <c r="O155" s="25"/>
      <c r="P155" s="25"/>
      <c r="Q155" s="25"/>
      <c r="R155" s="25"/>
      <c r="S155" s="25"/>
      <c r="T155" s="61"/>
      <c r="U155" s="25"/>
      <c r="V155" s="5"/>
    </row>
    <row r="156" spans="1:23" ht="15.6" x14ac:dyDescent="0.3">
      <c r="A156" s="6"/>
      <c r="B156" s="120" t="s">
        <v>25</v>
      </c>
      <c r="C156" s="8"/>
      <c r="D156" s="8"/>
      <c r="E156" s="8"/>
      <c r="F156" s="8"/>
      <c r="G156" s="8"/>
      <c r="H156" s="8"/>
      <c r="I156" s="8"/>
      <c r="J156" s="8"/>
      <c r="K156" s="8"/>
      <c r="L156" s="8"/>
      <c r="M156" s="8"/>
      <c r="N156" s="8"/>
      <c r="O156" s="8"/>
      <c r="P156" s="8"/>
      <c r="Q156" s="8"/>
      <c r="R156" s="8"/>
      <c r="S156" s="8"/>
      <c r="T156" s="52"/>
      <c r="U156" s="8"/>
      <c r="V156" s="5"/>
    </row>
    <row r="157" spans="1:23" ht="15.6" x14ac:dyDescent="0.3">
      <c r="A157" s="24"/>
      <c r="B157" s="25" t="s">
        <v>51</v>
      </c>
      <c r="C157" s="25"/>
      <c r="D157" s="25"/>
      <c r="E157" s="25"/>
      <c r="F157" s="25"/>
      <c r="G157" s="25"/>
      <c r="H157" s="25"/>
      <c r="I157" s="25"/>
      <c r="J157" s="25"/>
      <c r="K157" s="25"/>
      <c r="L157" s="25"/>
      <c r="M157" s="25"/>
      <c r="N157" s="25"/>
      <c r="O157" s="25"/>
      <c r="P157" s="25"/>
      <c r="Q157" s="25"/>
      <c r="R157" s="25"/>
      <c r="S157" s="25"/>
      <c r="T157" s="59" t="s">
        <v>127</v>
      </c>
      <c r="U157" s="25"/>
      <c r="V157" s="5"/>
    </row>
    <row r="158" spans="1:23" ht="15.6" x14ac:dyDescent="0.3">
      <c r="A158" s="24"/>
      <c r="B158" s="25" t="s">
        <v>52</v>
      </c>
      <c r="C158" s="160"/>
      <c r="D158" s="160"/>
      <c r="E158" s="160"/>
      <c r="F158" s="160"/>
      <c r="G158" s="160"/>
      <c r="H158" s="160"/>
      <c r="I158" s="160"/>
      <c r="J158" s="160"/>
      <c r="K158" s="160"/>
      <c r="L158" s="160"/>
      <c r="M158" s="160"/>
      <c r="N158" s="160"/>
      <c r="O158" s="160"/>
      <c r="P158" s="160"/>
      <c r="Q158" s="160"/>
      <c r="R158" s="160"/>
      <c r="S158" s="160"/>
      <c r="T158" s="59" t="s">
        <v>127</v>
      </c>
      <c r="U158" s="25"/>
      <c r="V158" s="5"/>
    </row>
    <row r="159" spans="1:23" ht="15.6" x14ac:dyDescent="0.3">
      <c r="A159" s="24"/>
      <c r="B159" s="25" t="s">
        <v>53</v>
      </c>
      <c r="C159" s="25"/>
      <c r="D159" s="25"/>
      <c r="E159" s="25"/>
      <c r="F159" s="25"/>
      <c r="G159" s="25"/>
      <c r="H159" s="25"/>
      <c r="I159" s="25"/>
      <c r="J159" s="25"/>
      <c r="K159" s="25"/>
      <c r="L159" s="25"/>
      <c r="M159" s="25"/>
      <c r="N159" s="25"/>
      <c r="O159" s="25"/>
      <c r="P159" s="25"/>
      <c r="Q159" s="25"/>
      <c r="R159" s="25"/>
      <c r="S159" s="25"/>
      <c r="T159" s="59" t="s">
        <v>127</v>
      </c>
      <c r="U159" s="25"/>
      <c r="V159" s="5"/>
    </row>
    <row r="160" spans="1:23" ht="15.6" x14ac:dyDescent="0.3">
      <c r="A160" s="24"/>
      <c r="B160" s="25" t="s">
        <v>54</v>
      </c>
      <c r="C160" s="25"/>
      <c r="D160" s="25"/>
      <c r="E160" s="25"/>
      <c r="F160" s="25"/>
      <c r="G160" s="25"/>
      <c r="H160" s="25"/>
      <c r="I160" s="25"/>
      <c r="J160" s="25"/>
      <c r="K160" s="25"/>
      <c r="L160" s="25"/>
      <c r="M160" s="25"/>
      <c r="N160" s="25"/>
      <c r="O160" s="25"/>
      <c r="P160" s="25"/>
      <c r="Q160" s="25"/>
      <c r="R160" s="25"/>
      <c r="S160" s="25"/>
      <c r="T160" s="59" t="s">
        <v>127</v>
      </c>
      <c r="U160" s="25"/>
      <c r="V160" s="5"/>
    </row>
    <row r="161" spans="1:22" ht="15.6" x14ac:dyDescent="0.3">
      <c r="A161" s="24"/>
      <c r="B161" s="25"/>
      <c r="C161" s="25"/>
      <c r="D161" s="25"/>
      <c r="E161" s="25"/>
      <c r="F161" s="25"/>
      <c r="G161" s="25"/>
      <c r="H161" s="25"/>
      <c r="I161" s="25"/>
      <c r="J161" s="25"/>
      <c r="K161" s="25"/>
      <c r="L161" s="25"/>
      <c r="M161" s="25"/>
      <c r="N161" s="25"/>
      <c r="O161" s="25"/>
      <c r="P161" s="25"/>
      <c r="Q161" s="25"/>
      <c r="R161" s="25"/>
      <c r="S161" s="25"/>
      <c r="T161" s="61"/>
      <c r="U161" s="25"/>
      <c r="V161" s="5"/>
    </row>
    <row r="162" spans="1:22" ht="15.6" x14ac:dyDescent="0.3">
      <c r="A162" s="6"/>
      <c r="B162" s="120" t="s">
        <v>55</v>
      </c>
      <c r="C162" s="8"/>
      <c r="D162" s="8"/>
      <c r="E162" s="8"/>
      <c r="F162" s="8"/>
      <c r="G162" s="8"/>
      <c r="H162" s="8"/>
      <c r="I162" s="8"/>
      <c r="J162" s="8"/>
      <c r="K162" s="8"/>
      <c r="L162" s="8"/>
      <c r="M162" s="8"/>
      <c r="N162" s="8"/>
      <c r="O162" s="8"/>
      <c r="P162" s="8"/>
      <c r="Q162" s="8"/>
      <c r="R162" s="8"/>
      <c r="S162" s="8"/>
      <c r="T162" s="63"/>
      <c r="U162" s="8"/>
      <c r="V162" s="5"/>
    </row>
    <row r="163" spans="1:22" ht="15.6" x14ac:dyDescent="0.3">
      <c r="A163" s="24"/>
      <c r="B163" s="25" t="s">
        <v>56</v>
      </c>
      <c r="C163" s="25"/>
      <c r="D163" s="25"/>
      <c r="E163" s="25"/>
      <c r="F163" s="25"/>
      <c r="G163" s="25"/>
      <c r="H163" s="25"/>
      <c r="I163" s="25"/>
      <c r="J163" s="25"/>
      <c r="K163" s="25"/>
      <c r="L163" s="25"/>
      <c r="M163" s="25"/>
      <c r="N163" s="25"/>
      <c r="O163" s="25"/>
      <c r="P163" s="25"/>
      <c r="Q163" s="25"/>
      <c r="R163" s="25"/>
      <c r="S163" s="25"/>
      <c r="T163" s="53">
        <v>0</v>
      </c>
      <c r="U163" s="25"/>
      <c r="V163" s="5"/>
    </row>
    <row r="164" spans="1:22" ht="15.6" x14ac:dyDescent="0.3">
      <c r="A164" s="24"/>
      <c r="B164" s="25" t="s">
        <v>57</v>
      </c>
      <c r="C164" s="25"/>
      <c r="D164" s="25"/>
      <c r="E164" s="25"/>
      <c r="F164" s="25"/>
      <c r="G164" s="25"/>
      <c r="H164" s="25"/>
      <c r="I164" s="25"/>
      <c r="J164" s="25"/>
      <c r="K164" s="25"/>
      <c r="L164" s="25"/>
      <c r="M164" s="25"/>
      <c r="N164" s="25"/>
      <c r="O164" s="25"/>
      <c r="P164" s="25"/>
      <c r="Q164" s="25"/>
      <c r="R164" s="25"/>
      <c r="S164" s="25"/>
      <c r="T164" s="53">
        <f>-T113</f>
        <v>332</v>
      </c>
      <c r="U164" s="25"/>
      <c r="V164" s="5"/>
    </row>
    <row r="165" spans="1:22" ht="15.6" x14ac:dyDescent="0.3">
      <c r="A165" s="24"/>
      <c r="B165" s="25" t="s">
        <v>58</v>
      </c>
      <c r="C165" s="25"/>
      <c r="D165" s="25"/>
      <c r="E165" s="25"/>
      <c r="F165" s="25"/>
      <c r="G165" s="25"/>
      <c r="H165" s="25"/>
      <c r="I165" s="25"/>
      <c r="J165" s="25"/>
      <c r="K165" s="25"/>
      <c r="L165" s="25"/>
      <c r="M165" s="25"/>
      <c r="N165" s="25"/>
      <c r="O165" s="25"/>
      <c r="P165" s="25"/>
      <c r="Q165" s="25"/>
      <c r="R165" s="25"/>
      <c r="S165" s="25"/>
      <c r="T165" s="53">
        <f>T164+T163</f>
        <v>332</v>
      </c>
      <c r="U165" s="25"/>
      <c r="V165" s="5"/>
    </row>
    <row r="166" spans="1:22" ht="15.6" x14ac:dyDescent="0.3">
      <c r="A166" s="24"/>
      <c r="B166" s="401" t="s">
        <v>309</v>
      </c>
      <c r="C166" s="25"/>
      <c r="D166" s="25"/>
      <c r="E166" s="25"/>
      <c r="F166" s="25"/>
      <c r="G166" s="25"/>
      <c r="H166" s="25"/>
      <c r="I166" s="25"/>
      <c r="J166" s="25"/>
      <c r="K166" s="25"/>
      <c r="L166" s="25"/>
      <c r="M166" s="25"/>
      <c r="N166" s="25"/>
      <c r="O166" s="25"/>
      <c r="P166" s="25"/>
      <c r="Q166" s="25"/>
      <c r="R166" s="25"/>
      <c r="S166" s="25"/>
      <c r="T166" s="53">
        <f>T113</f>
        <v>-332</v>
      </c>
      <c r="U166" s="25"/>
      <c r="V166" s="5"/>
    </row>
    <row r="167" spans="1:22" ht="15.6" x14ac:dyDescent="0.3">
      <c r="A167" s="24"/>
      <c r="B167" s="25" t="s">
        <v>59</v>
      </c>
      <c r="C167" s="25"/>
      <c r="D167" s="25"/>
      <c r="E167" s="25"/>
      <c r="F167" s="25"/>
      <c r="G167" s="25"/>
      <c r="H167" s="25"/>
      <c r="I167" s="25"/>
      <c r="J167" s="25"/>
      <c r="K167" s="25"/>
      <c r="L167" s="25"/>
      <c r="M167" s="25"/>
      <c r="N167" s="25"/>
      <c r="O167" s="25"/>
      <c r="P167" s="25"/>
      <c r="Q167" s="25"/>
      <c r="R167" s="25"/>
      <c r="S167" s="25"/>
      <c r="T167" s="53">
        <f>T165+T166</f>
        <v>0</v>
      </c>
      <c r="U167" s="25"/>
      <c r="V167" s="5"/>
    </row>
    <row r="168" spans="1:22" ht="15.6" x14ac:dyDescent="0.3">
      <c r="A168" s="24"/>
      <c r="B168" s="25" t="s">
        <v>278</v>
      </c>
      <c r="C168" s="25"/>
      <c r="D168" s="25"/>
      <c r="E168" s="25"/>
      <c r="F168" s="25"/>
      <c r="G168" s="25"/>
      <c r="H168" s="25"/>
      <c r="I168" s="25"/>
      <c r="J168" s="25"/>
      <c r="K168" s="25"/>
      <c r="L168" s="25"/>
      <c r="M168" s="25"/>
      <c r="N168" s="25"/>
      <c r="O168" s="25"/>
      <c r="P168" s="25"/>
      <c r="Q168" s="25"/>
      <c r="R168" s="25"/>
      <c r="S168" s="25"/>
      <c r="T168" s="53">
        <v>0</v>
      </c>
      <c r="U168" s="25"/>
      <c r="V168" s="5"/>
    </row>
    <row r="169" spans="1:22" ht="16.2" thickBot="1" x14ac:dyDescent="0.35">
      <c r="A169" s="24"/>
      <c r="B169" s="25"/>
      <c r="C169" s="25"/>
      <c r="D169" s="25"/>
      <c r="E169" s="25"/>
      <c r="F169" s="25"/>
      <c r="G169" s="25"/>
      <c r="H169" s="25"/>
      <c r="I169" s="25"/>
      <c r="J169" s="25"/>
      <c r="K169" s="25"/>
      <c r="L169" s="25"/>
      <c r="M169" s="25"/>
      <c r="N169" s="25"/>
      <c r="O169" s="25"/>
      <c r="P169" s="25"/>
      <c r="Q169" s="25"/>
      <c r="R169" s="25"/>
      <c r="S169" s="25"/>
      <c r="T169" s="61"/>
      <c r="U169" s="25"/>
      <c r="V169" s="5"/>
    </row>
    <row r="170" spans="1:22" ht="15.6" x14ac:dyDescent="0.3">
      <c r="A170" s="2"/>
      <c r="B170" s="4"/>
      <c r="C170" s="4"/>
      <c r="D170" s="4"/>
      <c r="E170" s="4"/>
      <c r="F170" s="4"/>
      <c r="G170" s="4"/>
      <c r="H170" s="4"/>
      <c r="I170" s="4"/>
      <c r="J170" s="4"/>
      <c r="K170" s="4"/>
      <c r="L170" s="4"/>
      <c r="M170" s="4"/>
      <c r="N170" s="4"/>
      <c r="O170" s="4"/>
      <c r="P170" s="4"/>
      <c r="Q170" s="4"/>
      <c r="R170" s="4"/>
      <c r="S170" s="4"/>
      <c r="T170" s="50"/>
      <c r="U170" s="4"/>
      <c r="V170" s="5"/>
    </row>
    <row r="171" spans="1:22" ht="15.6" x14ac:dyDescent="0.3">
      <c r="A171" s="6"/>
      <c r="B171" s="120" t="s">
        <v>60</v>
      </c>
      <c r="C171" s="8"/>
      <c r="D171" s="8"/>
      <c r="E171" s="8"/>
      <c r="F171" s="8"/>
      <c r="G171" s="8"/>
      <c r="H171" s="8"/>
      <c r="I171" s="8"/>
      <c r="J171" s="8"/>
      <c r="K171" s="8"/>
      <c r="L171" s="8"/>
      <c r="M171" s="8"/>
      <c r="N171" s="8"/>
      <c r="O171" s="8"/>
      <c r="P171" s="8"/>
      <c r="Q171" s="8"/>
      <c r="R171" s="8"/>
      <c r="S171" s="8"/>
      <c r="T171" s="52"/>
      <c r="U171" s="8"/>
      <c r="V171" s="5"/>
    </row>
    <row r="172" spans="1:22" ht="15.6" x14ac:dyDescent="0.3">
      <c r="A172" s="6"/>
      <c r="B172" s="21"/>
      <c r="C172" s="8"/>
      <c r="D172" s="8"/>
      <c r="E172" s="8"/>
      <c r="F172" s="8"/>
      <c r="G172" s="8"/>
      <c r="H172" s="8"/>
      <c r="I172" s="8"/>
      <c r="J172" s="8"/>
      <c r="K172" s="8"/>
      <c r="L172" s="8"/>
      <c r="M172" s="8"/>
      <c r="N172" s="8"/>
      <c r="O172" s="8"/>
      <c r="P172" s="8"/>
      <c r="Q172" s="8"/>
      <c r="R172" s="8"/>
      <c r="S172" s="8"/>
      <c r="T172" s="52"/>
      <c r="U172" s="8"/>
      <c r="V172" s="5"/>
    </row>
    <row r="173" spans="1:22" ht="15.6" x14ac:dyDescent="0.3">
      <c r="A173" s="24"/>
      <c r="B173" s="25" t="s">
        <v>61</v>
      </c>
      <c r="C173" s="25"/>
      <c r="D173" s="25"/>
      <c r="E173" s="25"/>
      <c r="F173" s="25"/>
      <c r="G173" s="25"/>
      <c r="H173" s="25"/>
      <c r="I173" s="25"/>
      <c r="J173" s="25"/>
      <c r="K173" s="25"/>
      <c r="L173" s="25"/>
      <c r="M173" s="25"/>
      <c r="N173" s="25"/>
      <c r="O173" s="25"/>
      <c r="P173" s="25"/>
      <c r="Q173" s="25"/>
      <c r="R173" s="25"/>
      <c r="S173" s="25"/>
      <c r="T173" s="53">
        <f>T69</f>
        <v>328834</v>
      </c>
      <c r="U173" s="25"/>
      <c r="V173" s="5"/>
    </row>
    <row r="174" spans="1:22" ht="15.6" x14ac:dyDescent="0.3">
      <c r="A174" s="24"/>
      <c r="B174" s="25" t="s">
        <v>62</v>
      </c>
      <c r="C174" s="25"/>
      <c r="D174" s="25"/>
      <c r="E174" s="25"/>
      <c r="F174" s="25"/>
      <c r="G174" s="25"/>
      <c r="H174" s="25"/>
      <c r="I174" s="25"/>
      <c r="J174" s="25"/>
      <c r="K174" s="25"/>
      <c r="L174" s="25"/>
      <c r="M174" s="25"/>
      <c r="N174" s="25"/>
      <c r="O174" s="25"/>
      <c r="P174" s="25"/>
      <c r="Q174" s="25"/>
      <c r="R174" s="25"/>
      <c r="S174" s="25"/>
      <c r="T174" s="53">
        <f>T82</f>
        <v>328834</v>
      </c>
      <c r="U174" s="25"/>
      <c r="V174" s="5"/>
    </row>
    <row r="175" spans="1:22" ht="16.2" thickBot="1" x14ac:dyDescent="0.35">
      <c r="A175" s="24"/>
      <c r="B175" s="25"/>
      <c r="C175" s="25"/>
      <c r="D175" s="25"/>
      <c r="E175" s="25"/>
      <c r="F175" s="25"/>
      <c r="G175" s="25"/>
      <c r="H175" s="25"/>
      <c r="I175" s="25"/>
      <c r="J175" s="25"/>
      <c r="K175" s="25"/>
      <c r="L175" s="25"/>
      <c r="M175" s="25"/>
      <c r="N175" s="25"/>
      <c r="O175" s="25"/>
      <c r="P175" s="25"/>
      <c r="Q175" s="25"/>
      <c r="R175" s="25"/>
      <c r="S175" s="25"/>
      <c r="T175" s="61"/>
      <c r="U175" s="25"/>
      <c r="V175" s="5"/>
    </row>
    <row r="176" spans="1:22" ht="15.6" x14ac:dyDescent="0.3">
      <c r="A176" s="2"/>
      <c r="B176" s="4"/>
      <c r="C176" s="4"/>
      <c r="D176" s="4"/>
      <c r="E176" s="4"/>
      <c r="F176" s="4"/>
      <c r="G176" s="4"/>
      <c r="H176" s="4"/>
      <c r="I176" s="4"/>
      <c r="J176" s="4"/>
      <c r="K176" s="4"/>
      <c r="L176" s="4"/>
      <c r="M176" s="4"/>
      <c r="N176" s="4"/>
      <c r="O176" s="4"/>
      <c r="P176" s="4"/>
      <c r="Q176" s="4"/>
      <c r="R176" s="4"/>
      <c r="S176" s="4"/>
      <c r="T176" s="50"/>
      <c r="U176" s="4"/>
      <c r="V176" s="5"/>
    </row>
    <row r="177" spans="1:22" ht="15.6" x14ac:dyDescent="0.3">
      <c r="A177" s="6"/>
      <c r="B177" s="120" t="s">
        <v>63</v>
      </c>
      <c r="C177" s="118"/>
      <c r="D177" s="118"/>
      <c r="E177" s="118"/>
      <c r="F177" s="118"/>
      <c r="G177" s="118"/>
      <c r="H177" s="121"/>
      <c r="I177" s="121"/>
      <c r="J177" s="121"/>
      <c r="K177" s="121"/>
      <c r="L177" s="121"/>
      <c r="M177" s="121"/>
      <c r="N177" s="121"/>
      <c r="O177" s="121"/>
      <c r="P177" s="121"/>
      <c r="Q177" s="121" t="s">
        <v>107</v>
      </c>
      <c r="R177" s="121" t="s">
        <v>234</v>
      </c>
      <c r="S177" s="112"/>
      <c r="T177" s="122" t="s">
        <v>123</v>
      </c>
      <c r="U177" s="10"/>
      <c r="V177" s="5"/>
    </row>
    <row r="178" spans="1:22" ht="15.6" x14ac:dyDescent="0.3">
      <c r="A178" s="24"/>
      <c r="B178" s="25" t="s">
        <v>64</v>
      </c>
      <c r="C178" s="25"/>
      <c r="D178" s="25"/>
      <c r="E178" s="25"/>
      <c r="F178" s="25"/>
      <c r="G178" s="25"/>
      <c r="H178" s="25"/>
      <c r="I178" s="25"/>
      <c r="J178" s="25"/>
      <c r="K178" s="25"/>
      <c r="L178" s="25"/>
      <c r="M178" s="25"/>
      <c r="N178" s="25"/>
      <c r="O178" s="25"/>
      <c r="P178" s="25"/>
      <c r="Q178" s="53">
        <v>112000</v>
      </c>
      <c r="R178" s="40"/>
      <c r="S178" s="25"/>
      <c r="T178" s="53"/>
      <c r="U178" s="25"/>
      <c r="V178" s="5"/>
    </row>
    <row r="179" spans="1:22" ht="15.6" x14ac:dyDescent="0.3">
      <c r="A179" s="24"/>
      <c r="B179" s="25" t="s">
        <v>65</v>
      </c>
      <c r="C179" s="25"/>
      <c r="D179" s="25"/>
      <c r="E179" s="25"/>
      <c r="F179" s="25"/>
      <c r="G179" s="25"/>
      <c r="H179" s="25"/>
      <c r="I179" s="25"/>
      <c r="J179" s="25"/>
      <c r="K179" s="25"/>
      <c r="L179" s="25"/>
      <c r="M179" s="25"/>
      <c r="N179" s="25"/>
      <c r="O179" s="25"/>
      <c r="P179" s="25"/>
      <c r="Q179" s="53">
        <f>+'Jan 10'!Q181</f>
        <v>44956</v>
      </c>
      <c r="R179" s="53">
        <f>+'Jan 10'!R181</f>
        <v>2420</v>
      </c>
      <c r="S179" s="25"/>
      <c r="T179" s="53">
        <f>Q179+R179</f>
        <v>47376</v>
      </c>
      <c r="U179" s="25"/>
      <c r="V179" s="5"/>
    </row>
    <row r="180" spans="1:22" ht="15.6" x14ac:dyDescent="0.3">
      <c r="A180" s="24"/>
      <c r="B180" s="25" t="s">
        <v>66</v>
      </c>
      <c r="C180" s="25"/>
      <c r="D180" s="25"/>
      <c r="E180" s="25"/>
      <c r="F180" s="25"/>
      <c r="G180" s="25"/>
      <c r="H180" s="25"/>
      <c r="I180" s="25"/>
      <c r="J180" s="25"/>
      <c r="K180" s="25"/>
      <c r="L180" s="25"/>
      <c r="M180" s="25"/>
      <c r="N180" s="25"/>
      <c r="O180" s="25"/>
      <c r="P180" s="25"/>
      <c r="Q180" s="34">
        <f>587+1</f>
        <v>588</v>
      </c>
      <c r="R180" s="34">
        <v>15</v>
      </c>
      <c r="S180" s="25"/>
      <c r="T180" s="53">
        <f>Q180+R180</f>
        <v>603</v>
      </c>
      <c r="U180" s="25"/>
      <c r="V180" s="5"/>
    </row>
    <row r="181" spans="1:22" ht="15.6" x14ac:dyDescent="0.3">
      <c r="A181" s="24"/>
      <c r="B181" s="25" t="s">
        <v>67</v>
      </c>
      <c r="C181" s="25"/>
      <c r="D181" s="25"/>
      <c r="E181" s="25"/>
      <c r="F181" s="25"/>
      <c r="G181" s="25"/>
      <c r="H181" s="25"/>
      <c r="I181" s="25"/>
      <c r="J181" s="25"/>
      <c r="K181" s="25"/>
      <c r="L181" s="25"/>
      <c r="M181" s="25"/>
      <c r="N181" s="25"/>
      <c r="O181" s="25"/>
      <c r="P181" s="25"/>
      <c r="Q181" s="53">
        <f>Q179+Q180</f>
        <v>45544</v>
      </c>
      <c r="R181" s="53">
        <f>R180+R179</f>
        <v>2435</v>
      </c>
      <c r="S181" s="25"/>
      <c r="T181" s="53">
        <f>Q181+R181</f>
        <v>47979</v>
      </c>
      <c r="U181" s="25"/>
      <c r="V181" s="5"/>
    </row>
    <row r="182" spans="1:22" ht="15.6" x14ac:dyDescent="0.3">
      <c r="A182" s="24"/>
      <c r="B182" s="25" t="s">
        <v>68</v>
      </c>
      <c r="C182" s="25"/>
      <c r="D182" s="25"/>
      <c r="E182" s="25"/>
      <c r="F182" s="25"/>
      <c r="G182" s="25"/>
      <c r="H182" s="25"/>
      <c r="I182" s="25"/>
      <c r="J182" s="25"/>
      <c r="K182" s="25"/>
      <c r="L182" s="25"/>
      <c r="M182" s="25"/>
      <c r="N182" s="25"/>
      <c r="O182" s="25"/>
      <c r="P182" s="25"/>
      <c r="Q182" s="53">
        <f>Q178-Q181-R181</f>
        <v>64021</v>
      </c>
      <c r="R182" s="40"/>
      <c r="S182" s="25"/>
      <c r="T182" s="53"/>
      <c r="U182" s="25"/>
      <c r="V182" s="5"/>
    </row>
    <row r="183" spans="1:22" ht="16.2" thickBot="1" x14ac:dyDescent="0.35">
      <c r="A183" s="24"/>
      <c r="B183" s="25"/>
      <c r="C183" s="25"/>
      <c r="D183" s="25"/>
      <c r="E183" s="25"/>
      <c r="F183" s="25"/>
      <c r="G183" s="25"/>
      <c r="H183" s="25"/>
      <c r="I183" s="25"/>
      <c r="J183" s="25"/>
      <c r="K183" s="25"/>
      <c r="L183" s="25"/>
      <c r="M183" s="25"/>
      <c r="N183" s="25"/>
      <c r="O183" s="25"/>
      <c r="P183" s="25"/>
      <c r="Q183" s="25"/>
      <c r="R183" s="25"/>
      <c r="S183" s="25"/>
      <c r="T183" s="61"/>
      <c r="U183" s="25"/>
      <c r="V183" s="5"/>
    </row>
    <row r="184" spans="1:22" ht="15.6" x14ac:dyDescent="0.3">
      <c r="A184" s="2"/>
      <c r="B184" s="4"/>
      <c r="C184" s="4"/>
      <c r="D184" s="4"/>
      <c r="E184" s="4"/>
      <c r="F184" s="4"/>
      <c r="G184" s="4"/>
      <c r="H184" s="4"/>
      <c r="I184" s="4"/>
      <c r="J184" s="4"/>
      <c r="K184" s="4"/>
      <c r="L184" s="4"/>
      <c r="M184" s="4"/>
      <c r="N184" s="4"/>
      <c r="O184" s="4"/>
      <c r="P184" s="4"/>
      <c r="Q184" s="4"/>
      <c r="R184" s="4"/>
      <c r="S184" s="4"/>
      <c r="T184" s="50"/>
      <c r="U184" s="4"/>
      <c r="V184" s="5"/>
    </row>
    <row r="185" spans="1:22" ht="15.6" x14ac:dyDescent="0.3">
      <c r="A185" s="6"/>
      <c r="B185" s="120" t="s">
        <v>69</v>
      </c>
      <c r="C185" s="8"/>
      <c r="D185" s="8"/>
      <c r="E185" s="8"/>
      <c r="F185" s="8"/>
      <c r="G185" s="8"/>
      <c r="H185" s="8"/>
      <c r="I185" s="8"/>
      <c r="J185" s="8"/>
      <c r="K185" s="8"/>
      <c r="L185" s="8"/>
      <c r="M185" s="8"/>
      <c r="N185" s="8"/>
      <c r="O185" s="8"/>
      <c r="P185" s="8"/>
      <c r="Q185" s="8"/>
      <c r="R185" s="8"/>
      <c r="S185" s="8"/>
      <c r="T185" s="65"/>
      <c r="U185" s="8"/>
      <c r="V185" s="5"/>
    </row>
    <row r="186" spans="1:22" ht="15.6" x14ac:dyDescent="0.3">
      <c r="A186" s="24"/>
      <c r="B186" s="25" t="s">
        <v>70</v>
      </c>
      <c r="C186" s="25"/>
      <c r="D186" s="25"/>
      <c r="E186" s="25"/>
      <c r="F186" s="25"/>
      <c r="G186" s="25"/>
      <c r="H186" s="25"/>
      <c r="I186" s="25"/>
      <c r="J186" s="25"/>
      <c r="K186" s="25"/>
      <c r="L186" s="25"/>
      <c r="M186" s="25"/>
      <c r="N186" s="25"/>
      <c r="O186" s="25"/>
      <c r="P186" s="25"/>
      <c r="Q186" s="25"/>
      <c r="R186" s="25"/>
      <c r="S186" s="25"/>
      <c r="T186" s="59">
        <f>(T98+T100+T101+T102+T103+T104)/-(T105+T106+T107)</f>
        <v>3.4088291746641075</v>
      </c>
      <c r="U186" s="25" t="s">
        <v>124</v>
      </c>
      <c r="V186" s="5"/>
    </row>
    <row r="187" spans="1:22" ht="15.6" x14ac:dyDescent="0.3">
      <c r="A187" s="24"/>
      <c r="B187" s="25" t="s">
        <v>71</v>
      </c>
      <c r="C187" s="25"/>
      <c r="D187" s="25"/>
      <c r="E187" s="25"/>
      <c r="F187" s="25"/>
      <c r="G187" s="25"/>
      <c r="H187" s="25"/>
      <c r="I187" s="25"/>
      <c r="J187" s="25"/>
      <c r="K187" s="25"/>
      <c r="L187" s="25"/>
      <c r="M187" s="25"/>
      <c r="N187" s="25"/>
      <c r="O187" s="25"/>
      <c r="P187" s="25"/>
      <c r="Q187" s="25"/>
      <c r="R187" s="25"/>
      <c r="S187" s="25"/>
      <c r="T187" s="66">
        <v>1.45</v>
      </c>
      <c r="U187" s="25" t="s">
        <v>124</v>
      </c>
      <c r="V187" s="5"/>
    </row>
    <row r="188" spans="1:22" ht="15.6" x14ac:dyDescent="0.3">
      <c r="A188" s="24"/>
      <c r="B188" s="25" t="s">
        <v>72</v>
      </c>
      <c r="C188" s="25"/>
      <c r="D188" s="25"/>
      <c r="E188" s="25"/>
      <c r="F188" s="25"/>
      <c r="G188" s="25"/>
      <c r="H188" s="25"/>
      <c r="I188" s="25"/>
      <c r="J188" s="25"/>
      <c r="K188" s="25"/>
      <c r="L188" s="25"/>
      <c r="M188" s="25"/>
      <c r="N188" s="25"/>
      <c r="O188" s="25"/>
      <c r="P188" s="25"/>
      <c r="Q188" s="25"/>
      <c r="R188" s="25"/>
      <c r="S188" s="25"/>
      <c r="T188" s="59">
        <f>(T98+T100+T101+T102+T103+T104+T105+T106+T107)/-(T108+T109)</f>
        <v>19.609375</v>
      </c>
      <c r="U188" s="25" t="s">
        <v>124</v>
      </c>
      <c r="V188" s="5"/>
    </row>
    <row r="189" spans="1:22" ht="15.6" x14ac:dyDescent="0.3">
      <c r="A189" s="24"/>
      <c r="B189" s="25" t="s">
        <v>73</v>
      </c>
      <c r="C189" s="25"/>
      <c r="D189" s="25"/>
      <c r="E189" s="25"/>
      <c r="F189" s="25"/>
      <c r="G189" s="25"/>
      <c r="H189" s="25"/>
      <c r="I189" s="25"/>
      <c r="J189" s="25"/>
      <c r="K189" s="25"/>
      <c r="L189" s="25"/>
      <c r="M189" s="25"/>
      <c r="N189" s="25"/>
      <c r="O189" s="25"/>
      <c r="P189" s="25"/>
      <c r="Q189" s="25"/>
      <c r="R189" s="25"/>
      <c r="S189" s="25"/>
      <c r="T189" s="67">
        <v>7.19</v>
      </c>
      <c r="U189" s="25" t="s">
        <v>124</v>
      </c>
      <c r="V189" s="5"/>
    </row>
    <row r="190" spans="1:22" ht="15.6" x14ac:dyDescent="0.3">
      <c r="A190" s="24"/>
      <c r="B190" s="25" t="s">
        <v>243</v>
      </c>
      <c r="C190" s="25"/>
      <c r="D190" s="25"/>
      <c r="E190" s="25"/>
      <c r="F190" s="25"/>
      <c r="G190" s="25"/>
      <c r="H190" s="25"/>
      <c r="I190" s="25"/>
      <c r="J190" s="25"/>
      <c r="K190" s="25"/>
      <c r="L190" s="25"/>
      <c r="M190" s="25"/>
      <c r="N190" s="25"/>
      <c r="O190" s="25"/>
      <c r="P190" s="25"/>
      <c r="Q190" s="25"/>
      <c r="R190" s="25"/>
      <c r="S190" s="25"/>
      <c r="T190" s="59">
        <f>(T98+T100+T101+T102+T103+T104+T105+T106+T107+T108+T109)/-(T110+T111)</f>
        <v>8.2708333333333339</v>
      </c>
      <c r="U190" s="25" t="s">
        <v>124</v>
      </c>
      <c r="V190" s="5"/>
    </row>
    <row r="191" spans="1:22" ht="15.6" x14ac:dyDescent="0.3">
      <c r="A191" s="24"/>
      <c r="B191" s="25" t="s">
        <v>244</v>
      </c>
      <c r="C191" s="25"/>
      <c r="D191" s="25"/>
      <c r="E191" s="25"/>
      <c r="F191" s="25"/>
      <c r="G191" s="25"/>
      <c r="H191" s="25"/>
      <c r="I191" s="25"/>
      <c r="J191" s="25"/>
      <c r="K191" s="25"/>
      <c r="L191" s="25"/>
      <c r="M191" s="25"/>
      <c r="N191" s="25"/>
      <c r="O191" s="25"/>
      <c r="P191" s="25"/>
      <c r="Q191" s="25"/>
      <c r="R191" s="25"/>
      <c r="S191" s="25"/>
      <c r="T191" s="67">
        <v>3.32</v>
      </c>
      <c r="U191" s="25" t="s">
        <v>124</v>
      </c>
      <c r="V191" s="5"/>
    </row>
    <row r="192" spans="1:22" ht="15.6" x14ac:dyDescent="0.3">
      <c r="A192" s="24"/>
      <c r="B192" s="25"/>
      <c r="C192" s="25"/>
      <c r="D192" s="25"/>
      <c r="E192" s="25"/>
      <c r="F192" s="25"/>
      <c r="G192" s="25"/>
      <c r="H192" s="25"/>
      <c r="I192" s="25"/>
      <c r="J192" s="25"/>
      <c r="K192" s="25"/>
      <c r="L192" s="25"/>
      <c r="M192" s="25"/>
      <c r="N192" s="25"/>
      <c r="O192" s="25"/>
      <c r="P192" s="25"/>
      <c r="Q192" s="25"/>
      <c r="R192" s="25"/>
      <c r="S192" s="25"/>
      <c r="T192" s="25"/>
      <c r="U192" s="25"/>
      <c r="V192" s="5"/>
    </row>
    <row r="193" spans="1:22" ht="15.6" x14ac:dyDescent="0.3">
      <c r="A193" s="24"/>
      <c r="B193" s="25"/>
      <c r="C193" s="25"/>
      <c r="D193" s="25"/>
      <c r="E193" s="25"/>
      <c r="F193" s="25"/>
      <c r="G193" s="25"/>
      <c r="H193" s="25"/>
      <c r="I193" s="25"/>
      <c r="J193" s="25"/>
      <c r="K193" s="25"/>
      <c r="L193" s="25"/>
      <c r="M193" s="25"/>
      <c r="N193" s="25"/>
      <c r="O193" s="25"/>
      <c r="P193" s="25"/>
      <c r="Q193" s="25"/>
      <c r="R193" s="25"/>
      <c r="S193" s="25"/>
      <c r="T193" s="25"/>
      <c r="U193" s="25"/>
      <c r="V193" s="5"/>
    </row>
    <row r="194" spans="1:22" ht="15.6" x14ac:dyDescent="0.3">
      <c r="A194" s="6"/>
      <c r="B194" s="8"/>
      <c r="C194" s="8"/>
      <c r="D194" s="8"/>
      <c r="E194" s="8"/>
      <c r="F194" s="8"/>
      <c r="G194" s="8"/>
      <c r="H194" s="8"/>
      <c r="I194" s="8"/>
      <c r="J194" s="8"/>
      <c r="K194" s="8"/>
      <c r="L194" s="8"/>
      <c r="M194" s="8"/>
      <c r="N194" s="8"/>
      <c r="O194" s="8"/>
      <c r="P194" s="8"/>
      <c r="Q194" s="8"/>
      <c r="R194" s="8"/>
      <c r="S194" s="8"/>
      <c r="T194" s="8"/>
      <c r="U194" s="8"/>
      <c r="V194" s="5"/>
    </row>
    <row r="195" spans="1:22" ht="18" thickBot="1" x14ac:dyDescent="0.35">
      <c r="A195" s="102"/>
      <c r="B195" s="103" t="str">
        <f>B134</f>
        <v>PM9 INVESTOR REPORT QUARTER ENDING APRIL 2010</v>
      </c>
      <c r="C195" s="162"/>
      <c r="D195" s="162"/>
      <c r="E195" s="162"/>
      <c r="F195" s="162"/>
      <c r="G195" s="162"/>
      <c r="H195" s="162"/>
      <c r="I195" s="162"/>
      <c r="J195" s="162"/>
      <c r="K195" s="162"/>
      <c r="L195" s="162"/>
      <c r="M195" s="162"/>
      <c r="N195" s="162"/>
      <c r="O195" s="162"/>
      <c r="P195" s="162"/>
      <c r="Q195" s="162"/>
      <c r="R195" s="162"/>
      <c r="S195" s="162"/>
      <c r="T195" s="162"/>
      <c r="U195" s="163"/>
      <c r="V195" s="5"/>
    </row>
    <row r="196" spans="1:22" ht="15.6" x14ac:dyDescent="0.3">
      <c r="A196" s="68"/>
      <c r="B196" s="60" t="s">
        <v>74</v>
      </c>
      <c r="C196" s="69"/>
      <c r="D196" s="69"/>
      <c r="E196" s="69"/>
      <c r="F196" s="69"/>
      <c r="G196" s="70"/>
      <c r="H196" s="70"/>
      <c r="I196" s="70"/>
      <c r="J196" s="70"/>
      <c r="K196" s="70"/>
      <c r="L196" s="70"/>
      <c r="M196" s="70"/>
      <c r="N196" s="70"/>
      <c r="O196" s="70"/>
      <c r="P196" s="70"/>
      <c r="Q196" s="70"/>
      <c r="R196" s="71">
        <v>40298</v>
      </c>
      <c r="S196" s="4"/>
      <c r="T196" s="4"/>
      <c r="U196" s="4"/>
      <c r="V196" s="5"/>
    </row>
    <row r="197" spans="1:22" ht="15.6" x14ac:dyDescent="0.3">
      <c r="A197" s="72"/>
      <c r="B197" s="73"/>
      <c r="C197" s="74"/>
      <c r="D197" s="74"/>
      <c r="E197" s="74"/>
      <c r="F197" s="74"/>
      <c r="G197" s="75"/>
      <c r="H197" s="75"/>
      <c r="I197" s="75"/>
      <c r="J197" s="75"/>
      <c r="K197" s="75"/>
      <c r="L197" s="75"/>
      <c r="M197" s="75"/>
      <c r="N197" s="75"/>
      <c r="O197" s="75"/>
      <c r="P197" s="75"/>
      <c r="Q197" s="75"/>
      <c r="R197" s="75"/>
      <c r="S197" s="8"/>
      <c r="T197" s="8"/>
      <c r="U197" s="8"/>
      <c r="V197" s="5"/>
    </row>
    <row r="198" spans="1:22" ht="15.6" x14ac:dyDescent="0.3">
      <c r="A198" s="76"/>
      <c r="B198" s="77" t="s">
        <v>75</v>
      </c>
      <c r="C198" s="78"/>
      <c r="D198" s="78"/>
      <c r="E198" s="78"/>
      <c r="F198" s="78"/>
      <c r="G198" s="64"/>
      <c r="H198" s="64"/>
      <c r="I198" s="64"/>
      <c r="J198" s="64"/>
      <c r="K198" s="64"/>
      <c r="L198" s="64"/>
      <c r="M198" s="64"/>
      <c r="N198" s="64"/>
      <c r="O198" s="64"/>
      <c r="P198" s="64"/>
      <c r="Q198" s="64"/>
      <c r="R198" s="79">
        <v>5.8209999999999998E-2</v>
      </c>
      <c r="S198" s="25"/>
      <c r="T198" s="25"/>
      <c r="U198" s="25"/>
      <c r="V198" s="5"/>
    </row>
    <row r="199" spans="1:22" ht="15.6" x14ac:dyDescent="0.3">
      <c r="A199" s="76"/>
      <c r="B199" s="77" t="s">
        <v>164</v>
      </c>
      <c r="C199" s="78"/>
      <c r="D199" s="78"/>
      <c r="E199" s="78"/>
      <c r="F199" s="78"/>
      <c r="G199" s="64"/>
      <c r="H199" s="64"/>
      <c r="I199" s="64"/>
      <c r="J199" s="64"/>
      <c r="K199" s="64"/>
      <c r="L199" s="64"/>
      <c r="M199" s="64"/>
      <c r="N199" s="64"/>
      <c r="O199" s="64"/>
      <c r="P199" s="64"/>
      <c r="Q199" s="64"/>
      <c r="R199" s="39">
        <f>'Oct 05'!R193</f>
        <v>4.8438496428571419E-2</v>
      </c>
      <c r="S199" s="25"/>
      <c r="T199" s="25"/>
      <c r="U199" s="25"/>
      <c r="V199" s="5"/>
    </row>
    <row r="200" spans="1:22" ht="15.6" x14ac:dyDescent="0.3">
      <c r="A200" s="76"/>
      <c r="B200" s="77" t="s">
        <v>76</v>
      </c>
      <c r="C200" s="78"/>
      <c r="D200" s="78"/>
      <c r="E200" s="78"/>
      <c r="F200" s="78"/>
      <c r="G200" s="64"/>
      <c r="H200" s="64"/>
      <c r="I200" s="64"/>
      <c r="J200" s="64"/>
      <c r="K200" s="64"/>
      <c r="L200" s="64"/>
      <c r="M200" s="64"/>
      <c r="N200" s="64"/>
      <c r="O200" s="64"/>
      <c r="P200" s="64"/>
      <c r="Q200" s="64"/>
      <c r="R200" s="79">
        <f>R198-R199</f>
        <v>9.7715035714285789E-3</v>
      </c>
      <c r="S200" s="25"/>
      <c r="T200" s="25"/>
      <c r="U200" s="25"/>
      <c r="V200" s="5"/>
    </row>
    <row r="201" spans="1:22" ht="15.6" x14ac:dyDescent="0.3">
      <c r="A201" s="76"/>
      <c r="B201" s="77" t="s">
        <v>77</v>
      </c>
      <c r="C201" s="78"/>
      <c r="D201" s="78"/>
      <c r="E201" s="78"/>
      <c r="F201" s="78"/>
      <c r="G201" s="64"/>
      <c r="H201" s="64"/>
      <c r="I201" s="64"/>
      <c r="J201" s="64"/>
      <c r="K201" s="64"/>
      <c r="L201" s="64"/>
      <c r="M201" s="64"/>
      <c r="N201" s="64"/>
      <c r="O201" s="64"/>
      <c r="P201" s="64"/>
      <c r="Q201" s="64"/>
      <c r="R201" s="79">
        <v>2.86E-2</v>
      </c>
      <c r="S201" s="25"/>
      <c r="T201" s="25"/>
      <c r="U201" s="25"/>
      <c r="V201" s="5"/>
    </row>
    <row r="202" spans="1:22" ht="15.6" x14ac:dyDescent="0.3">
      <c r="A202" s="76"/>
      <c r="B202" s="77" t="s">
        <v>257</v>
      </c>
      <c r="C202" s="78"/>
      <c r="D202" s="78"/>
      <c r="E202" s="78"/>
      <c r="F202" s="78"/>
      <c r="G202" s="64"/>
      <c r="H202" s="64"/>
      <c r="I202" s="64"/>
      <c r="J202" s="64"/>
      <c r="K202" s="64"/>
      <c r="L202" s="64"/>
      <c r="M202" s="64"/>
      <c r="N202" s="64"/>
      <c r="O202" s="64"/>
      <c r="P202" s="64"/>
      <c r="Q202" s="64"/>
      <c r="R202" s="79">
        <f>+T41</f>
        <v>8.917370583340441E-3</v>
      </c>
      <c r="S202" s="25"/>
      <c r="T202" s="25"/>
      <c r="U202" s="25"/>
      <c r="V202" s="5"/>
    </row>
    <row r="203" spans="1:22" ht="15.6" x14ac:dyDescent="0.3">
      <c r="A203" s="76"/>
      <c r="B203" s="77" t="s">
        <v>78</v>
      </c>
      <c r="C203" s="78"/>
      <c r="D203" s="78"/>
      <c r="E203" s="78"/>
      <c r="F203" s="78"/>
      <c r="G203" s="64"/>
      <c r="H203" s="64"/>
      <c r="I203" s="64"/>
      <c r="J203" s="64"/>
      <c r="K203" s="64"/>
      <c r="L203" s="64"/>
      <c r="M203" s="64"/>
      <c r="N203" s="64"/>
      <c r="O203" s="64"/>
      <c r="P203" s="64"/>
      <c r="Q203" s="64"/>
      <c r="R203" s="79">
        <f>R201-R202</f>
        <v>1.9682629416659561E-2</v>
      </c>
      <c r="S203" s="25"/>
      <c r="T203" s="25"/>
      <c r="U203" s="25"/>
      <c r="V203" s="5"/>
    </row>
    <row r="204" spans="1:22" ht="15.6" x14ac:dyDescent="0.3">
      <c r="A204" s="76"/>
      <c r="B204" s="77" t="s">
        <v>268</v>
      </c>
      <c r="C204" s="78"/>
      <c r="D204" s="78"/>
      <c r="E204" s="78"/>
      <c r="F204" s="78"/>
      <c r="G204" s="64"/>
      <c r="H204" s="64"/>
      <c r="I204" s="64"/>
      <c r="J204" s="64"/>
      <c r="K204" s="64"/>
      <c r="L204" s="64"/>
      <c r="M204" s="64"/>
      <c r="N204" s="64"/>
      <c r="O204" s="64"/>
      <c r="P204" s="64"/>
      <c r="Q204" s="64"/>
      <c r="R204" s="79">
        <f>+T98/L69</f>
        <v>8.2489111195684344E-3</v>
      </c>
      <c r="S204" s="25"/>
      <c r="T204" s="25"/>
      <c r="U204" s="25"/>
      <c r="V204" s="5"/>
    </row>
    <row r="205" spans="1:22" ht="15.6" x14ac:dyDescent="0.3">
      <c r="A205" s="76"/>
      <c r="B205" s="77" t="s">
        <v>249</v>
      </c>
      <c r="C205" s="78"/>
      <c r="D205" s="78"/>
      <c r="E205" s="78"/>
      <c r="F205" s="78"/>
      <c r="G205" s="64"/>
      <c r="H205" s="64"/>
      <c r="I205" s="64"/>
      <c r="J205" s="64"/>
      <c r="K205" s="64"/>
      <c r="L205" s="64"/>
      <c r="M205" s="64"/>
      <c r="N205" s="64"/>
      <c r="O205" s="64"/>
      <c r="P205" s="64"/>
      <c r="Q205" s="64"/>
      <c r="R205" s="132">
        <v>51622</v>
      </c>
      <c r="S205" s="25"/>
      <c r="T205" s="25"/>
      <c r="U205" s="25"/>
      <c r="V205" s="5"/>
    </row>
    <row r="206" spans="1:22" ht="15.6" x14ac:dyDescent="0.3">
      <c r="A206" s="76"/>
      <c r="B206" s="77" t="s">
        <v>250</v>
      </c>
      <c r="C206" s="78"/>
      <c r="D206" s="78"/>
      <c r="E206" s="78"/>
      <c r="F206" s="78"/>
      <c r="G206" s="64"/>
      <c r="H206" s="64"/>
      <c r="I206" s="64"/>
      <c r="J206" s="64"/>
      <c r="K206" s="64"/>
      <c r="L206" s="64"/>
      <c r="M206" s="64"/>
      <c r="N206" s="64"/>
      <c r="O206" s="64"/>
      <c r="P206" s="64"/>
      <c r="Q206" s="64"/>
      <c r="R206" s="132">
        <v>51622</v>
      </c>
      <c r="S206" s="25"/>
      <c r="T206" s="25"/>
      <c r="U206" s="25"/>
      <c r="V206" s="5"/>
    </row>
    <row r="207" spans="1:22" ht="15.6" x14ac:dyDescent="0.3">
      <c r="A207" s="76"/>
      <c r="B207" s="77" t="s">
        <v>251</v>
      </c>
      <c r="C207" s="78"/>
      <c r="D207" s="78"/>
      <c r="E207" s="78"/>
      <c r="F207" s="78"/>
      <c r="G207" s="64"/>
      <c r="H207" s="64"/>
      <c r="I207" s="64"/>
      <c r="J207" s="64"/>
      <c r="K207" s="64"/>
      <c r="L207" s="64"/>
      <c r="M207" s="64"/>
      <c r="N207" s="64"/>
      <c r="O207" s="64"/>
      <c r="P207" s="64"/>
      <c r="Q207" s="64"/>
      <c r="R207" s="132">
        <v>51622</v>
      </c>
      <c r="S207" s="25"/>
      <c r="T207" s="25"/>
      <c r="U207" s="25"/>
      <c r="V207" s="5"/>
    </row>
    <row r="208" spans="1:22" ht="15.6" x14ac:dyDescent="0.3">
      <c r="A208" s="76"/>
      <c r="B208" s="77" t="s">
        <v>79</v>
      </c>
      <c r="C208" s="78"/>
      <c r="D208" s="78"/>
      <c r="E208" s="78"/>
      <c r="F208" s="78"/>
      <c r="G208" s="64"/>
      <c r="H208" s="64"/>
      <c r="I208" s="64"/>
      <c r="J208" s="64"/>
      <c r="K208" s="64"/>
      <c r="L208" s="64"/>
      <c r="M208" s="64"/>
      <c r="N208" s="64"/>
      <c r="O208" s="64"/>
      <c r="P208" s="64"/>
      <c r="Q208" s="64"/>
      <c r="R208" s="136">
        <v>20.95</v>
      </c>
      <c r="S208" s="25" t="s">
        <v>119</v>
      </c>
      <c r="T208" s="25"/>
      <c r="U208" s="25"/>
      <c r="V208" s="5"/>
    </row>
    <row r="209" spans="1:22" ht="15.6" x14ac:dyDescent="0.3">
      <c r="A209" s="76"/>
      <c r="B209" s="77" t="s">
        <v>80</v>
      </c>
      <c r="C209" s="78"/>
      <c r="D209" s="78"/>
      <c r="E209" s="78"/>
      <c r="F209" s="78"/>
      <c r="G209" s="64"/>
      <c r="H209" s="64"/>
      <c r="I209" s="64"/>
      <c r="J209" s="64"/>
      <c r="K209" s="64"/>
      <c r="L209" s="64"/>
      <c r="M209" s="64"/>
      <c r="N209" s="64"/>
      <c r="O209" s="64"/>
      <c r="P209" s="64"/>
      <c r="Q209" s="64"/>
      <c r="R209" s="136">
        <v>16.34</v>
      </c>
      <c r="S209" s="25" t="s">
        <v>119</v>
      </c>
      <c r="T209" s="25"/>
      <c r="U209" s="25"/>
      <c r="V209" s="5"/>
    </row>
    <row r="210" spans="1:22" ht="15.6" x14ac:dyDescent="0.3">
      <c r="A210" s="76"/>
      <c r="B210" s="77" t="s">
        <v>81</v>
      </c>
      <c r="C210" s="78"/>
      <c r="D210" s="78"/>
      <c r="E210" s="78"/>
      <c r="F210" s="78"/>
      <c r="G210" s="64"/>
      <c r="H210" s="64"/>
      <c r="I210" s="64"/>
      <c r="J210" s="64"/>
      <c r="K210" s="64"/>
      <c r="L210" s="64"/>
      <c r="M210" s="64"/>
      <c r="N210" s="64"/>
      <c r="O210" s="64"/>
      <c r="P210" s="64"/>
      <c r="Q210" s="64"/>
      <c r="R210" s="79">
        <f>+N66/L66</f>
        <v>8.9436198553797634E-3</v>
      </c>
      <c r="S210" s="25"/>
      <c r="T210" s="25"/>
      <c r="U210" s="25"/>
      <c r="V210" s="5"/>
    </row>
    <row r="211" spans="1:22" ht="15.6" x14ac:dyDescent="0.3">
      <c r="A211" s="76"/>
      <c r="B211" s="77" t="s">
        <v>82</v>
      </c>
      <c r="C211" s="78"/>
      <c r="D211" s="78"/>
      <c r="E211" s="78"/>
      <c r="F211" s="78"/>
      <c r="G211" s="64"/>
      <c r="H211" s="64"/>
      <c r="I211" s="64"/>
      <c r="J211" s="64"/>
      <c r="K211" s="64"/>
      <c r="L211" s="64"/>
      <c r="M211" s="64"/>
      <c r="N211" s="64"/>
      <c r="O211" s="64"/>
      <c r="P211" s="64"/>
      <c r="Q211" s="64"/>
      <c r="R211" s="79">
        <v>0.16159999999999999</v>
      </c>
      <c r="S211" s="25"/>
      <c r="T211" s="25"/>
      <c r="U211" s="25"/>
      <c r="V211" s="5"/>
    </row>
    <row r="212" spans="1:22" ht="15.6" x14ac:dyDescent="0.3">
      <c r="A212" s="76"/>
      <c r="B212" s="77"/>
      <c r="C212" s="77"/>
      <c r="D212" s="77"/>
      <c r="E212" s="77"/>
      <c r="F212" s="77"/>
      <c r="G212" s="25"/>
      <c r="H212" s="25"/>
      <c r="I212" s="25"/>
      <c r="J212" s="25"/>
      <c r="K212" s="25"/>
      <c r="L212" s="25"/>
      <c r="M212" s="25"/>
      <c r="N212" s="25"/>
      <c r="O212" s="25"/>
      <c r="P212" s="25"/>
      <c r="Q212" s="25"/>
      <c r="R212" s="61"/>
      <c r="S212" s="25"/>
      <c r="T212" s="80"/>
      <c r="U212" s="25"/>
      <c r="V212" s="5"/>
    </row>
    <row r="213" spans="1:22" ht="15.6" x14ac:dyDescent="0.3">
      <c r="A213" s="81"/>
      <c r="B213" s="14" t="s">
        <v>83</v>
      </c>
      <c r="C213" s="82"/>
      <c r="D213" s="82"/>
      <c r="E213" s="82"/>
      <c r="F213" s="83"/>
      <c r="G213" s="82"/>
      <c r="H213" s="17"/>
      <c r="I213" s="17"/>
      <c r="J213" s="17"/>
      <c r="K213" s="17"/>
      <c r="L213" s="17"/>
      <c r="M213" s="17"/>
      <c r="N213" s="17"/>
      <c r="O213" s="17"/>
      <c r="P213" s="17"/>
      <c r="Q213" s="17" t="s">
        <v>108</v>
      </c>
      <c r="R213" s="84" t="s">
        <v>115</v>
      </c>
      <c r="S213" s="8"/>
      <c r="T213" s="8"/>
      <c r="U213" s="8"/>
      <c r="V213" s="5"/>
    </row>
    <row r="214" spans="1:22" ht="15.6" x14ac:dyDescent="0.3">
      <c r="A214" s="85"/>
      <c r="B214" s="77" t="s">
        <v>84</v>
      </c>
      <c r="C214" s="54"/>
      <c r="D214" s="54"/>
      <c r="E214" s="54"/>
      <c r="F214" s="25"/>
      <c r="G214" s="25"/>
      <c r="H214" s="30"/>
      <c r="I214" s="30"/>
      <c r="J214" s="30"/>
      <c r="K214" s="30"/>
      <c r="L214" s="30"/>
      <c r="M214" s="30"/>
      <c r="N214" s="30"/>
      <c r="O214" s="30"/>
      <c r="P214" s="30"/>
      <c r="Q214" s="30">
        <v>0</v>
      </c>
      <c r="R214" s="86">
        <v>0</v>
      </c>
      <c r="S214" s="25"/>
      <c r="T214" s="80"/>
      <c r="U214" s="87"/>
      <c r="V214" s="5"/>
    </row>
    <row r="215" spans="1:22" ht="15.6" x14ac:dyDescent="0.3">
      <c r="A215" s="85"/>
      <c r="B215" s="77" t="s">
        <v>156</v>
      </c>
      <c r="C215" s="54"/>
      <c r="D215" s="54"/>
      <c r="E215" s="54"/>
      <c r="F215" s="25"/>
      <c r="G215" s="25"/>
      <c r="H215" s="30"/>
      <c r="I215" s="30"/>
      <c r="J215" s="30"/>
      <c r="K215" s="30"/>
      <c r="L215" s="30"/>
      <c r="M215" s="30"/>
      <c r="N215" s="30"/>
      <c r="O215" s="30"/>
      <c r="P215" s="30"/>
      <c r="Q215" s="156">
        <f>+P254</f>
        <v>78</v>
      </c>
      <c r="R215" s="86">
        <f>+R254</f>
        <v>12115</v>
      </c>
      <c r="S215" s="25"/>
      <c r="T215" s="80"/>
      <c r="U215" s="87"/>
      <c r="V215" s="5"/>
    </row>
    <row r="216" spans="1:22" ht="15.6" x14ac:dyDescent="0.3">
      <c r="A216" s="85"/>
      <c r="B216" s="77" t="s">
        <v>85</v>
      </c>
      <c r="C216" s="54"/>
      <c r="D216" s="54"/>
      <c r="E216" s="54"/>
      <c r="F216" s="25"/>
      <c r="G216" s="25"/>
      <c r="H216" s="30"/>
      <c r="I216" s="30"/>
      <c r="J216" s="30"/>
      <c r="K216" s="30"/>
      <c r="L216" s="30"/>
      <c r="M216" s="30"/>
      <c r="N216" s="30"/>
      <c r="O216" s="30"/>
      <c r="P216" s="30"/>
      <c r="Q216" s="156">
        <f>+P266</f>
        <v>0</v>
      </c>
      <c r="R216" s="172">
        <f>+R266</f>
        <v>0</v>
      </c>
      <c r="S216" s="25"/>
      <c r="T216" s="80"/>
      <c r="U216" s="87"/>
      <c r="V216" s="5"/>
    </row>
    <row r="217" spans="1:22" ht="15.6" x14ac:dyDescent="0.3">
      <c r="A217" s="85"/>
      <c r="B217" s="123" t="s">
        <v>86</v>
      </c>
      <c r="C217" s="54"/>
      <c r="D217" s="54"/>
      <c r="E217" s="54"/>
      <c r="F217" s="25"/>
      <c r="G217" s="25"/>
      <c r="H217" s="25"/>
      <c r="I217" s="25"/>
      <c r="J217" s="25"/>
      <c r="K217" s="25"/>
      <c r="L217" s="25"/>
      <c r="M217" s="25"/>
      <c r="N217" s="25"/>
      <c r="O217" s="25"/>
      <c r="P217" s="25"/>
      <c r="Q217" s="25"/>
      <c r="R217" s="86">
        <v>0</v>
      </c>
      <c r="S217" s="25"/>
      <c r="T217" s="80"/>
      <c r="U217" s="87"/>
      <c r="V217" s="5"/>
    </row>
    <row r="218" spans="1:22" ht="15.6" x14ac:dyDescent="0.3">
      <c r="A218" s="85"/>
      <c r="B218" s="123" t="s">
        <v>87</v>
      </c>
      <c r="C218" s="54"/>
      <c r="D218" s="54"/>
      <c r="E218" s="54"/>
      <c r="F218" s="25"/>
      <c r="G218" s="25"/>
      <c r="H218" s="25"/>
      <c r="I218" s="25"/>
      <c r="J218" s="25"/>
      <c r="K218" s="25"/>
      <c r="L218" s="25"/>
      <c r="M218" s="25"/>
      <c r="N218" s="25"/>
      <c r="O218" s="25"/>
      <c r="P218" s="25"/>
      <c r="Q218" s="25"/>
      <c r="R218" s="62" t="s">
        <v>116</v>
      </c>
      <c r="S218" s="25"/>
      <c r="T218" s="80"/>
      <c r="U218" s="87"/>
      <c r="V218" s="5"/>
    </row>
    <row r="219" spans="1:22" ht="15.6" x14ac:dyDescent="0.3">
      <c r="A219" s="88"/>
      <c r="B219" s="123" t="s">
        <v>88</v>
      </c>
      <c r="C219" s="77"/>
      <c r="D219" s="77"/>
      <c r="E219" s="77"/>
      <c r="F219" s="77"/>
      <c r="G219" s="25"/>
      <c r="H219" s="25"/>
      <c r="I219" s="25"/>
      <c r="J219" s="25"/>
      <c r="K219" s="25"/>
      <c r="L219" s="25"/>
      <c r="M219" s="25"/>
      <c r="N219" s="25"/>
      <c r="O219" s="25"/>
      <c r="P219" s="25"/>
      <c r="Q219" s="25"/>
      <c r="R219" s="86"/>
      <c r="S219" s="25"/>
      <c r="T219" s="80"/>
      <c r="U219" s="89"/>
      <c r="V219" s="5"/>
    </row>
    <row r="220" spans="1:22" ht="15.6" x14ac:dyDescent="0.3">
      <c r="A220" s="88"/>
      <c r="B220" s="134" t="s">
        <v>89</v>
      </c>
      <c r="C220" s="77"/>
      <c r="D220" s="77"/>
      <c r="E220" s="77"/>
      <c r="F220" s="77"/>
      <c r="G220" s="25"/>
      <c r="H220" s="25"/>
      <c r="I220" s="25"/>
      <c r="J220" s="25"/>
      <c r="K220" s="25"/>
      <c r="L220" s="25"/>
      <c r="M220" s="25"/>
      <c r="N220" s="25"/>
      <c r="O220" s="25"/>
      <c r="P220" s="25"/>
      <c r="Q220" s="30"/>
      <c r="R220" s="86">
        <f>T164</f>
        <v>332</v>
      </c>
      <c r="S220" s="25"/>
      <c r="T220" s="80"/>
      <c r="U220" s="89"/>
      <c r="V220" s="5"/>
    </row>
    <row r="221" spans="1:22" ht="15.6" x14ac:dyDescent="0.3">
      <c r="A221" s="85"/>
      <c r="B221" s="77" t="s">
        <v>90</v>
      </c>
      <c r="C221" s="54"/>
      <c r="D221" s="54"/>
      <c r="E221" s="54"/>
      <c r="F221" s="54"/>
      <c r="G221" s="25"/>
      <c r="H221" s="25"/>
      <c r="I221" s="25"/>
      <c r="J221" s="25"/>
      <c r="K221" s="25"/>
      <c r="L221" s="25"/>
      <c r="M221" s="25"/>
      <c r="N221" s="25"/>
      <c r="O221" s="25"/>
      <c r="P221" s="25"/>
      <c r="Q221" s="30"/>
      <c r="R221" s="86">
        <f>'Jan 10'!R221+'April 10'!R220</f>
        <v>1978</v>
      </c>
      <c r="S221" s="25"/>
      <c r="T221" s="80"/>
      <c r="U221" s="89"/>
      <c r="V221" s="5"/>
    </row>
    <row r="222" spans="1:22" ht="15.6" x14ac:dyDescent="0.3">
      <c r="A222" s="88"/>
      <c r="B222" s="123" t="s">
        <v>288</v>
      </c>
      <c r="C222" s="77"/>
      <c r="D222" s="77"/>
      <c r="E222" s="77"/>
      <c r="F222" s="77"/>
      <c r="G222" s="25"/>
      <c r="H222" s="25"/>
      <c r="I222" s="25"/>
      <c r="J222" s="25"/>
      <c r="K222" s="25"/>
      <c r="L222" s="25"/>
      <c r="M222" s="25"/>
      <c r="N222" s="25"/>
      <c r="O222" s="25"/>
      <c r="P222" s="25"/>
      <c r="Q222" s="30"/>
      <c r="R222" s="86"/>
      <c r="S222" s="25"/>
      <c r="T222" s="80"/>
      <c r="U222" s="89"/>
      <c r="V222" s="5"/>
    </row>
    <row r="223" spans="1:22" ht="15.6" x14ac:dyDescent="0.3">
      <c r="A223" s="88"/>
      <c r="B223" s="77" t="s">
        <v>286</v>
      </c>
      <c r="C223" s="77"/>
      <c r="D223" s="77"/>
      <c r="E223" s="77"/>
      <c r="F223" s="77"/>
      <c r="G223" s="25"/>
      <c r="H223" s="25"/>
      <c r="I223" s="25"/>
      <c r="J223" s="25"/>
      <c r="K223" s="25"/>
      <c r="L223" s="25"/>
      <c r="M223" s="25"/>
      <c r="N223" s="25"/>
      <c r="O223" s="25"/>
      <c r="P223" s="25"/>
      <c r="Q223" s="30">
        <v>0</v>
      </c>
      <c r="R223" s="172">
        <v>0</v>
      </c>
      <c r="S223" s="25"/>
      <c r="T223" s="80"/>
      <c r="U223" s="89"/>
      <c r="V223" s="5"/>
    </row>
    <row r="224" spans="1:22" ht="15.6" x14ac:dyDescent="0.3">
      <c r="A224" s="85"/>
      <c r="B224" s="77" t="s">
        <v>92</v>
      </c>
      <c r="C224" s="90"/>
      <c r="D224" s="90"/>
      <c r="E224" s="90"/>
      <c r="F224" s="91"/>
      <c r="G224" s="25"/>
      <c r="H224" s="25"/>
      <c r="I224" s="25"/>
      <c r="J224" s="25"/>
      <c r="K224" s="25"/>
      <c r="L224" s="25"/>
      <c r="M224" s="25"/>
      <c r="N224" s="25"/>
      <c r="O224" s="25"/>
      <c r="P224" s="25"/>
      <c r="Q224" s="30"/>
      <c r="R224" s="173">
        <v>0</v>
      </c>
      <c r="S224" s="25"/>
      <c r="T224" s="80"/>
      <c r="U224" s="89"/>
      <c r="V224" s="5"/>
    </row>
    <row r="225" spans="1:23" ht="15.6" x14ac:dyDescent="0.3">
      <c r="A225" s="85"/>
      <c r="B225" s="77" t="s">
        <v>93</v>
      </c>
      <c r="C225" s="90"/>
      <c r="D225" s="90"/>
      <c r="E225" s="90"/>
      <c r="F225" s="91"/>
      <c r="G225" s="25"/>
      <c r="H225" s="25"/>
      <c r="I225" s="25"/>
      <c r="J225" s="25"/>
      <c r="K225" s="25"/>
      <c r="L225" s="25"/>
      <c r="M225" s="25"/>
      <c r="N225" s="25"/>
      <c r="O225" s="25"/>
      <c r="P225" s="25"/>
      <c r="Q225" s="30"/>
      <c r="R225" s="173">
        <v>0</v>
      </c>
      <c r="S225" s="25"/>
      <c r="T225" s="80"/>
      <c r="U225" s="89"/>
      <c r="V225" s="5"/>
    </row>
    <row r="226" spans="1:23" ht="15.6" x14ac:dyDescent="0.3">
      <c r="A226" s="85"/>
      <c r="B226" s="123" t="s">
        <v>258</v>
      </c>
      <c r="C226" s="90"/>
      <c r="D226" s="90"/>
      <c r="E226" s="90"/>
      <c r="F226" s="91"/>
      <c r="G226" s="25"/>
      <c r="H226" s="25"/>
      <c r="I226" s="25"/>
      <c r="J226" s="25"/>
      <c r="K226" s="25"/>
      <c r="L226" s="25"/>
      <c r="M226" s="25"/>
      <c r="N226" s="25"/>
      <c r="O226" s="25"/>
      <c r="P226" s="25"/>
      <c r="Q226" s="30"/>
      <c r="R226" s="174"/>
      <c r="S226" s="25"/>
      <c r="T226" s="80"/>
      <c r="U226" s="89"/>
      <c r="V226" s="5"/>
    </row>
    <row r="227" spans="1:23" ht="15.6" x14ac:dyDescent="0.3">
      <c r="A227" s="85"/>
      <c r="B227" s="77" t="s">
        <v>286</v>
      </c>
      <c r="C227" s="90"/>
      <c r="D227" s="90"/>
      <c r="E227" s="90"/>
      <c r="F227" s="91"/>
      <c r="G227" s="25"/>
      <c r="H227" s="25"/>
      <c r="I227" s="25"/>
      <c r="J227" s="25"/>
      <c r="K227" s="25"/>
      <c r="L227" s="25"/>
      <c r="M227" s="25"/>
      <c r="N227" s="25"/>
      <c r="O227" s="25"/>
      <c r="P227" s="25"/>
      <c r="Q227" s="30">
        <v>5</v>
      </c>
      <c r="R227" s="172">
        <v>913</v>
      </c>
      <c r="S227" s="25"/>
      <c r="T227" s="80"/>
      <c r="U227" s="89"/>
      <c r="V227" s="5"/>
    </row>
    <row r="228" spans="1:23" ht="15.6" x14ac:dyDescent="0.3">
      <c r="A228" s="85"/>
      <c r="B228" s="77" t="s">
        <v>259</v>
      </c>
      <c r="C228" s="90"/>
      <c r="D228" s="90"/>
      <c r="E228" s="90"/>
      <c r="F228" s="91"/>
      <c r="G228" s="25"/>
      <c r="H228" s="25"/>
      <c r="I228" s="25"/>
      <c r="J228" s="25"/>
      <c r="K228" s="25"/>
      <c r="L228" s="25"/>
      <c r="M228" s="25"/>
      <c r="N228" s="25"/>
      <c r="O228" s="25"/>
      <c r="P228" s="25"/>
      <c r="Q228" s="25"/>
      <c r="R228" s="173">
        <v>12.07</v>
      </c>
      <c r="S228" s="25"/>
      <c r="T228" s="80"/>
      <c r="U228" s="89"/>
      <c r="V228" s="5"/>
    </row>
    <row r="229" spans="1:23" ht="15.6" x14ac:dyDescent="0.3">
      <c r="A229" s="85"/>
      <c r="B229" s="77"/>
      <c r="C229" s="90"/>
      <c r="D229" s="90"/>
      <c r="E229" s="90"/>
      <c r="F229" s="91"/>
      <c r="G229" s="25"/>
      <c r="H229" s="25"/>
      <c r="I229" s="25"/>
      <c r="J229" s="25"/>
      <c r="K229" s="25"/>
      <c r="L229" s="25"/>
      <c r="M229" s="25"/>
      <c r="N229" s="25"/>
      <c r="O229" s="25"/>
      <c r="P229" s="25"/>
      <c r="Q229" s="25"/>
      <c r="R229" s="92"/>
      <c r="S229" s="25"/>
      <c r="T229" s="80"/>
      <c r="U229" s="89"/>
      <c r="V229" s="5"/>
    </row>
    <row r="230" spans="1:23" ht="17.399999999999999" x14ac:dyDescent="0.3">
      <c r="A230" s="85"/>
      <c r="B230" s="153" t="s">
        <v>208</v>
      </c>
      <c r="C230" s="90"/>
      <c r="D230" s="90"/>
      <c r="E230" s="90"/>
      <c r="F230" s="91"/>
      <c r="G230" s="25"/>
      <c r="H230" s="25"/>
      <c r="I230" s="25"/>
      <c r="J230" s="25"/>
      <c r="K230" s="25"/>
      <c r="L230" s="25"/>
      <c r="M230" s="25"/>
      <c r="N230" s="154" t="s">
        <v>207</v>
      </c>
      <c r="O230" s="25"/>
      <c r="P230" s="25"/>
      <c r="Q230" s="25"/>
      <c r="R230" s="92"/>
      <c r="S230" s="25"/>
      <c r="T230" s="80"/>
      <c r="U230" s="89"/>
      <c r="V230" s="5"/>
    </row>
    <row r="231" spans="1:23" ht="15.6" x14ac:dyDescent="0.3">
      <c r="A231" s="85"/>
      <c r="B231" s="77"/>
      <c r="C231" s="90"/>
      <c r="D231" s="90"/>
      <c r="E231" s="90"/>
      <c r="F231" s="91"/>
      <c r="G231" s="25"/>
      <c r="H231" s="25"/>
      <c r="I231" s="25"/>
      <c r="J231" s="25"/>
      <c r="K231" s="25"/>
      <c r="L231" s="25"/>
      <c r="M231" s="25"/>
      <c r="N231" s="25"/>
      <c r="O231" s="25"/>
      <c r="P231" s="25"/>
      <c r="Q231" s="25"/>
      <c r="R231" s="92"/>
      <c r="S231" s="25"/>
      <c r="T231" s="80"/>
      <c r="U231" s="89"/>
      <c r="V231" s="5"/>
    </row>
    <row r="232" spans="1:23" ht="15.6" x14ac:dyDescent="0.3">
      <c r="A232" s="6"/>
      <c r="B232" s="14" t="s">
        <v>177</v>
      </c>
      <c r="C232" s="82"/>
      <c r="D232" s="82"/>
      <c r="E232" s="82"/>
      <c r="F232" s="83"/>
      <c r="G232" s="82"/>
      <c r="H232" s="17"/>
      <c r="I232" s="17"/>
      <c r="J232" s="17"/>
      <c r="K232" s="17"/>
      <c r="L232" s="17"/>
      <c r="M232" s="17"/>
      <c r="N232" s="17"/>
      <c r="O232" s="17"/>
      <c r="P232" s="84" t="s">
        <v>108</v>
      </c>
      <c r="Q232" s="17" t="s">
        <v>109</v>
      </c>
      <c r="R232" s="84" t="s">
        <v>117</v>
      </c>
      <c r="S232" s="17" t="s">
        <v>109</v>
      </c>
      <c r="T232" s="8"/>
      <c r="U232" s="93"/>
      <c r="V232" s="5"/>
    </row>
    <row r="233" spans="1:23" ht="15.6" x14ac:dyDescent="0.3">
      <c r="A233" s="24"/>
      <c r="B233" s="54" t="s">
        <v>94</v>
      </c>
      <c r="C233" s="94"/>
      <c r="D233" s="94"/>
      <c r="E233" s="94"/>
      <c r="F233" s="25"/>
      <c r="G233" s="94"/>
      <c r="H233" s="94"/>
      <c r="I233" s="94"/>
      <c r="J233" s="94"/>
      <c r="K233" s="94"/>
      <c r="L233" s="94"/>
      <c r="M233" s="94"/>
      <c r="N233" s="94"/>
      <c r="O233" s="94"/>
      <c r="P233" s="54">
        <v>2647</v>
      </c>
      <c r="Q233" s="95">
        <f t="shared" ref="Q233:Q240" si="1">P233/$P$242</f>
        <v>0.99138576779026222</v>
      </c>
      <c r="R233" s="53">
        <v>313276</v>
      </c>
      <c r="S233" s="135">
        <f t="shared" ref="S233:S240" si="2">R233/$R$242</f>
        <v>0.9891291649695787</v>
      </c>
      <c r="T233" s="80"/>
      <c r="U233" s="89"/>
      <c r="V233" s="5"/>
    </row>
    <row r="234" spans="1:23" ht="15.6" x14ac:dyDescent="0.3">
      <c r="A234" s="24"/>
      <c r="B234" s="54" t="s">
        <v>95</v>
      </c>
      <c r="C234" s="94"/>
      <c r="D234" s="94"/>
      <c r="E234" s="94"/>
      <c r="F234" s="25"/>
      <c r="G234" s="95"/>
      <c r="H234" s="94"/>
      <c r="I234" s="94"/>
      <c r="J234" s="94"/>
      <c r="K234" s="94"/>
      <c r="L234" s="94"/>
      <c r="M234" s="94"/>
      <c r="N234" s="94"/>
      <c r="O234" s="94"/>
      <c r="P234" s="54">
        <v>17</v>
      </c>
      <c r="Q234" s="95">
        <f t="shared" si="1"/>
        <v>6.3670411985018724E-3</v>
      </c>
      <c r="R234" s="53">
        <v>2667</v>
      </c>
      <c r="S234" s="135">
        <f t="shared" si="2"/>
        <v>8.4207136294317669E-3</v>
      </c>
      <c r="T234" s="80"/>
      <c r="U234" s="89"/>
      <c r="V234" s="5"/>
      <c r="W234" s="110"/>
    </row>
    <row r="235" spans="1:23" ht="15.6" x14ac:dyDescent="0.3">
      <c r="A235" s="24"/>
      <c r="B235" s="54" t="s">
        <v>96</v>
      </c>
      <c r="C235" s="94"/>
      <c r="D235" s="94"/>
      <c r="E235" s="94"/>
      <c r="F235" s="25"/>
      <c r="G235" s="95"/>
      <c r="H235" s="94"/>
      <c r="I235" s="94"/>
      <c r="J235" s="94"/>
      <c r="K235" s="94"/>
      <c r="L235" s="94"/>
      <c r="M235" s="94"/>
      <c r="N235" s="94"/>
      <c r="O235" s="94"/>
      <c r="P235" s="54">
        <v>3</v>
      </c>
      <c r="Q235" s="95">
        <f t="shared" si="1"/>
        <v>1.1235955056179776E-3</v>
      </c>
      <c r="R235" s="53">
        <v>388</v>
      </c>
      <c r="S235" s="135">
        <f t="shared" si="2"/>
        <v>1.2250607004947603E-3</v>
      </c>
      <c r="T235" s="80"/>
      <c r="U235" s="89"/>
      <c r="V235" s="5"/>
    </row>
    <row r="236" spans="1:23" ht="15.6" x14ac:dyDescent="0.3">
      <c r="A236" s="24"/>
      <c r="B236" s="54" t="s">
        <v>171</v>
      </c>
      <c r="C236" s="94"/>
      <c r="D236" s="94"/>
      <c r="E236" s="94"/>
      <c r="F236" s="25"/>
      <c r="G236" s="95"/>
      <c r="H236" s="94"/>
      <c r="I236" s="94"/>
      <c r="J236" s="94"/>
      <c r="K236" s="94"/>
      <c r="L236" s="94"/>
      <c r="M236" s="94"/>
      <c r="N236" s="94"/>
      <c r="O236" s="94"/>
      <c r="P236" s="54">
        <v>0</v>
      </c>
      <c r="Q236" s="95">
        <f t="shared" si="1"/>
        <v>0</v>
      </c>
      <c r="R236" s="53">
        <v>0</v>
      </c>
      <c r="S236" s="135">
        <f t="shared" si="2"/>
        <v>0</v>
      </c>
      <c r="T236" s="80"/>
      <c r="U236" s="89"/>
      <c r="V236" s="5"/>
      <c r="W236" s="110"/>
    </row>
    <row r="237" spans="1:23" ht="15.6" x14ac:dyDescent="0.3">
      <c r="A237" s="24"/>
      <c r="B237" s="54" t="s">
        <v>172</v>
      </c>
      <c r="C237" s="94"/>
      <c r="D237" s="94"/>
      <c r="E237" s="94"/>
      <c r="F237" s="25"/>
      <c r="G237" s="95"/>
      <c r="H237" s="94"/>
      <c r="I237" s="94"/>
      <c r="J237" s="94"/>
      <c r="K237" s="94"/>
      <c r="L237" s="94"/>
      <c r="M237" s="94"/>
      <c r="N237" s="94"/>
      <c r="O237" s="94"/>
      <c r="P237" s="54">
        <v>0</v>
      </c>
      <c r="Q237" s="95">
        <f t="shared" si="1"/>
        <v>0</v>
      </c>
      <c r="R237" s="53">
        <v>0</v>
      </c>
      <c r="S237" s="135">
        <f t="shared" si="2"/>
        <v>0</v>
      </c>
      <c r="T237" s="80"/>
      <c r="U237" s="89"/>
      <c r="V237" s="5"/>
    </row>
    <row r="238" spans="1:23" ht="15.6" x14ac:dyDescent="0.3">
      <c r="A238" s="24"/>
      <c r="B238" s="54" t="s">
        <v>173</v>
      </c>
      <c r="C238" s="94"/>
      <c r="D238" s="94"/>
      <c r="E238" s="94"/>
      <c r="F238" s="25"/>
      <c r="G238" s="95"/>
      <c r="H238" s="94"/>
      <c r="I238" s="94"/>
      <c r="J238" s="94"/>
      <c r="K238" s="94"/>
      <c r="L238" s="94"/>
      <c r="M238" s="94"/>
      <c r="N238" s="94"/>
      <c r="O238" s="94"/>
      <c r="P238" s="54">
        <v>1</v>
      </c>
      <c r="Q238" s="95">
        <f t="shared" si="1"/>
        <v>3.7453183520599252E-4</v>
      </c>
      <c r="R238" s="53">
        <v>17</v>
      </c>
      <c r="S238" s="135">
        <f t="shared" si="2"/>
        <v>5.3675339970131254E-5</v>
      </c>
      <c r="T238" s="80"/>
      <c r="U238" s="89"/>
      <c r="V238" s="5"/>
      <c r="W238" s="110"/>
    </row>
    <row r="239" spans="1:23" ht="15.6" x14ac:dyDescent="0.3">
      <c r="A239" s="24"/>
      <c r="B239" s="54" t="s">
        <v>174</v>
      </c>
      <c r="C239" s="94"/>
      <c r="D239" s="94"/>
      <c r="E239" s="94"/>
      <c r="F239" s="25"/>
      <c r="G239" s="95"/>
      <c r="H239" s="94"/>
      <c r="I239" s="94"/>
      <c r="J239" s="94"/>
      <c r="K239" s="94"/>
      <c r="L239" s="94"/>
      <c r="M239" s="94"/>
      <c r="N239" s="94"/>
      <c r="O239" s="94"/>
      <c r="P239" s="54">
        <v>0</v>
      </c>
      <c r="Q239" s="95">
        <f t="shared" si="1"/>
        <v>0</v>
      </c>
      <c r="R239" s="53">
        <v>0</v>
      </c>
      <c r="S239" s="135">
        <f t="shared" si="2"/>
        <v>0</v>
      </c>
      <c r="T239" s="80"/>
      <c r="U239" s="89"/>
      <c r="V239" s="5"/>
    </row>
    <row r="240" spans="1:23" ht="15.6" x14ac:dyDescent="0.3">
      <c r="A240" s="24"/>
      <c r="B240" s="54" t="s">
        <v>175</v>
      </c>
      <c r="C240" s="94"/>
      <c r="D240" s="94"/>
      <c r="E240" s="94"/>
      <c r="F240" s="25"/>
      <c r="G240" s="95"/>
      <c r="H240" s="94"/>
      <c r="I240" s="94"/>
      <c r="J240" s="94"/>
      <c r="K240" s="94"/>
      <c r="L240" s="94"/>
      <c r="M240" s="94"/>
      <c r="N240" s="94"/>
      <c r="O240" s="94"/>
      <c r="P240" s="54">
        <v>2</v>
      </c>
      <c r="Q240" s="95">
        <f t="shared" si="1"/>
        <v>7.4906367041198505E-4</v>
      </c>
      <c r="R240" s="53">
        <v>371</v>
      </c>
      <c r="S240" s="135">
        <f t="shared" si="2"/>
        <v>1.1713853605246291E-3</v>
      </c>
      <c r="T240" s="80"/>
      <c r="U240" s="89"/>
      <c r="V240" s="5"/>
      <c r="W240" s="110"/>
    </row>
    <row r="241" spans="1:22" ht="15.6" x14ac:dyDescent="0.3">
      <c r="A241" s="24"/>
      <c r="B241" s="54"/>
      <c r="C241" s="94"/>
      <c r="D241" s="94"/>
      <c r="E241" s="94"/>
      <c r="F241" s="25"/>
      <c r="G241" s="95"/>
      <c r="H241" s="94"/>
      <c r="I241" s="94"/>
      <c r="J241" s="94"/>
      <c r="K241" s="94"/>
      <c r="L241" s="94"/>
      <c r="M241" s="94"/>
      <c r="N241" s="94"/>
      <c r="O241" s="94"/>
      <c r="P241" s="54"/>
      <c r="Q241" s="95"/>
      <c r="R241" s="53"/>
      <c r="S241" s="135"/>
      <c r="T241" s="80"/>
      <c r="U241" s="89"/>
      <c r="V241" s="5"/>
    </row>
    <row r="242" spans="1:22" ht="15.6" x14ac:dyDescent="0.3">
      <c r="A242" s="24"/>
      <c r="B242" s="25"/>
      <c r="C242" s="25"/>
      <c r="D242" s="25"/>
      <c r="E242" s="25"/>
      <c r="F242" s="25"/>
      <c r="G242" s="25"/>
      <c r="H242" s="96"/>
      <c r="I242" s="96"/>
      <c r="J242" s="96"/>
      <c r="K242" s="96"/>
      <c r="L242" s="96"/>
      <c r="M242" s="96"/>
      <c r="N242" s="96"/>
      <c r="O242" s="96"/>
      <c r="P242" s="34">
        <f>SUM(P233:P241)</f>
        <v>2670</v>
      </c>
      <c r="Q242" s="135">
        <f>SUM(Q233:Q241)</f>
        <v>1</v>
      </c>
      <c r="R242" s="53">
        <f>SUM(R233:R241)</f>
        <v>316719</v>
      </c>
      <c r="S242" s="135">
        <f>SUM(S233:S241)</f>
        <v>1</v>
      </c>
      <c r="T242" s="25"/>
      <c r="U242" s="25"/>
      <c r="V242" s="5"/>
    </row>
    <row r="243" spans="1:22" ht="15.6" x14ac:dyDescent="0.3">
      <c r="A243" s="24"/>
      <c r="B243" s="25"/>
      <c r="C243" s="25"/>
      <c r="D243" s="25"/>
      <c r="E243" s="25"/>
      <c r="F243" s="25"/>
      <c r="G243" s="25"/>
      <c r="H243" s="96"/>
      <c r="I243" s="96"/>
      <c r="J243" s="96"/>
      <c r="K243" s="96"/>
      <c r="L243" s="96"/>
      <c r="M243" s="96"/>
      <c r="N243" s="96"/>
      <c r="O243" s="96"/>
      <c r="P243" s="34"/>
      <c r="Q243" s="135"/>
      <c r="R243" s="53"/>
      <c r="S243" s="135"/>
      <c r="T243" s="25"/>
      <c r="U243" s="25"/>
      <c r="V243" s="5"/>
    </row>
    <row r="244" spans="1:22" ht="15.6" x14ac:dyDescent="0.3">
      <c r="A244" s="144"/>
      <c r="B244" s="14" t="s">
        <v>279</v>
      </c>
      <c r="C244" s="82"/>
      <c r="D244" s="82"/>
      <c r="E244" s="82"/>
      <c r="F244" s="83"/>
      <c r="G244" s="82"/>
      <c r="H244" s="17"/>
      <c r="I244" s="17"/>
      <c r="J244" s="17"/>
      <c r="K244" s="17"/>
      <c r="L244" s="17"/>
      <c r="M244" s="17"/>
      <c r="N244" s="17"/>
      <c r="O244" s="17"/>
      <c r="P244" s="84" t="s">
        <v>108</v>
      </c>
      <c r="Q244" s="17" t="s">
        <v>109</v>
      </c>
      <c r="R244" s="84" t="s">
        <v>117</v>
      </c>
      <c r="S244" s="17" t="s">
        <v>109</v>
      </c>
      <c r="T244" s="142"/>
      <c r="U244" s="143"/>
      <c r="V244" s="5"/>
    </row>
    <row r="245" spans="1:22" ht="15.6" x14ac:dyDescent="0.3">
      <c r="A245" s="24"/>
      <c r="B245" s="54" t="s">
        <v>94</v>
      </c>
      <c r="C245" s="94"/>
      <c r="D245" s="94"/>
      <c r="E245" s="94"/>
      <c r="F245" s="25"/>
      <c r="G245" s="94"/>
      <c r="H245" s="94"/>
      <c r="I245" s="94"/>
      <c r="J245" s="94"/>
      <c r="K245" s="94"/>
      <c r="L245" s="94"/>
      <c r="M245" s="94"/>
      <c r="N245" s="94"/>
      <c r="O245" s="94"/>
      <c r="P245" s="54">
        <v>44</v>
      </c>
      <c r="Q245" s="95">
        <f t="shared" ref="Q245:Q252" si="3">P245/$P$254</f>
        <v>0.5641025641025641</v>
      </c>
      <c r="R245" s="53">
        <v>6853</v>
      </c>
      <c r="S245" s="135">
        <f t="shared" ref="S245:S252" si="4">R245/$R$254</f>
        <v>0.56566240198101525</v>
      </c>
      <c r="T245" s="25"/>
      <c r="U245" s="25"/>
      <c r="V245" s="5"/>
    </row>
    <row r="246" spans="1:22" ht="15.6" x14ac:dyDescent="0.3">
      <c r="A246" s="24"/>
      <c r="B246" s="54" t="s">
        <v>95</v>
      </c>
      <c r="C246" s="94"/>
      <c r="D246" s="94"/>
      <c r="E246" s="94"/>
      <c r="F246" s="25"/>
      <c r="G246" s="95"/>
      <c r="H246" s="94"/>
      <c r="I246" s="94"/>
      <c r="J246" s="94"/>
      <c r="K246" s="94"/>
      <c r="L246" s="94"/>
      <c r="M246" s="94"/>
      <c r="N246" s="94"/>
      <c r="O246" s="94"/>
      <c r="P246" s="54">
        <v>2</v>
      </c>
      <c r="Q246" s="95">
        <f t="shared" si="3"/>
        <v>2.564102564102564E-2</v>
      </c>
      <c r="R246" s="53">
        <v>297</v>
      </c>
      <c r="S246" s="135">
        <f t="shared" si="4"/>
        <v>2.4515063970284769E-2</v>
      </c>
      <c r="T246" s="25"/>
      <c r="U246" s="25"/>
      <c r="V246" s="5"/>
    </row>
    <row r="247" spans="1:22" ht="15.6" x14ac:dyDescent="0.3">
      <c r="A247" s="24"/>
      <c r="B247" s="54" t="s">
        <v>96</v>
      </c>
      <c r="C247" s="94"/>
      <c r="D247" s="94"/>
      <c r="E247" s="94"/>
      <c r="F247" s="25"/>
      <c r="G247" s="95"/>
      <c r="H247" s="94"/>
      <c r="I247" s="94"/>
      <c r="J247" s="94"/>
      <c r="K247" s="94"/>
      <c r="L247" s="94"/>
      <c r="M247" s="94"/>
      <c r="N247" s="94"/>
      <c r="O247" s="94"/>
      <c r="P247" s="54">
        <v>5</v>
      </c>
      <c r="Q247" s="95">
        <f t="shared" si="3"/>
        <v>6.4102564102564097E-2</v>
      </c>
      <c r="R247" s="53">
        <v>700</v>
      </c>
      <c r="S247" s="135">
        <f t="shared" si="4"/>
        <v>5.7779612051176231E-2</v>
      </c>
      <c r="T247" s="25"/>
      <c r="U247" s="25"/>
      <c r="V247" s="5"/>
    </row>
    <row r="248" spans="1:22" ht="15.6" x14ac:dyDescent="0.3">
      <c r="A248" s="24"/>
      <c r="B248" s="54" t="s">
        <v>171</v>
      </c>
      <c r="C248" s="94"/>
      <c r="D248" s="94"/>
      <c r="E248" s="94"/>
      <c r="F248" s="25"/>
      <c r="G248" s="95"/>
      <c r="H248" s="94"/>
      <c r="I248" s="94"/>
      <c r="J248" s="94"/>
      <c r="K248" s="94"/>
      <c r="L248" s="94"/>
      <c r="M248" s="94"/>
      <c r="N248" s="94"/>
      <c r="O248" s="94"/>
      <c r="P248" s="54">
        <v>3</v>
      </c>
      <c r="Q248" s="95">
        <f t="shared" si="3"/>
        <v>3.8461538461538464E-2</v>
      </c>
      <c r="R248" s="53">
        <v>289</v>
      </c>
      <c r="S248" s="135">
        <f t="shared" si="4"/>
        <v>2.3854725546842755E-2</v>
      </c>
      <c r="T248" s="25"/>
      <c r="U248" s="25"/>
      <c r="V248" s="5"/>
    </row>
    <row r="249" spans="1:22" ht="15.6" x14ac:dyDescent="0.3">
      <c r="A249" s="24"/>
      <c r="B249" s="54" t="s">
        <v>172</v>
      </c>
      <c r="C249" s="94"/>
      <c r="D249" s="94"/>
      <c r="E249" s="94"/>
      <c r="F249" s="25"/>
      <c r="G249" s="95"/>
      <c r="H249" s="94"/>
      <c r="I249" s="94"/>
      <c r="J249" s="94"/>
      <c r="K249" s="94"/>
      <c r="L249" s="94"/>
      <c r="M249" s="94"/>
      <c r="N249" s="94"/>
      <c r="O249" s="94"/>
      <c r="P249" s="54">
        <v>3</v>
      </c>
      <c r="Q249" s="95">
        <f t="shared" si="3"/>
        <v>3.8461538461538464E-2</v>
      </c>
      <c r="R249" s="53">
        <v>363</v>
      </c>
      <c r="S249" s="135">
        <f t="shared" si="4"/>
        <v>2.9962855963681388E-2</v>
      </c>
      <c r="T249" s="25"/>
      <c r="U249" s="25"/>
      <c r="V249" s="5"/>
    </row>
    <row r="250" spans="1:22" ht="15.6" x14ac:dyDescent="0.3">
      <c r="A250" s="24"/>
      <c r="B250" s="54" t="s">
        <v>173</v>
      </c>
      <c r="C250" s="94"/>
      <c r="D250" s="94"/>
      <c r="E250" s="94"/>
      <c r="F250" s="25"/>
      <c r="G250" s="95"/>
      <c r="H250" s="94"/>
      <c r="I250" s="94"/>
      <c r="J250" s="94"/>
      <c r="K250" s="94"/>
      <c r="L250" s="94"/>
      <c r="M250" s="94"/>
      <c r="N250" s="94"/>
      <c r="O250" s="94"/>
      <c r="P250" s="54">
        <v>0</v>
      </c>
      <c r="Q250" s="95">
        <f t="shared" si="3"/>
        <v>0</v>
      </c>
      <c r="R250" s="53">
        <v>0</v>
      </c>
      <c r="S250" s="135">
        <f t="shared" si="4"/>
        <v>0</v>
      </c>
      <c r="T250" s="25"/>
      <c r="U250" s="25"/>
      <c r="V250" s="5"/>
    </row>
    <row r="251" spans="1:22" ht="15.6" x14ac:dyDescent="0.3">
      <c r="A251" s="24"/>
      <c r="B251" s="54" t="s">
        <v>174</v>
      </c>
      <c r="C251" s="94"/>
      <c r="D251" s="94"/>
      <c r="E251" s="94"/>
      <c r="F251" s="25"/>
      <c r="G251" s="95"/>
      <c r="H251" s="94"/>
      <c r="I251" s="94"/>
      <c r="J251" s="94"/>
      <c r="K251" s="94"/>
      <c r="L251" s="94"/>
      <c r="M251" s="94"/>
      <c r="N251" s="94"/>
      <c r="O251" s="94"/>
      <c r="P251" s="54">
        <v>5</v>
      </c>
      <c r="Q251" s="95">
        <f t="shared" si="3"/>
        <v>6.4102564102564097E-2</v>
      </c>
      <c r="R251" s="53">
        <v>744</v>
      </c>
      <c r="S251" s="135">
        <f t="shared" si="4"/>
        <v>6.1411473380107308E-2</v>
      </c>
      <c r="T251" s="25"/>
      <c r="U251" s="25"/>
      <c r="V251" s="5"/>
    </row>
    <row r="252" spans="1:22" ht="15.6" x14ac:dyDescent="0.3">
      <c r="A252" s="24"/>
      <c r="B252" s="54" t="s">
        <v>175</v>
      </c>
      <c r="C252" s="94"/>
      <c r="D252" s="94"/>
      <c r="E252" s="94"/>
      <c r="F252" s="25"/>
      <c r="G252" s="95"/>
      <c r="H252" s="94"/>
      <c r="I252" s="94"/>
      <c r="J252" s="94"/>
      <c r="K252" s="94"/>
      <c r="L252" s="94"/>
      <c r="M252" s="94"/>
      <c r="N252" s="94"/>
      <c r="O252" s="94"/>
      <c r="P252" s="54">
        <v>16</v>
      </c>
      <c r="Q252" s="95">
        <f t="shared" si="3"/>
        <v>0.20512820512820512</v>
      </c>
      <c r="R252" s="53">
        <v>2869</v>
      </c>
      <c r="S252" s="135">
        <f t="shared" si="4"/>
        <v>0.23681386710689228</v>
      </c>
      <c r="T252" s="25"/>
      <c r="U252" s="25"/>
      <c r="V252" s="5"/>
    </row>
    <row r="253" spans="1:22" ht="15.6" x14ac:dyDescent="0.3">
      <c r="A253" s="24"/>
      <c r="B253" s="54"/>
      <c r="C253" s="94"/>
      <c r="D253" s="94"/>
      <c r="E253" s="94"/>
      <c r="F253" s="25"/>
      <c r="G253" s="95"/>
      <c r="H253" s="94"/>
      <c r="I253" s="94"/>
      <c r="J253" s="94"/>
      <c r="K253" s="94"/>
      <c r="L253" s="94"/>
      <c r="M253" s="94"/>
      <c r="N253" s="94"/>
      <c r="O253" s="94"/>
      <c r="P253" s="54"/>
      <c r="Q253" s="95"/>
      <c r="R253" s="53"/>
      <c r="S253" s="135"/>
      <c r="T253" s="25"/>
      <c r="U253" s="25"/>
      <c r="V253" s="5"/>
    </row>
    <row r="254" spans="1:22" ht="15.6" x14ac:dyDescent="0.3">
      <c r="A254" s="24"/>
      <c r="B254" s="25"/>
      <c r="C254" s="25"/>
      <c r="D254" s="25"/>
      <c r="E254" s="25"/>
      <c r="F254" s="25"/>
      <c r="G254" s="25"/>
      <c r="H254" s="96"/>
      <c r="I254" s="96"/>
      <c r="J254" s="96"/>
      <c r="K254" s="96"/>
      <c r="L254" s="96"/>
      <c r="M254" s="96"/>
      <c r="N254" s="96"/>
      <c r="O254" s="96"/>
      <c r="P254" s="34">
        <f>SUM(P245:P253)</f>
        <v>78</v>
      </c>
      <c r="Q254" s="135">
        <f>SUM(Q245:Q253)</f>
        <v>1</v>
      </c>
      <c r="R254" s="53">
        <f>SUM(R245:R253)</f>
        <v>12115</v>
      </c>
      <c r="S254" s="135">
        <f>SUM(S245:S253)</f>
        <v>1</v>
      </c>
      <c r="T254" s="25"/>
      <c r="U254" s="25"/>
      <c r="V254" s="5"/>
    </row>
    <row r="255" spans="1:22" ht="15.6" x14ac:dyDescent="0.3">
      <c r="A255" s="24"/>
      <c r="B255" s="25"/>
      <c r="C255" s="25"/>
      <c r="D255" s="25"/>
      <c r="E255" s="25"/>
      <c r="F255" s="25"/>
      <c r="G255" s="25"/>
      <c r="H255" s="96"/>
      <c r="I255" s="96"/>
      <c r="J255" s="96"/>
      <c r="K255" s="96"/>
      <c r="L255" s="96"/>
      <c r="M255" s="96"/>
      <c r="N255" s="96"/>
      <c r="O255" s="96"/>
      <c r="P255" s="34"/>
      <c r="Q255" s="135"/>
      <c r="R255" s="53"/>
      <c r="S255" s="135"/>
      <c r="T255" s="25"/>
      <c r="U255" s="25"/>
      <c r="V255" s="5"/>
    </row>
    <row r="256" spans="1:22" ht="15.6" x14ac:dyDescent="0.3">
      <c r="A256" s="144"/>
      <c r="B256" s="14" t="s">
        <v>179</v>
      </c>
      <c r="C256" s="142"/>
      <c r="D256" s="142"/>
      <c r="E256" s="142"/>
      <c r="F256" s="142"/>
      <c r="G256" s="142"/>
      <c r="H256" s="149"/>
      <c r="I256" s="149"/>
      <c r="J256" s="149"/>
      <c r="K256" s="149"/>
      <c r="L256" s="149"/>
      <c r="M256" s="149"/>
      <c r="N256" s="149"/>
      <c r="O256" s="149"/>
      <c r="P256" s="84" t="s">
        <v>108</v>
      </c>
      <c r="Q256" s="17" t="s">
        <v>109</v>
      </c>
      <c r="R256" s="84" t="s">
        <v>117</v>
      </c>
      <c r="S256" s="17" t="s">
        <v>109</v>
      </c>
      <c r="T256" s="142"/>
      <c r="U256" s="143"/>
      <c r="V256" s="5"/>
    </row>
    <row r="257" spans="1:22" ht="15.6" x14ac:dyDescent="0.3">
      <c r="A257" s="24"/>
      <c r="B257" s="54" t="s">
        <v>94</v>
      </c>
      <c r="C257" s="25"/>
      <c r="D257" s="25"/>
      <c r="E257" s="25"/>
      <c r="F257" s="25"/>
      <c r="G257" s="25"/>
      <c r="H257" s="96"/>
      <c r="I257" s="96"/>
      <c r="J257" s="96"/>
      <c r="K257" s="96"/>
      <c r="L257" s="96"/>
      <c r="M257" s="96"/>
      <c r="N257" s="96"/>
      <c r="O257" s="96"/>
      <c r="P257" s="54">
        <v>0</v>
      </c>
      <c r="Q257" s="95">
        <v>0</v>
      </c>
      <c r="R257" s="53">
        <v>0</v>
      </c>
      <c r="S257" s="95">
        <v>0</v>
      </c>
      <c r="T257" s="25"/>
      <c r="U257" s="25"/>
      <c r="V257" s="5"/>
    </row>
    <row r="258" spans="1:22" ht="15.6" x14ac:dyDescent="0.3">
      <c r="A258" s="24"/>
      <c r="B258" s="54" t="s">
        <v>95</v>
      </c>
      <c r="C258" s="25"/>
      <c r="D258" s="25"/>
      <c r="E258" s="25"/>
      <c r="F258" s="25"/>
      <c r="G258" s="25"/>
      <c r="H258" s="96"/>
      <c r="I258" s="96"/>
      <c r="J258" s="96"/>
      <c r="K258" s="96"/>
      <c r="L258" s="96"/>
      <c r="M258" s="96"/>
      <c r="N258" s="96"/>
      <c r="O258" s="96"/>
      <c r="P258" s="54">
        <v>0</v>
      </c>
      <c r="Q258" s="95">
        <v>0</v>
      </c>
      <c r="R258" s="53">
        <v>0</v>
      </c>
      <c r="S258" s="95">
        <v>0</v>
      </c>
      <c r="T258" s="25"/>
      <c r="U258" s="25"/>
      <c r="V258" s="5"/>
    </row>
    <row r="259" spans="1:22" ht="15.6" x14ac:dyDescent="0.3">
      <c r="A259" s="24"/>
      <c r="B259" s="54" t="s">
        <v>96</v>
      </c>
      <c r="C259" s="25"/>
      <c r="D259" s="25"/>
      <c r="E259" s="25"/>
      <c r="F259" s="25"/>
      <c r="G259" s="25"/>
      <c r="H259" s="96"/>
      <c r="I259" s="96"/>
      <c r="J259" s="96"/>
      <c r="K259" s="96"/>
      <c r="L259" s="96"/>
      <c r="M259" s="96"/>
      <c r="N259" s="96"/>
      <c r="O259" s="96"/>
      <c r="P259" s="54">
        <v>0</v>
      </c>
      <c r="Q259" s="95">
        <v>0</v>
      </c>
      <c r="R259" s="53">
        <v>0</v>
      </c>
      <c r="S259" s="95">
        <v>0</v>
      </c>
      <c r="T259" s="25"/>
      <c r="U259" s="25"/>
      <c r="V259" s="5"/>
    </row>
    <row r="260" spans="1:22" ht="15.6" x14ac:dyDescent="0.3">
      <c r="A260" s="24"/>
      <c r="B260" s="54" t="s">
        <v>171</v>
      </c>
      <c r="C260" s="25"/>
      <c r="D260" s="25"/>
      <c r="E260" s="25"/>
      <c r="F260" s="25"/>
      <c r="G260" s="25"/>
      <c r="H260" s="96"/>
      <c r="I260" s="96"/>
      <c r="J260" s="96"/>
      <c r="K260" s="96"/>
      <c r="L260" s="96"/>
      <c r="M260" s="96"/>
      <c r="N260" s="96"/>
      <c r="O260" s="96"/>
      <c r="P260" s="54">
        <v>0</v>
      </c>
      <c r="Q260" s="95">
        <v>0</v>
      </c>
      <c r="R260" s="53">
        <v>0</v>
      </c>
      <c r="S260" s="95">
        <v>0</v>
      </c>
      <c r="T260" s="25"/>
      <c r="U260" s="25"/>
      <c r="V260" s="5"/>
    </row>
    <row r="261" spans="1:22" ht="15.6" x14ac:dyDescent="0.3">
      <c r="A261" s="24"/>
      <c r="B261" s="54" t="s">
        <v>172</v>
      </c>
      <c r="C261" s="25"/>
      <c r="D261" s="25"/>
      <c r="E261" s="25"/>
      <c r="F261" s="25"/>
      <c r="G261" s="25"/>
      <c r="H261" s="96"/>
      <c r="I261" s="96"/>
      <c r="J261" s="96"/>
      <c r="K261" s="96"/>
      <c r="L261" s="96"/>
      <c r="M261" s="96"/>
      <c r="N261" s="96"/>
      <c r="O261" s="96"/>
      <c r="P261" s="54">
        <v>0</v>
      </c>
      <c r="Q261" s="95">
        <v>0</v>
      </c>
      <c r="R261" s="53">
        <v>0</v>
      </c>
      <c r="S261" s="95">
        <v>0</v>
      </c>
      <c r="T261" s="25"/>
      <c r="U261" s="25"/>
      <c r="V261" s="5"/>
    </row>
    <row r="262" spans="1:22" ht="15.6" x14ac:dyDescent="0.3">
      <c r="A262" s="24"/>
      <c r="B262" s="54" t="s">
        <v>173</v>
      </c>
      <c r="C262" s="25"/>
      <c r="D262" s="25"/>
      <c r="E262" s="25"/>
      <c r="F262" s="25"/>
      <c r="G262" s="25"/>
      <c r="H262" s="96"/>
      <c r="I262" s="96"/>
      <c r="J262" s="96"/>
      <c r="K262" s="96"/>
      <c r="L262" s="96"/>
      <c r="M262" s="96"/>
      <c r="N262" s="96"/>
      <c r="O262" s="96"/>
      <c r="P262" s="54">
        <v>0</v>
      </c>
      <c r="Q262" s="95">
        <v>0</v>
      </c>
      <c r="R262" s="53">
        <v>0</v>
      </c>
      <c r="S262" s="95">
        <v>0</v>
      </c>
      <c r="T262" s="25"/>
      <c r="U262" s="25"/>
      <c r="V262" s="5"/>
    </row>
    <row r="263" spans="1:22" ht="15.6" x14ac:dyDescent="0.3">
      <c r="A263" s="24"/>
      <c r="B263" s="54" t="s">
        <v>174</v>
      </c>
      <c r="C263" s="25"/>
      <c r="D263" s="25"/>
      <c r="E263" s="25"/>
      <c r="F263" s="25"/>
      <c r="G263" s="25"/>
      <c r="H263" s="96"/>
      <c r="I263" s="96"/>
      <c r="J263" s="96"/>
      <c r="K263" s="96"/>
      <c r="L263" s="96"/>
      <c r="M263" s="96"/>
      <c r="N263" s="96"/>
      <c r="O263" s="96"/>
      <c r="P263" s="54">
        <v>0</v>
      </c>
      <c r="Q263" s="95">
        <v>0</v>
      </c>
      <c r="R263" s="53">
        <v>0</v>
      </c>
      <c r="S263" s="95">
        <v>0</v>
      </c>
      <c r="T263" s="25"/>
      <c r="U263" s="25"/>
      <c r="V263" s="5"/>
    </row>
    <row r="264" spans="1:22" ht="15.6" x14ac:dyDescent="0.3">
      <c r="A264" s="24"/>
      <c r="B264" s="54" t="s">
        <v>175</v>
      </c>
      <c r="C264" s="25"/>
      <c r="D264" s="25"/>
      <c r="E264" s="25"/>
      <c r="F264" s="25"/>
      <c r="G264" s="25"/>
      <c r="H264" s="96"/>
      <c r="I264" s="96"/>
      <c r="J264" s="96"/>
      <c r="K264" s="96"/>
      <c r="L264" s="96"/>
      <c r="M264" s="96"/>
      <c r="N264" s="96"/>
      <c r="O264" s="96"/>
      <c r="P264" s="34">
        <v>0</v>
      </c>
      <c r="Q264" s="135">
        <v>0</v>
      </c>
      <c r="R264" s="171">
        <v>0</v>
      </c>
      <c r="S264" s="95">
        <v>0</v>
      </c>
      <c r="T264" s="25"/>
      <c r="U264" s="25"/>
      <c r="V264" s="5"/>
    </row>
    <row r="265" spans="1:22" ht="15.6" x14ac:dyDescent="0.3">
      <c r="A265" s="24"/>
      <c r="B265" s="54"/>
      <c r="C265" s="25"/>
      <c r="D265" s="25"/>
      <c r="E265" s="25"/>
      <c r="F265" s="25"/>
      <c r="G265" s="25"/>
      <c r="H265" s="96"/>
      <c r="I265" s="96"/>
      <c r="J265" s="96"/>
      <c r="K265" s="96"/>
      <c r="L265" s="96"/>
      <c r="M265" s="96"/>
      <c r="N265" s="96"/>
      <c r="O265" s="96"/>
      <c r="P265" s="54"/>
      <c r="Q265" s="95"/>
      <c r="R265" s="53"/>
      <c r="S265" s="135"/>
      <c r="T265" s="25"/>
      <c r="U265" s="25"/>
      <c r="V265" s="5"/>
    </row>
    <row r="266" spans="1:22" ht="15.6" x14ac:dyDescent="0.3">
      <c r="A266" s="24"/>
      <c r="B266" s="25" t="s">
        <v>123</v>
      </c>
      <c r="C266" s="25"/>
      <c r="D266" s="25"/>
      <c r="E266" s="25"/>
      <c r="F266" s="25"/>
      <c r="G266" s="25"/>
      <c r="H266" s="96"/>
      <c r="I266" s="96"/>
      <c r="J266" s="96"/>
      <c r="K266" s="96"/>
      <c r="L266" s="96"/>
      <c r="M266" s="96"/>
      <c r="N266" s="96"/>
      <c r="O266" s="96"/>
      <c r="P266" s="34">
        <f>SUM(P257:P264)</f>
        <v>0</v>
      </c>
      <c r="Q266" s="95">
        <f>SUM(Q257:Q264)</f>
        <v>0</v>
      </c>
      <c r="R266" s="53">
        <f>SUM(R257:R264)</f>
        <v>0</v>
      </c>
      <c r="S266" s="135">
        <f>SUM(S257:S264)</f>
        <v>0</v>
      </c>
      <c r="T266" s="25"/>
      <c r="U266" s="25"/>
      <c r="V266" s="5"/>
    </row>
    <row r="267" spans="1:22" ht="15.6" x14ac:dyDescent="0.3">
      <c r="A267" s="24"/>
      <c r="B267" s="25"/>
      <c r="C267" s="25"/>
      <c r="D267" s="25"/>
      <c r="E267" s="25"/>
      <c r="F267" s="25"/>
      <c r="G267" s="25"/>
      <c r="H267" s="96"/>
      <c r="I267" s="96"/>
      <c r="J267" s="96"/>
      <c r="K267" s="96"/>
      <c r="L267" s="96"/>
      <c r="M267" s="96"/>
      <c r="N267" s="96"/>
      <c r="O267" s="96"/>
      <c r="P267" s="34"/>
      <c r="Q267" s="135"/>
      <c r="R267" s="53"/>
      <c r="S267" s="135"/>
      <c r="T267" s="25"/>
      <c r="U267" s="25"/>
      <c r="V267" s="5"/>
    </row>
    <row r="268" spans="1:22" ht="15.6" x14ac:dyDescent="0.3">
      <c r="A268" s="24"/>
      <c r="B268" s="145" t="s">
        <v>180</v>
      </c>
      <c r="C268" s="25"/>
      <c r="D268" s="25"/>
      <c r="E268" s="25"/>
      <c r="F268" s="25"/>
      <c r="G268" s="25"/>
      <c r="H268" s="96"/>
      <c r="I268" s="96"/>
      <c r="J268" s="96"/>
      <c r="K268" s="96"/>
      <c r="L268" s="96"/>
      <c r="M268" s="96"/>
      <c r="N268" s="96"/>
      <c r="O268" s="96"/>
      <c r="P268" s="165">
        <f>+P242+P254+P266</f>
        <v>2748</v>
      </c>
      <c r="Q268" s="147"/>
      <c r="R268" s="148">
        <f>+R266+R254+R242</f>
        <v>328834</v>
      </c>
      <c r="S268" s="147"/>
      <c r="T268" s="25"/>
      <c r="U268" s="25"/>
      <c r="V268" s="5"/>
    </row>
    <row r="269" spans="1:22" ht="15.6" x14ac:dyDescent="0.3">
      <c r="A269" s="24"/>
      <c r="B269" s="25"/>
      <c r="C269" s="25"/>
      <c r="D269" s="25"/>
      <c r="E269" s="25"/>
      <c r="F269" s="25"/>
      <c r="G269" s="25"/>
      <c r="H269" s="96"/>
      <c r="I269" s="96"/>
      <c r="J269" s="96"/>
      <c r="K269" s="96"/>
      <c r="L269" s="96"/>
      <c r="M269" s="96"/>
      <c r="N269" s="96"/>
      <c r="O269" s="96"/>
      <c r="P269" s="96"/>
      <c r="Q269" s="96"/>
      <c r="R269" s="53"/>
      <c r="S269" s="96"/>
      <c r="T269" s="25"/>
      <c r="U269" s="25"/>
      <c r="V269" s="5"/>
    </row>
    <row r="270" spans="1:22" ht="15.6" x14ac:dyDescent="0.3">
      <c r="A270" s="6"/>
      <c r="B270" s="8"/>
      <c r="C270" s="8"/>
      <c r="D270" s="8"/>
      <c r="E270" s="8"/>
      <c r="F270" s="8"/>
      <c r="G270" s="8"/>
      <c r="H270" s="97"/>
      <c r="I270" s="97"/>
      <c r="J270" s="97"/>
      <c r="K270" s="97"/>
      <c r="L270" s="97"/>
      <c r="M270" s="97"/>
      <c r="N270" s="97"/>
      <c r="O270" s="97"/>
      <c r="P270" s="97"/>
      <c r="Q270" s="97"/>
      <c r="R270" s="98"/>
      <c r="S270" s="97"/>
      <c r="T270" s="8"/>
      <c r="U270" s="8"/>
      <c r="V270" s="5"/>
    </row>
    <row r="271" spans="1:22" ht="15.6" x14ac:dyDescent="0.3">
      <c r="A271" s="164"/>
      <c r="B271" s="14" t="s">
        <v>97</v>
      </c>
      <c r="C271" s="15"/>
      <c r="D271" s="15"/>
      <c r="E271" s="15"/>
      <c r="F271" s="17" t="s">
        <v>103</v>
      </c>
      <c r="G271" s="15"/>
      <c r="H271" s="14" t="s">
        <v>105</v>
      </c>
      <c r="I271" s="159"/>
      <c r="J271" s="159"/>
      <c r="K271" s="159"/>
      <c r="L271" s="159"/>
      <c r="M271" s="159"/>
      <c r="N271" s="159"/>
      <c r="O271" s="159"/>
      <c r="P271" s="159"/>
      <c r="Q271" s="159"/>
      <c r="R271" s="159"/>
      <c r="S271" s="159"/>
      <c r="T271" s="159"/>
      <c r="U271" s="159"/>
      <c r="V271" s="5"/>
    </row>
    <row r="272" spans="1:22" ht="15.6" x14ac:dyDescent="0.3">
      <c r="A272" s="164"/>
      <c r="B272" s="159"/>
      <c r="C272" s="8"/>
      <c r="D272" s="8"/>
      <c r="E272" s="8"/>
      <c r="F272" s="8"/>
      <c r="G272" s="8"/>
      <c r="H272" s="8"/>
      <c r="I272" s="159"/>
      <c r="J272" s="159"/>
      <c r="K272" s="159"/>
      <c r="L272" s="159"/>
      <c r="M272" s="159"/>
      <c r="N272" s="159"/>
      <c r="O272" s="159"/>
      <c r="P272" s="159"/>
      <c r="Q272" s="159"/>
      <c r="R272" s="159"/>
      <c r="S272" s="159"/>
      <c r="T272" s="159"/>
      <c r="U272" s="159"/>
      <c r="V272" s="5"/>
    </row>
    <row r="273" spans="1:22" ht="15.6" x14ac:dyDescent="0.3">
      <c r="A273" s="164"/>
      <c r="B273" s="13" t="s">
        <v>98</v>
      </c>
      <c r="C273" s="13"/>
      <c r="D273" s="13"/>
      <c r="E273" s="13"/>
      <c r="F273" s="133" t="s">
        <v>159</v>
      </c>
      <c r="G273" s="13"/>
      <c r="H273" s="13" t="s">
        <v>167</v>
      </c>
      <c r="I273" s="159"/>
      <c r="J273" s="159"/>
      <c r="K273" s="159"/>
      <c r="L273" s="159"/>
      <c r="M273" s="159"/>
      <c r="N273" s="159"/>
      <c r="O273" s="159"/>
      <c r="P273" s="159"/>
      <c r="Q273" s="159"/>
      <c r="R273" s="159"/>
      <c r="S273" s="159"/>
      <c r="T273" s="159"/>
      <c r="U273" s="159"/>
      <c r="V273" s="5"/>
    </row>
    <row r="274" spans="1:22" ht="15.6" x14ac:dyDescent="0.3">
      <c r="A274" s="164"/>
      <c r="B274" s="13" t="s">
        <v>273</v>
      </c>
      <c r="C274" s="13"/>
      <c r="D274" s="13"/>
      <c r="E274" s="13"/>
      <c r="F274" s="133" t="s">
        <v>274</v>
      </c>
      <c r="G274" s="13"/>
      <c r="H274" s="13" t="s">
        <v>275</v>
      </c>
      <c r="I274" s="159"/>
      <c r="J274" s="159"/>
      <c r="K274" s="159"/>
      <c r="L274" s="159"/>
      <c r="M274" s="159"/>
      <c r="N274" s="159"/>
      <c r="O274" s="159"/>
      <c r="P274" s="159"/>
      <c r="Q274" s="159"/>
      <c r="R274" s="159"/>
      <c r="S274" s="159"/>
      <c r="T274" s="159"/>
      <c r="U274" s="159"/>
      <c r="V274" s="5"/>
    </row>
    <row r="275" spans="1:22" ht="15.6" x14ac:dyDescent="0.3">
      <c r="A275" s="164"/>
      <c r="B275" s="13" t="s">
        <v>99</v>
      </c>
      <c r="C275" s="13"/>
      <c r="D275" s="13"/>
      <c r="E275" s="13"/>
      <c r="F275" s="133" t="s">
        <v>158</v>
      </c>
      <c r="G275" s="13"/>
      <c r="H275" s="13" t="s">
        <v>168</v>
      </c>
      <c r="I275" s="159"/>
      <c r="J275" s="159"/>
      <c r="K275" s="159"/>
      <c r="L275" s="159"/>
      <c r="M275" s="159"/>
      <c r="N275" s="159"/>
      <c r="O275" s="159"/>
      <c r="P275" s="159"/>
      <c r="Q275" s="159"/>
      <c r="R275" s="159"/>
      <c r="S275" s="159"/>
      <c r="T275" s="159"/>
      <c r="U275" s="159"/>
      <c r="V275" s="5"/>
    </row>
    <row r="276" spans="1:22" ht="15.6" x14ac:dyDescent="0.3">
      <c r="A276" s="164"/>
      <c r="B276" s="13"/>
      <c r="C276" s="13"/>
      <c r="D276" s="13"/>
      <c r="E276" s="13"/>
      <c r="F276" s="13"/>
      <c r="G276" s="100"/>
      <c r="H276" s="159"/>
      <c r="I276" s="159"/>
      <c r="J276" s="159"/>
      <c r="K276" s="159"/>
      <c r="L276" s="159"/>
      <c r="M276" s="159"/>
      <c r="N276" s="159"/>
      <c r="O276" s="159"/>
      <c r="P276" s="159"/>
      <c r="Q276" s="159"/>
      <c r="R276" s="159"/>
      <c r="S276" s="159"/>
      <c r="T276" s="159"/>
      <c r="U276" s="159"/>
      <c r="V276" s="5"/>
    </row>
    <row r="277" spans="1:22" ht="15.6" x14ac:dyDescent="0.3">
      <c r="A277" s="164"/>
      <c r="B277" s="13"/>
      <c r="C277" s="13"/>
      <c r="D277" s="13"/>
      <c r="E277" s="13"/>
      <c r="F277" s="13"/>
      <c r="G277" s="100"/>
      <c r="H277" s="159"/>
      <c r="I277" s="159"/>
      <c r="J277" s="159"/>
      <c r="K277" s="159"/>
      <c r="L277" s="159"/>
      <c r="M277" s="159"/>
      <c r="N277" s="159"/>
      <c r="O277" s="159"/>
      <c r="P277" s="159"/>
      <c r="Q277" s="159"/>
      <c r="R277" s="159"/>
      <c r="S277" s="159"/>
      <c r="T277" s="159"/>
      <c r="U277" s="159"/>
      <c r="V277" s="5"/>
    </row>
    <row r="278" spans="1:22" ht="18" thickBot="1" x14ac:dyDescent="0.35">
      <c r="A278" s="164"/>
      <c r="B278" s="49" t="str">
        <f>B195</f>
        <v>PM9 INVESTOR REPORT QUARTER ENDING APRIL 2010</v>
      </c>
      <c r="C278" s="13"/>
      <c r="D278" s="13"/>
      <c r="E278" s="13"/>
      <c r="F278" s="13"/>
      <c r="G278" s="100"/>
      <c r="H278" s="159"/>
      <c r="I278" s="159"/>
      <c r="J278" s="159"/>
      <c r="K278" s="159"/>
      <c r="L278" s="159"/>
      <c r="M278" s="159"/>
      <c r="N278" s="159"/>
      <c r="O278" s="159"/>
      <c r="P278" s="159"/>
      <c r="Q278" s="159"/>
      <c r="R278" s="159"/>
      <c r="S278" s="159"/>
      <c r="T278" s="159"/>
      <c r="U278" s="159"/>
      <c r="V278" s="5"/>
    </row>
    <row r="279" spans="1:22" x14ac:dyDescent="0.25">
      <c r="A279" s="101"/>
      <c r="B279" s="101"/>
      <c r="C279" s="101"/>
      <c r="D279" s="101"/>
      <c r="E279" s="101"/>
      <c r="F279" s="101"/>
      <c r="G279" s="101"/>
      <c r="H279" s="101"/>
      <c r="I279" s="101"/>
      <c r="J279" s="101"/>
      <c r="K279" s="101"/>
      <c r="L279" s="101"/>
      <c r="M279" s="101"/>
      <c r="N279" s="101"/>
      <c r="O279" s="101"/>
      <c r="P279" s="101"/>
      <c r="Q279" s="101"/>
      <c r="R279" s="101"/>
      <c r="S279" s="101"/>
      <c r="T279" s="101"/>
      <c r="U279" s="101"/>
    </row>
  </sheetData>
  <phoneticPr fontId="0" type="noConversion"/>
  <hyperlinks>
    <hyperlink ref="J9" r:id="rId1" xr:uid="{00000000-0004-0000-1200-000000000000}"/>
    <hyperlink ref="N230" r:id="rId2" xr:uid="{00000000-0004-0000-12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4" max="14" man="1"/>
    <brk id="195" max="14"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D2926"/>
  </sheetPr>
  <dimension ref="A1:W275"/>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0.58579999999999999</v>
      </c>
      <c r="R16" s="17" t="s">
        <v>149</v>
      </c>
      <c r="S16" s="140">
        <v>0.41420000000000001</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38772</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335121.41399999999</v>
      </c>
      <c r="E30" s="32"/>
      <c r="F30" s="125">
        <f>F29*F36</f>
        <v>343838.44500000001</v>
      </c>
      <c r="G30" s="31"/>
      <c r="H30" s="150">
        <f>H29*H36</f>
        <v>58113.539999999994</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326837.48200000002</v>
      </c>
      <c r="E31" s="36"/>
      <c r="F31" s="126">
        <f>F35*F29</f>
        <v>335339.03500000003</v>
      </c>
      <c r="G31" s="35"/>
      <c r="H31" s="155">
        <f>H35*H29</f>
        <v>56677.020000000004</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335121.41399999999</v>
      </c>
      <c r="E33" s="32"/>
      <c r="F33" s="31">
        <f>F32*F36</f>
        <v>236812.67549999998</v>
      </c>
      <c r="G33" s="31"/>
      <c r="H33" s="31">
        <f>H32*H36</f>
        <v>32834.150099999999</v>
      </c>
      <c r="I33" s="31"/>
      <c r="J33" s="31">
        <f>J32*J36</f>
        <v>7000</v>
      </c>
      <c r="K33" s="31"/>
      <c r="L33" s="31">
        <f>L32*L36</f>
        <v>20300</v>
      </c>
      <c r="M33" s="31"/>
      <c r="N33" s="31">
        <f>N32*N36</f>
        <v>3000</v>
      </c>
      <c r="O33" s="31"/>
      <c r="P33" s="31">
        <f>P32*P36</f>
        <v>45300</v>
      </c>
      <c r="Q33" s="31"/>
      <c r="R33" s="31"/>
      <c r="S33" s="161"/>
      <c r="T33" s="31">
        <f>SUM(C33:P33)</f>
        <v>680368.23959999997</v>
      </c>
      <c r="U33" s="34"/>
      <c r="V33" s="5"/>
    </row>
    <row r="34" spans="1:22" ht="15.6" x14ac:dyDescent="0.3">
      <c r="A34" s="28"/>
      <c r="B34" s="29" t="s">
        <v>291</v>
      </c>
      <c r="C34" s="36"/>
      <c r="D34" s="35">
        <f>D35*D32</f>
        <v>326837.48200000002</v>
      </c>
      <c r="E34" s="36"/>
      <c r="F34" s="35">
        <f>F35*F32</f>
        <v>230958.85650000002</v>
      </c>
      <c r="G34" s="35"/>
      <c r="H34" s="35">
        <f>H35*H32</f>
        <v>32022.516300000003</v>
      </c>
      <c r="I34" s="35"/>
      <c r="J34" s="35">
        <f>J35*J32</f>
        <v>7000</v>
      </c>
      <c r="K34" s="35"/>
      <c r="L34" s="35">
        <f>L35*L32</f>
        <v>20300</v>
      </c>
      <c r="M34" s="35"/>
      <c r="N34" s="35">
        <f>N35*N32</f>
        <v>3000</v>
      </c>
      <c r="O34" s="35"/>
      <c r="P34" s="35">
        <f>P35*P32</f>
        <v>45300</v>
      </c>
      <c r="Q34" s="35"/>
      <c r="R34" s="35"/>
      <c r="S34" s="37"/>
      <c r="T34" s="35">
        <f>SUM(C34:P34)</f>
        <v>665418.85480000009</v>
      </c>
      <c r="U34" s="34"/>
      <c r="V34" s="5"/>
    </row>
    <row r="35" spans="1:22" ht="15.6" x14ac:dyDescent="0.3">
      <c r="A35" s="28"/>
      <c r="B35" s="123" t="s">
        <v>139</v>
      </c>
      <c r="C35" s="127"/>
      <c r="D35" s="138">
        <v>0.94461700000000004</v>
      </c>
      <c r="E35" s="139"/>
      <c r="F35" s="138">
        <v>0.94461700000000004</v>
      </c>
      <c r="G35" s="138"/>
      <c r="H35" s="138">
        <v>0.94461700000000004</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38">
        <v>0.96855899999999995</v>
      </c>
      <c r="E36" s="139"/>
      <c r="F36" s="138">
        <v>0.96855899999999995</v>
      </c>
      <c r="G36" s="138"/>
      <c r="H36" s="138">
        <v>0.96855899999999995</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4.8062500000000001E-2</v>
      </c>
      <c r="E38" s="25"/>
      <c r="F38" s="38">
        <v>2.5010000000000001E-2</v>
      </c>
      <c r="G38" s="39"/>
      <c r="H38" s="38">
        <v>4.5199999999999997E-2</v>
      </c>
      <c r="I38" s="39"/>
      <c r="J38" s="38">
        <v>4.9162499999999998E-2</v>
      </c>
      <c r="K38" s="39"/>
      <c r="L38" s="38">
        <v>2.6110000000000001E-2</v>
      </c>
      <c r="M38" s="39"/>
      <c r="N38" s="38">
        <v>5.1462500000000001E-2</v>
      </c>
      <c r="O38" s="39"/>
      <c r="P38" s="38">
        <v>2.8410000000000001E-2</v>
      </c>
      <c r="Q38" s="39"/>
      <c r="R38" s="38"/>
      <c r="S38" s="160"/>
      <c r="T38" s="39"/>
      <c r="U38" s="25"/>
      <c r="V38" s="5"/>
    </row>
    <row r="39" spans="1:22" ht="15.6" x14ac:dyDescent="0.3">
      <c r="A39" s="24"/>
      <c r="B39" s="25" t="s">
        <v>14</v>
      </c>
      <c r="C39" s="25"/>
      <c r="D39" s="38">
        <v>4.80779E-2</v>
      </c>
      <c r="E39" s="25"/>
      <c r="F39" s="38">
        <v>2.3099999999999999E-2</v>
      </c>
      <c r="G39" s="39"/>
      <c r="H39" s="38">
        <v>3.8567700000000003E-2</v>
      </c>
      <c r="I39" s="39"/>
      <c r="J39" s="38">
        <v>4.9177899999999997E-2</v>
      </c>
      <c r="K39" s="39"/>
      <c r="L39" s="38">
        <v>2.4199999999999999E-2</v>
      </c>
      <c r="M39" s="39"/>
      <c r="N39" s="38">
        <v>5.14779E-2</v>
      </c>
      <c r="O39" s="39"/>
      <c r="P39" s="38">
        <v>2.6499999999999999E-2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4.8062500000000001E-2</v>
      </c>
      <c r="E41" s="25"/>
      <c r="F41" s="38">
        <v>4.8162499999999997E-2</v>
      </c>
      <c r="G41" s="39"/>
      <c r="H41" s="38">
        <v>4.8292500000000002E-2</v>
      </c>
      <c r="I41" s="39"/>
      <c r="J41" s="38">
        <f>+J38</f>
        <v>4.9162499999999998E-2</v>
      </c>
      <c r="K41" s="39"/>
      <c r="L41" s="38">
        <v>4.9457500000000001E-2</v>
      </c>
      <c r="M41" s="39"/>
      <c r="N41" s="38">
        <f>+N38</f>
        <v>5.1462500000000001E-2</v>
      </c>
      <c r="O41" s="39"/>
      <c r="P41" s="38">
        <v>5.1902499999999997E-2</v>
      </c>
      <c r="Q41" s="39"/>
      <c r="R41" s="38"/>
      <c r="S41" s="160"/>
      <c r="T41" s="39">
        <f>SUMPRODUCT(D41:P41,D33:P33)/T33</f>
        <v>4.8432011108015281E-2</v>
      </c>
      <c r="U41" s="25"/>
      <c r="V41" s="5"/>
    </row>
    <row r="42" spans="1:22" ht="15.6" x14ac:dyDescent="0.3">
      <c r="A42" s="24"/>
      <c r="B42" s="25" t="s">
        <v>294</v>
      </c>
      <c r="C42" s="25"/>
      <c r="D42" s="38">
        <f>+D39</f>
        <v>4.80779E-2</v>
      </c>
      <c r="E42" s="25"/>
      <c r="F42" s="38">
        <v>4.8177900000000003E-2</v>
      </c>
      <c r="G42" s="39"/>
      <c r="H42" s="38">
        <v>4.8307900000000001E-2</v>
      </c>
      <c r="I42" s="39"/>
      <c r="J42" s="38">
        <f>+J39</f>
        <v>4.9177899999999997E-2</v>
      </c>
      <c r="K42" s="39"/>
      <c r="L42" s="38">
        <v>4.94729E-2</v>
      </c>
      <c r="M42" s="39"/>
      <c r="N42" s="38">
        <f>+N39</f>
        <v>5.14779E-2</v>
      </c>
      <c r="O42" s="39"/>
      <c r="P42" s="38">
        <v>5.1917900000000003E-2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0.12817494623096609</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38763</v>
      </c>
      <c r="U53" s="25"/>
      <c r="V53" s="5"/>
    </row>
    <row r="54" spans="1:23" ht="15.6" x14ac:dyDescent="0.3">
      <c r="A54" s="24"/>
      <c r="B54" s="25" t="s">
        <v>130</v>
      </c>
      <c r="C54" s="25"/>
      <c r="D54" s="25"/>
      <c r="E54" s="25"/>
      <c r="F54" s="25"/>
      <c r="G54" s="25"/>
      <c r="H54" s="58"/>
      <c r="I54" s="58"/>
      <c r="J54" s="58"/>
      <c r="K54" s="58"/>
      <c r="L54" s="58"/>
      <c r="M54" s="58"/>
      <c r="N54" s="58"/>
      <c r="O54" s="58"/>
      <c r="P54" s="25">
        <f>+T54-R54+1</f>
        <v>119</v>
      </c>
      <c r="Q54" s="25"/>
      <c r="R54" s="45">
        <v>38552</v>
      </c>
      <c r="S54" s="46"/>
      <c r="T54" s="45">
        <v>38670</v>
      </c>
      <c r="U54" s="25"/>
      <c r="V54" s="5"/>
    </row>
    <row r="55" spans="1:23" ht="15.6" x14ac:dyDescent="0.3">
      <c r="A55" s="24"/>
      <c r="B55" s="25" t="s">
        <v>131</v>
      </c>
      <c r="C55" s="25"/>
      <c r="D55" s="25"/>
      <c r="E55" s="25"/>
      <c r="F55" s="25"/>
      <c r="G55" s="25"/>
      <c r="H55" s="25"/>
      <c r="I55" s="25"/>
      <c r="J55" s="25"/>
      <c r="K55" s="25"/>
      <c r="L55" s="25"/>
      <c r="M55" s="25"/>
      <c r="N55" s="25"/>
      <c r="O55" s="25"/>
      <c r="P55" s="25">
        <f>+T55-R55+1</f>
        <v>92</v>
      </c>
      <c r="Q55" s="25"/>
      <c r="R55" s="45">
        <v>38671</v>
      </c>
      <c r="S55" s="46"/>
      <c r="T55" s="45">
        <v>38762</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38749</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253</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680368</v>
      </c>
      <c r="M66" s="34"/>
      <c r="N66" s="34">
        <f>14949+3203+996</f>
        <v>19148</v>
      </c>
      <c r="O66" s="34"/>
      <c r="P66" s="34">
        <f>996+3203</f>
        <v>4199</v>
      </c>
      <c r="Q66" s="34"/>
      <c r="R66" s="34">
        <v>0</v>
      </c>
      <c r="S66" s="34"/>
      <c r="T66" s="53">
        <f>+L66-N66+P66-R66</f>
        <v>665419</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680368</v>
      </c>
      <c r="M69" s="34"/>
      <c r="N69" s="34">
        <f>SUM(N66:N68)</f>
        <v>19148</v>
      </c>
      <c r="O69" s="34"/>
      <c r="P69" s="34">
        <f>SUM(P66:P68)</f>
        <v>4199</v>
      </c>
      <c r="Q69" s="34"/>
      <c r="R69" s="34">
        <f>SUM(R66:R68)</f>
        <v>0</v>
      </c>
      <c r="S69" s="34"/>
      <c r="T69" s="54">
        <f>SUM(T66:T68)</f>
        <v>665419</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3"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3" ht="15.6" x14ac:dyDescent="0.3">
      <c r="A82" s="24"/>
      <c r="B82" s="25" t="s">
        <v>27</v>
      </c>
      <c r="C82" s="34"/>
      <c r="D82" s="34"/>
      <c r="E82" s="34"/>
      <c r="F82" s="54"/>
      <c r="G82" s="34"/>
      <c r="H82" s="54"/>
      <c r="I82" s="54"/>
      <c r="J82" s="54">
        <f>SUM(J69:J81)</f>
        <v>700000</v>
      </c>
      <c r="K82" s="34"/>
      <c r="L82" s="54">
        <f>SUM(L69:L81)</f>
        <v>680368</v>
      </c>
      <c r="M82" s="34"/>
      <c r="N82" s="34"/>
      <c r="O82" s="34"/>
      <c r="P82" s="34"/>
      <c r="Q82" s="34"/>
      <c r="R82" s="54"/>
      <c r="S82" s="34"/>
      <c r="T82" s="54">
        <f>SUM(T69:T81)</f>
        <v>665419</v>
      </c>
      <c r="U82" s="25"/>
      <c r="V82" s="5"/>
    </row>
    <row r="83" spans="1:23"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3" ht="15.6" x14ac:dyDescent="0.3">
      <c r="A84" s="6"/>
      <c r="B84" s="8"/>
      <c r="C84" s="8"/>
      <c r="D84" s="8"/>
      <c r="E84" s="8"/>
      <c r="F84" s="8"/>
      <c r="G84" s="8"/>
      <c r="H84" s="8"/>
      <c r="I84" s="8"/>
      <c r="J84" s="8"/>
      <c r="K84" s="8"/>
      <c r="L84" s="8"/>
      <c r="M84" s="8"/>
      <c r="N84" s="8"/>
      <c r="O84" s="8"/>
      <c r="P84" s="8"/>
      <c r="Q84" s="8"/>
      <c r="R84" s="8"/>
      <c r="S84" s="8"/>
      <c r="T84" s="8"/>
      <c r="U84" s="8"/>
      <c r="V84" s="5"/>
    </row>
    <row r="85" spans="1:23" ht="15.6" x14ac:dyDescent="0.3">
      <c r="A85" s="6"/>
      <c r="B85" s="51" t="s">
        <v>28</v>
      </c>
      <c r="C85" s="14"/>
      <c r="D85" s="14"/>
      <c r="E85" s="14"/>
      <c r="F85" s="14"/>
      <c r="G85" s="14"/>
      <c r="H85" s="17"/>
      <c r="I85" s="17"/>
      <c r="J85" s="158" t="s">
        <v>101</v>
      </c>
      <c r="K85" s="17"/>
      <c r="L85" s="157">
        <f>+R193</f>
        <v>38748</v>
      </c>
      <c r="M85" s="17"/>
      <c r="N85" s="17"/>
      <c r="O85" s="17"/>
      <c r="P85" s="17"/>
      <c r="Q85" s="17"/>
      <c r="R85" s="17" t="s">
        <v>114</v>
      </c>
      <c r="S85" s="17"/>
      <c r="T85" s="17" t="s">
        <v>122</v>
      </c>
      <c r="U85" s="8"/>
      <c r="V85" s="5"/>
    </row>
    <row r="86" spans="1:23"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3" ht="15.6" x14ac:dyDescent="0.3">
      <c r="A87" s="24"/>
      <c r="B87" s="25" t="s">
        <v>30</v>
      </c>
      <c r="C87" s="25"/>
      <c r="D87" s="25"/>
      <c r="E87" s="25"/>
      <c r="F87" s="25"/>
      <c r="G87" s="25"/>
      <c r="H87" s="40"/>
      <c r="I87" s="57"/>
      <c r="J87" s="40"/>
      <c r="K87" s="25"/>
      <c r="L87" s="128"/>
      <c r="M87" s="25"/>
      <c r="N87" s="25"/>
      <c r="O87" s="25"/>
      <c r="P87" s="25"/>
      <c r="Q87" s="25"/>
      <c r="R87" s="34">
        <v>19148</v>
      </c>
      <c r="S87" s="25"/>
      <c r="T87" s="53"/>
      <c r="U87" s="25"/>
      <c r="V87" s="5"/>
    </row>
    <row r="88" spans="1:23" ht="15.6" x14ac:dyDescent="0.3">
      <c r="A88" s="24"/>
      <c r="B88" s="25" t="s">
        <v>254</v>
      </c>
      <c r="C88" s="25"/>
      <c r="D88" s="25"/>
      <c r="E88" s="25"/>
      <c r="F88" s="25"/>
      <c r="G88" s="25"/>
      <c r="H88" s="40"/>
      <c r="I88" s="57"/>
      <c r="J88" s="40"/>
      <c r="K88" s="25"/>
      <c r="L88" s="128"/>
      <c r="M88" s="25"/>
      <c r="N88" s="25"/>
      <c r="O88" s="25"/>
      <c r="P88" s="25"/>
      <c r="Q88" s="25"/>
      <c r="R88" s="34"/>
      <c r="S88" s="25"/>
      <c r="T88" s="53">
        <f>2156+1329+2222+1330+2262+1370-837-477</f>
        <v>9355</v>
      </c>
      <c r="U88" s="25"/>
      <c r="V88" s="5"/>
    </row>
    <row r="89" spans="1:23" ht="15.6" x14ac:dyDescent="0.3">
      <c r="A89" s="24"/>
      <c r="B89" s="25" t="s">
        <v>255</v>
      </c>
      <c r="C89" s="25"/>
      <c r="D89" s="25"/>
      <c r="E89" s="25"/>
      <c r="F89" s="25"/>
      <c r="G89" s="25"/>
      <c r="H89" s="40"/>
      <c r="I89" s="57"/>
      <c r="J89" s="40"/>
      <c r="K89" s="25"/>
      <c r="L89" s="128"/>
      <c r="M89" s="25"/>
      <c r="N89" s="25"/>
      <c r="O89" s="25"/>
      <c r="P89" s="25"/>
      <c r="Q89" s="25"/>
      <c r="R89" s="34"/>
      <c r="S89" s="25"/>
      <c r="T89" s="53">
        <f>117+91</f>
        <v>208</v>
      </c>
      <c r="U89" s="25"/>
      <c r="V89" s="5"/>
    </row>
    <row r="90" spans="1:23" ht="15.6" x14ac:dyDescent="0.3">
      <c r="A90" s="24"/>
      <c r="B90" s="25" t="s">
        <v>256</v>
      </c>
      <c r="C90" s="25"/>
      <c r="D90" s="25"/>
      <c r="E90" s="25"/>
      <c r="F90" s="25"/>
      <c r="G90" s="25"/>
      <c r="H90" s="40"/>
      <c r="I90" s="57"/>
      <c r="J90" s="40"/>
      <c r="K90" s="25"/>
      <c r="L90" s="128"/>
      <c r="M90" s="25"/>
      <c r="N90" s="25"/>
      <c r="O90" s="25"/>
      <c r="P90" s="25"/>
      <c r="Q90" s="25"/>
      <c r="R90" s="34"/>
      <c r="S90" s="25"/>
      <c r="T90" s="53">
        <v>362</v>
      </c>
      <c r="U90" s="25"/>
      <c r="V90" s="5"/>
    </row>
    <row r="91" spans="1:23" ht="15.6" x14ac:dyDescent="0.3">
      <c r="A91" s="24"/>
      <c r="B91" s="25" t="s">
        <v>144</v>
      </c>
      <c r="C91" s="25"/>
      <c r="D91" s="25"/>
      <c r="E91" s="25"/>
      <c r="F91" s="25"/>
      <c r="G91" s="25"/>
      <c r="H91" s="25"/>
      <c r="I91" s="25"/>
      <c r="J91" s="25"/>
      <c r="K91" s="25"/>
      <c r="L91" s="25"/>
      <c r="M91" s="25"/>
      <c r="N91" s="25"/>
      <c r="O91" s="25"/>
      <c r="P91" s="25"/>
      <c r="Q91" s="25"/>
      <c r="R91" s="34"/>
      <c r="S91" s="25"/>
      <c r="T91" s="53">
        <v>0</v>
      </c>
      <c r="U91" s="25"/>
      <c r="V91" s="5"/>
    </row>
    <row r="92" spans="1:23" ht="15.6" x14ac:dyDescent="0.3">
      <c r="A92" s="24"/>
      <c r="B92" s="25" t="s">
        <v>233</v>
      </c>
      <c r="C92" s="25"/>
      <c r="D92" s="25"/>
      <c r="E92" s="25"/>
      <c r="F92" s="25"/>
      <c r="G92" s="25"/>
      <c r="H92" s="25"/>
      <c r="I92" s="25"/>
      <c r="J92" s="25"/>
      <c r="K92" s="25"/>
      <c r="L92" s="25"/>
      <c r="M92" s="25"/>
      <c r="N92" s="25"/>
      <c r="O92" s="25"/>
      <c r="P92" s="25"/>
      <c r="Q92" s="25"/>
      <c r="R92" s="34"/>
      <c r="S92" s="25"/>
      <c r="T92" s="53">
        <v>461</v>
      </c>
      <c r="U92" s="25"/>
      <c r="V92" s="5"/>
    </row>
    <row r="93" spans="1:23" ht="15.6" x14ac:dyDescent="0.3">
      <c r="A93" s="24"/>
      <c r="B93" s="25" t="s">
        <v>32</v>
      </c>
      <c r="C93" s="25"/>
      <c r="D93" s="25"/>
      <c r="E93" s="25"/>
      <c r="F93" s="25"/>
      <c r="G93" s="25"/>
      <c r="H93" s="25"/>
      <c r="I93" s="25"/>
      <c r="J93" s="25"/>
      <c r="K93" s="25"/>
      <c r="L93" s="25"/>
      <c r="M93" s="25"/>
      <c r="N93" s="25"/>
      <c r="O93" s="25"/>
      <c r="P93" s="25"/>
      <c r="Q93" s="25"/>
      <c r="R93" s="34">
        <f>SUM(R86:R92)</f>
        <v>19148</v>
      </c>
      <c r="S93" s="25"/>
      <c r="T93" s="54">
        <f>SUM(T86:T92)</f>
        <v>10386</v>
      </c>
      <c r="U93" s="25"/>
      <c r="V93" s="5"/>
    </row>
    <row r="94" spans="1:23" ht="15.6" x14ac:dyDescent="0.3">
      <c r="A94" s="24"/>
      <c r="B94" s="25" t="s">
        <v>176</v>
      </c>
      <c r="C94" s="25"/>
      <c r="D94" s="25"/>
      <c r="E94" s="25"/>
      <c r="F94" s="25"/>
      <c r="G94" s="25"/>
      <c r="H94" s="25"/>
      <c r="I94" s="25"/>
      <c r="J94" s="25"/>
      <c r="K94" s="25"/>
      <c r="L94" s="25"/>
      <c r="M94" s="25"/>
      <c r="N94" s="25"/>
      <c r="O94" s="25"/>
      <c r="P94" s="25"/>
      <c r="Q94" s="25"/>
      <c r="R94" s="34">
        <v>-32</v>
      </c>
      <c r="S94" s="25"/>
      <c r="T94" s="54">
        <f>-R94</f>
        <v>32</v>
      </c>
      <c r="U94" s="25"/>
      <c r="V94" s="5"/>
    </row>
    <row r="95" spans="1:23" ht="15.6" x14ac:dyDescent="0.3">
      <c r="A95" s="24"/>
      <c r="B95" s="25" t="s">
        <v>33</v>
      </c>
      <c r="C95" s="25"/>
      <c r="D95" s="25"/>
      <c r="E95" s="25"/>
      <c r="F95" s="25"/>
      <c r="G95" s="25"/>
      <c r="H95" s="25"/>
      <c r="I95" s="25"/>
      <c r="J95" s="25"/>
      <c r="K95" s="25"/>
      <c r="L95" s="25"/>
      <c r="M95" s="25"/>
      <c r="N95" s="25"/>
      <c r="O95" s="25"/>
      <c r="P95" s="25"/>
      <c r="Q95" s="25"/>
      <c r="R95" s="34">
        <f>-T95</f>
        <v>0</v>
      </c>
      <c r="S95" s="25"/>
      <c r="T95" s="53">
        <v>0</v>
      </c>
      <c r="U95" s="25"/>
      <c r="V95" s="5"/>
    </row>
    <row r="96" spans="1:23" ht="15.6" x14ac:dyDescent="0.3">
      <c r="A96" s="24"/>
      <c r="B96" s="25" t="s">
        <v>34</v>
      </c>
      <c r="C96" s="25"/>
      <c r="D96" s="25"/>
      <c r="E96" s="25"/>
      <c r="F96" s="25"/>
      <c r="G96" s="25"/>
      <c r="H96" s="25"/>
      <c r="I96" s="25"/>
      <c r="J96" s="25"/>
      <c r="K96" s="25"/>
      <c r="L96" s="25"/>
      <c r="M96" s="25"/>
      <c r="N96" s="25"/>
      <c r="O96" s="25"/>
      <c r="P96" s="25"/>
      <c r="Q96" s="25"/>
      <c r="R96" s="34">
        <f>R93+R95+R94</f>
        <v>19116</v>
      </c>
      <c r="S96" s="25"/>
      <c r="T96" s="54">
        <f>T93+T95+T94</f>
        <v>10418</v>
      </c>
      <c r="U96" s="25"/>
      <c r="V96" s="5"/>
      <c r="W96" s="166"/>
    </row>
    <row r="97" spans="1:23" ht="15.6" x14ac:dyDescent="0.3">
      <c r="A97" s="24"/>
      <c r="B97" s="119" t="s">
        <v>35</v>
      </c>
      <c r="C97" s="25"/>
      <c r="D97" s="25"/>
      <c r="E97" s="25"/>
      <c r="F97" s="25"/>
      <c r="G97" s="25"/>
      <c r="H97" s="25"/>
      <c r="I97" s="25"/>
      <c r="J97" s="25"/>
      <c r="K97" s="25"/>
      <c r="L97" s="25"/>
      <c r="M97" s="25"/>
      <c r="N97" s="25"/>
      <c r="O97" s="25"/>
      <c r="P97" s="25"/>
      <c r="Q97" s="25"/>
      <c r="R97" s="34"/>
      <c r="S97" s="25"/>
      <c r="T97" s="53"/>
      <c r="U97" s="25"/>
      <c r="V97" s="5"/>
    </row>
    <row r="98" spans="1:23" ht="15.6" x14ac:dyDescent="0.3">
      <c r="A98" s="24">
        <v>1</v>
      </c>
      <c r="B98" s="25" t="s">
        <v>36</v>
      </c>
      <c r="C98" s="25"/>
      <c r="D98" s="25"/>
      <c r="E98" s="25"/>
      <c r="F98" s="25"/>
      <c r="G98" s="25"/>
      <c r="H98" s="25"/>
      <c r="I98" s="25"/>
      <c r="J98" s="25"/>
      <c r="K98" s="25"/>
      <c r="L98" s="25"/>
      <c r="M98" s="25"/>
      <c r="N98" s="25"/>
      <c r="O98" s="25"/>
      <c r="P98" s="25"/>
      <c r="Q98" s="25"/>
      <c r="R98" s="25"/>
      <c r="S98" s="25"/>
      <c r="T98" s="53">
        <v>0</v>
      </c>
      <c r="U98" s="25"/>
      <c r="V98" s="5"/>
    </row>
    <row r="99" spans="1:23" ht="15.6" x14ac:dyDescent="0.3">
      <c r="A99" s="24">
        <f>+A98+1</f>
        <v>2</v>
      </c>
      <c r="B99" s="25" t="s">
        <v>37</v>
      </c>
      <c r="C99" s="25"/>
      <c r="D99" s="25"/>
      <c r="E99" s="25"/>
      <c r="F99" s="25"/>
      <c r="G99" s="25"/>
      <c r="H99" s="25"/>
      <c r="I99" s="25"/>
      <c r="J99" s="25"/>
      <c r="K99" s="25"/>
      <c r="L99" s="25"/>
      <c r="M99" s="25"/>
      <c r="N99" s="25"/>
      <c r="O99" s="25"/>
      <c r="P99" s="25"/>
      <c r="Q99" s="25"/>
      <c r="R99" s="25"/>
      <c r="S99" s="25"/>
      <c r="T99" s="53">
        <v>-2</v>
      </c>
      <c r="U99" s="25"/>
      <c r="V99" s="5"/>
    </row>
    <row r="100" spans="1:23" ht="15.6" x14ac:dyDescent="0.3">
      <c r="A100" s="24">
        <f>+A99+1</f>
        <v>3</v>
      </c>
      <c r="B100" s="25" t="s">
        <v>160</v>
      </c>
      <c r="C100" s="25"/>
      <c r="D100" s="25"/>
      <c r="E100" s="25"/>
      <c r="F100" s="25"/>
      <c r="G100" s="25"/>
      <c r="H100" s="25"/>
      <c r="I100" s="25"/>
      <c r="J100" s="25"/>
      <c r="K100" s="25"/>
      <c r="L100" s="25"/>
      <c r="M100" s="25"/>
      <c r="N100" s="25"/>
      <c r="O100" s="25"/>
      <c r="P100" s="25"/>
      <c r="Q100" s="25"/>
      <c r="R100" s="25"/>
      <c r="S100" s="25"/>
      <c r="T100" s="53">
        <f>-257-4-13</f>
        <v>-274</v>
      </c>
      <c r="U100" s="25"/>
      <c r="V100" s="5"/>
    </row>
    <row r="101" spans="1:23" ht="15.6" x14ac:dyDescent="0.3">
      <c r="A101" s="24" t="s">
        <v>136</v>
      </c>
      <c r="B101" s="25" t="s">
        <v>125</v>
      </c>
      <c r="C101" s="25"/>
      <c r="D101" s="25"/>
      <c r="E101" s="25"/>
      <c r="F101" s="25"/>
      <c r="G101" s="25"/>
      <c r="H101" s="25"/>
      <c r="I101" s="25"/>
      <c r="J101" s="25"/>
      <c r="K101" s="25"/>
      <c r="L101" s="25"/>
      <c r="M101" s="25"/>
      <c r="N101" s="25"/>
      <c r="O101" s="25"/>
      <c r="P101" s="25"/>
      <c r="Q101" s="25"/>
      <c r="R101" s="25"/>
      <c r="S101" s="25"/>
      <c r="T101" s="53">
        <v>-54</v>
      </c>
      <c r="U101" s="25"/>
      <c r="V101" s="5"/>
    </row>
    <row r="102" spans="1:23" ht="15.6" x14ac:dyDescent="0.3">
      <c r="A102" s="24" t="s">
        <v>137</v>
      </c>
      <c r="B102" s="25" t="s">
        <v>267</v>
      </c>
      <c r="C102" s="25"/>
      <c r="D102" s="25"/>
      <c r="E102" s="25"/>
      <c r="F102" s="25"/>
      <c r="G102" s="25"/>
      <c r="H102" s="25"/>
      <c r="I102" s="25"/>
      <c r="J102" s="25"/>
      <c r="K102" s="25"/>
      <c r="L102" s="25"/>
      <c r="M102" s="25"/>
      <c r="N102" s="25"/>
      <c r="O102" s="25"/>
      <c r="P102" s="25"/>
      <c r="Q102" s="25"/>
      <c r="R102" s="25"/>
      <c r="S102" s="25"/>
      <c r="T102" s="53">
        <v>-3</v>
      </c>
      <c r="U102" s="25"/>
      <c r="V102" s="5"/>
    </row>
    <row r="103" spans="1:23" ht="15.6" x14ac:dyDescent="0.3">
      <c r="A103" s="24" t="s">
        <v>162</v>
      </c>
      <c r="B103" s="25" t="s">
        <v>218</v>
      </c>
      <c r="C103" s="25"/>
      <c r="D103" s="25"/>
      <c r="E103" s="25"/>
      <c r="F103" s="25"/>
      <c r="G103" s="25"/>
      <c r="H103" s="25"/>
      <c r="I103" s="25"/>
      <c r="J103" s="25"/>
      <c r="K103" s="25"/>
      <c r="L103" s="25"/>
      <c r="M103" s="25"/>
      <c r="N103" s="25"/>
      <c r="O103" s="25"/>
      <c r="P103" s="25"/>
      <c r="Q103" s="25"/>
      <c r="R103" s="25"/>
      <c r="S103" s="25"/>
      <c r="T103" s="53">
        <v>-4060</v>
      </c>
      <c r="U103" s="25"/>
      <c r="V103" s="5"/>
      <c r="W103" s="110"/>
    </row>
    <row r="104" spans="1:23" ht="15.6" x14ac:dyDescent="0.3">
      <c r="A104" s="24" t="s">
        <v>163</v>
      </c>
      <c r="B104" s="25" t="s">
        <v>219</v>
      </c>
      <c r="C104" s="25"/>
      <c r="D104" s="25"/>
      <c r="E104" s="25"/>
      <c r="F104" s="25"/>
      <c r="G104" s="25"/>
      <c r="H104" s="25"/>
      <c r="I104" s="25"/>
      <c r="J104" s="25"/>
      <c r="K104" s="25"/>
      <c r="L104" s="25"/>
      <c r="M104" s="25"/>
      <c r="N104" s="25"/>
      <c r="O104" s="25"/>
      <c r="P104" s="25"/>
      <c r="Q104" s="25"/>
      <c r="R104" s="25"/>
      <c r="S104" s="25"/>
      <c r="T104" s="53">
        <v>-2874</v>
      </c>
      <c r="U104" s="25"/>
      <c r="V104" s="5"/>
    </row>
    <row r="105" spans="1:23" ht="15.6" x14ac:dyDescent="0.3">
      <c r="A105" s="24" t="s">
        <v>252</v>
      </c>
      <c r="B105" s="25" t="s">
        <v>242</v>
      </c>
      <c r="C105" s="25"/>
      <c r="D105" s="25"/>
      <c r="E105" s="25"/>
      <c r="F105" s="25"/>
      <c r="G105" s="25"/>
      <c r="H105" s="25"/>
      <c r="I105" s="25"/>
      <c r="J105" s="25"/>
      <c r="K105" s="25"/>
      <c r="L105" s="25"/>
      <c r="M105" s="25"/>
      <c r="N105" s="25"/>
      <c r="O105" s="25"/>
      <c r="P105" s="25"/>
      <c r="Q105" s="25"/>
      <c r="R105" s="25"/>
      <c r="S105" s="25"/>
      <c r="T105" s="53">
        <v>-400</v>
      </c>
      <c r="U105" s="25"/>
      <c r="V105" s="5"/>
    </row>
    <row r="106" spans="1:23" ht="15.6" x14ac:dyDescent="0.3">
      <c r="A106" s="24" t="s">
        <v>245</v>
      </c>
      <c r="B106" s="25" t="s">
        <v>220</v>
      </c>
      <c r="C106" s="25"/>
      <c r="D106" s="25"/>
      <c r="E106" s="25"/>
      <c r="F106" s="25"/>
      <c r="G106" s="25"/>
      <c r="H106" s="25"/>
      <c r="I106" s="25"/>
      <c r="J106" s="25"/>
      <c r="K106" s="25"/>
      <c r="L106" s="25"/>
      <c r="M106" s="25"/>
      <c r="N106" s="25"/>
      <c r="O106" s="25"/>
      <c r="P106" s="25"/>
      <c r="Q106" s="25"/>
      <c r="R106" s="25"/>
      <c r="S106" s="25"/>
      <c r="T106" s="53">
        <v>-87</v>
      </c>
      <c r="U106" s="25"/>
      <c r="V106" s="5"/>
      <c r="W106" s="110"/>
    </row>
    <row r="107" spans="1:23" ht="15.6" x14ac:dyDescent="0.3">
      <c r="A107" s="24" t="s">
        <v>246</v>
      </c>
      <c r="B107" s="25" t="s">
        <v>221</v>
      </c>
      <c r="C107" s="25"/>
      <c r="D107" s="25"/>
      <c r="E107" s="25"/>
      <c r="F107" s="25"/>
      <c r="G107" s="25"/>
      <c r="H107" s="25"/>
      <c r="I107" s="25"/>
      <c r="J107" s="25"/>
      <c r="K107" s="25"/>
      <c r="L107" s="25"/>
      <c r="M107" s="25"/>
      <c r="N107" s="25"/>
      <c r="O107" s="25"/>
      <c r="P107" s="25"/>
      <c r="Q107" s="25"/>
      <c r="R107" s="25"/>
      <c r="S107" s="25"/>
      <c r="T107" s="53">
        <v>-253</v>
      </c>
      <c r="U107" s="25"/>
      <c r="V107" s="5"/>
      <c r="W107" s="110"/>
    </row>
    <row r="108" spans="1:23" ht="15.6" x14ac:dyDescent="0.3">
      <c r="A108" s="24" t="s">
        <v>247</v>
      </c>
      <c r="B108" s="25" t="s">
        <v>222</v>
      </c>
      <c r="C108" s="25"/>
      <c r="D108" s="25"/>
      <c r="E108" s="25"/>
      <c r="F108" s="25"/>
      <c r="G108" s="25"/>
      <c r="H108" s="25"/>
      <c r="I108" s="25"/>
      <c r="J108" s="25"/>
      <c r="K108" s="25"/>
      <c r="L108" s="25"/>
      <c r="M108" s="25"/>
      <c r="N108" s="25"/>
      <c r="O108" s="25"/>
      <c r="P108" s="25"/>
      <c r="Q108" s="25"/>
      <c r="R108" s="25"/>
      <c r="S108" s="25"/>
      <c r="T108" s="53">
        <v>-39</v>
      </c>
      <c r="U108" s="25"/>
      <c r="V108" s="5"/>
      <c r="W108" s="110"/>
    </row>
    <row r="109" spans="1:23" ht="15.6" x14ac:dyDescent="0.3">
      <c r="A109" s="24" t="s">
        <v>248</v>
      </c>
      <c r="B109" s="25" t="s">
        <v>223</v>
      </c>
      <c r="C109" s="25"/>
      <c r="D109" s="25"/>
      <c r="E109" s="25"/>
      <c r="F109" s="25"/>
      <c r="G109" s="25"/>
      <c r="H109" s="25"/>
      <c r="I109" s="25"/>
      <c r="J109" s="25"/>
      <c r="K109" s="25"/>
      <c r="L109" s="25"/>
      <c r="M109" s="25"/>
      <c r="N109" s="25"/>
      <c r="O109" s="25"/>
      <c r="P109" s="25"/>
      <c r="Q109" s="25"/>
      <c r="R109" s="25"/>
      <c r="S109" s="25"/>
      <c r="T109" s="53">
        <v>-593</v>
      </c>
      <c r="U109" s="25"/>
      <c r="V109" s="5"/>
      <c r="W109" s="110"/>
    </row>
    <row r="110" spans="1:23" ht="15.6" x14ac:dyDescent="0.3">
      <c r="A110" s="24">
        <v>7</v>
      </c>
      <c r="B110" s="25" t="s">
        <v>38</v>
      </c>
      <c r="C110" s="25"/>
      <c r="D110" s="25"/>
      <c r="E110" s="25"/>
      <c r="F110" s="25"/>
      <c r="G110" s="25"/>
      <c r="H110" s="25"/>
      <c r="I110" s="25"/>
      <c r="J110" s="25"/>
      <c r="K110" s="25"/>
      <c r="L110" s="25"/>
      <c r="M110" s="25"/>
      <c r="N110" s="25"/>
      <c r="O110" s="25"/>
      <c r="P110" s="25"/>
      <c r="Q110" s="25"/>
      <c r="R110" s="25"/>
      <c r="S110" s="25"/>
      <c r="T110" s="53">
        <v>-18</v>
      </c>
      <c r="U110" s="25"/>
      <c r="V110" s="5"/>
    </row>
    <row r="111" spans="1:23" ht="15.6" x14ac:dyDescent="0.3">
      <c r="A111" s="24">
        <f t="shared" ref="A111:A116" si="0">+A110+1</f>
        <v>8</v>
      </c>
      <c r="B111" s="25" t="s">
        <v>49</v>
      </c>
      <c r="C111" s="25"/>
      <c r="D111" s="25"/>
      <c r="E111" s="25"/>
      <c r="F111" s="25"/>
      <c r="G111" s="25"/>
      <c r="H111" s="25"/>
      <c r="I111" s="25"/>
      <c r="J111" s="25"/>
      <c r="K111" s="25"/>
      <c r="L111" s="25"/>
      <c r="M111" s="25"/>
      <c r="N111" s="25"/>
      <c r="O111" s="25"/>
      <c r="P111" s="25"/>
      <c r="Q111" s="25"/>
      <c r="R111" s="25"/>
      <c r="S111" s="25"/>
      <c r="T111" s="53">
        <v>0</v>
      </c>
      <c r="U111" s="25"/>
      <c r="V111" s="5"/>
    </row>
    <row r="112" spans="1:23" ht="15.6" x14ac:dyDescent="0.3">
      <c r="A112" s="24">
        <f t="shared" si="0"/>
        <v>9</v>
      </c>
      <c r="B112" s="25" t="s">
        <v>134</v>
      </c>
      <c r="C112" s="25"/>
      <c r="D112" s="25"/>
      <c r="E112" s="25"/>
      <c r="F112" s="25"/>
      <c r="G112" s="25"/>
      <c r="H112" s="25"/>
      <c r="I112" s="25"/>
      <c r="J112" s="25"/>
      <c r="K112" s="25"/>
      <c r="L112" s="25"/>
      <c r="M112" s="25"/>
      <c r="N112" s="25"/>
      <c r="O112" s="25"/>
      <c r="P112" s="25"/>
      <c r="Q112" s="25"/>
      <c r="R112" s="25"/>
      <c r="S112" s="25"/>
      <c r="T112" s="53">
        <v>0</v>
      </c>
      <c r="U112" s="25"/>
      <c r="V112" s="5"/>
    </row>
    <row r="113" spans="1:22" ht="15.6" x14ac:dyDescent="0.3">
      <c r="A113" s="24">
        <f t="shared" si="0"/>
        <v>10</v>
      </c>
      <c r="B113" s="25" t="s">
        <v>39</v>
      </c>
      <c r="C113" s="25"/>
      <c r="D113" s="25"/>
      <c r="E113" s="25"/>
      <c r="F113" s="25"/>
      <c r="G113" s="25"/>
      <c r="H113" s="25"/>
      <c r="I113" s="25"/>
      <c r="J113" s="25"/>
      <c r="K113" s="25"/>
      <c r="L113" s="25"/>
      <c r="M113" s="25"/>
      <c r="N113" s="25"/>
      <c r="O113" s="25"/>
      <c r="P113" s="25"/>
      <c r="Q113" s="25"/>
      <c r="R113" s="25"/>
      <c r="S113" s="25"/>
      <c r="T113" s="53">
        <v>0</v>
      </c>
      <c r="U113" s="25"/>
      <c r="V113" s="5"/>
    </row>
    <row r="114" spans="1:22" ht="15.6" x14ac:dyDescent="0.3">
      <c r="A114" s="24">
        <f t="shared" si="0"/>
        <v>11</v>
      </c>
      <c r="B114" s="25" t="s">
        <v>40</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12</v>
      </c>
      <c r="B115" s="25" t="s">
        <v>161</v>
      </c>
      <c r="C115" s="25"/>
      <c r="D115" s="25"/>
      <c r="E115" s="25"/>
      <c r="F115" s="25"/>
      <c r="G115" s="25"/>
      <c r="H115" s="25"/>
      <c r="I115" s="25"/>
      <c r="J115" s="25"/>
      <c r="K115" s="25"/>
      <c r="L115" s="25"/>
      <c r="M115" s="25"/>
      <c r="N115" s="25"/>
      <c r="O115" s="25"/>
      <c r="P115" s="25"/>
      <c r="Q115" s="25"/>
      <c r="R115" s="25"/>
      <c r="S115" s="25"/>
      <c r="T115" s="53">
        <v>-257</v>
      </c>
      <c r="U115" s="25"/>
      <c r="V115" s="5"/>
    </row>
    <row r="116" spans="1:22" ht="15.6" x14ac:dyDescent="0.3">
      <c r="A116" s="24">
        <f t="shared" si="0"/>
        <v>13</v>
      </c>
      <c r="B116" s="25" t="s">
        <v>135</v>
      </c>
      <c r="C116" s="25"/>
      <c r="D116" s="25"/>
      <c r="E116" s="25"/>
      <c r="F116" s="25"/>
      <c r="G116" s="25"/>
      <c r="H116" s="25"/>
      <c r="I116" s="25"/>
      <c r="J116" s="25"/>
      <c r="K116" s="25"/>
      <c r="L116" s="25"/>
      <c r="M116" s="25"/>
      <c r="N116" s="25"/>
      <c r="O116" s="25"/>
      <c r="P116" s="25"/>
      <c r="Q116" s="25"/>
      <c r="R116" s="25"/>
      <c r="S116" s="25"/>
      <c r="T116" s="53">
        <f>-T96-SUM(T98:T115)</f>
        <v>-1504</v>
      </c>
      <c r="U116" s="25"/>
      <c r="V116" s="5"/>
    </row>
    <row r="117" spans="1:22" ht="15.6" x14ac:dyDescent="0.3">
      <c r="A117" s="24"/>
      <c r="B117" s="119" t="s">
        <v>41</v>
      </c>
      <c r="C117" s="25"/>
      <c r="D117" s="25"/>
      <c r="E117" s="25"/>
      <c r="F117" s="25"/>
      <c r="G117" s="25"/>
      <c r="H117" s="25"/>
      <c r="I117" s="25"/>
      <c r="J117" s="25"/>
      <c r="K117" s="25"/>
      <c r="L117" s="25"/>
      <c r="M117" s="25"/>
      <c r="N117" s="25"/>
      <c r="O117" s="25"/>
      <c r="P117" s="25"/>
      <c r="Q117" s="25"/>
      <c r="R117" s="25"/>
      <c r="S117" s="25"/>
      <c r="T117" s="59"/>
      <c r="U117" s="25"/>
      <c r="V117" s="5"/>
    </row>
    <row r="118" spans="1:22" ht="15.6" x14ac:dyDescent="0.3">
      <c r="A118" s="24"/>
      <c r="B118" s="25" t="s">
        <v>229</v>
      </c>
      <c r="C118" s="25"/>
      <c r="D118" s="25"/>
      <c r="E118" s="25"/>
      <c r="F118" s="25"/>
      <c r="G118" s="25"/>
      <c r="H118" s="25"/>
      <c r="I118" s="25"/>
      <c r="J118" s="25"/>
      <c r="K118" s="25"/>
      <c r="L118" s="25"/>
      <c r="M118" s="25"/>
      <c r="N118" s="25"/>
      <c r="O118" s="25"/>
      <c r="P118" s="25"/>
      <c r="Q118" s="25"/>
      <c r="R118" s="34">
        <f>-R177</f>
        <v>-547</v>
      </c>
      <c r="S118" s="34"/>
      <c r="T118" s="53"/>
      <c r="U118" s="25"/>
      <c r="V118" s="5"/>
    </row>
    <row r="119" spans="1:22" ht="15.6" x14ac:dyDescent="0.3">
      <c r="A119" s="24"/>
      <c r="B119" s="25" t="s">
        <v>230</v>
      </c>
      <c r="C119" s="25"/>
      <c r="D119" s="25"/>
      <c r="E119" s="25"/>
      <c r="F119" s="25"/>
      <c r="G119" s="25"/>
      <c r="H119" s="25"/>
      <c r="I119" s="25"/>
      <c r="J119" s="25"/>
      <c r="K119" s="25"/>
      <c r="L119" s="25"/>
      <c r="M119" s="25"/>
      <c r="N119" s="25"/>
      <c r="O119" s="25"/>
      <c r="P119" s="25"/>
      <c r="Q119" s="25"/>
      <c r="R119" s="34">
        <v>-323</v>
      </c>
      <c r="S119" s="34"/>
      <c r="T119" s="53"/>
      <c r="U119" s="25"/>
      <c r="V119" s="5"/>
    </row>
    <row r="120" spans="1:22" ht="15.6" x14ac:dyDescent="0.3">
      <c r="A120" s="24"/>
      <c r="B120" s="25" t="s">
        <v>42</v>
      </c>
      <c r="C120" s="25"/>
      <c r="D120" s="25"/>
      <c r="E120" s="25"/>
      <c r="F120" s="25"/>
      <c r="G120" s="25"/>
      <c r="H120" s="25"/>
      <c r="I120" s="25"/>
      <c r="J120" s="25"/>
      <c r="K120" s="25"/>
      <c r="L120" s="25"/>
      <c r="M120" s="25"/>
      <c r="N120" s="25"/>
      <c r="O120" s="25"/>
      <c r="P120" s="25"/>
      <c r="Q120" s="25"/>
      <c r="R120" s="34">
        <f>-Q177</f>
        <v>-3297</v>
      </c>
      <c r="S120" s="34"/>
      <c r="T120" s="53"/>
      <c r="U120" s="25"/>
      <c r="V120" s="5"/>
    </row>
    <row r="121" spans="1:22" ht="15.6" x14ac:dyDescent="0.3">
      <c r="A121" s="24"/>
      <c r="B121" s="25" t="s">
        <v>235</v>
      </c>
      <c r="C121" s="25"/>
      <c r="D121" s="25"/>
      <c r="E121" s="25"/>
      <c r="F121" s="25"/>
      <c r="G121" s="25"/>
      <c r="H121" s="25"/>
      <c r="I121" s="25"/>
      <c r="J121" s="25"/>
      <c r="K121" s="25"/>
      <c r="L121" s="25"/>
      <c r="M121" s="25"/>
      <c r="N121" s="25"/>
      <c r="O121" s="25"/>
      <c r="P121" s="25"/>
      <c r="Q121" s="25"/>
      <c r="R121" s="34">
        <v>-8284</v>
      </c>
      <c r="S121" s="34"/>
      <c r="T121" s="53"/>
      <c r="U121" s="25"/>
      <c r="V121" s="5"/>
    </row>
    <row r="122" spans="1:22" ht="15.6" x14ac:dyDescent="0.3">
      <c r="A122" s="24"/>
      <c r="B122" s="25" t="s">
        <v>236</v>
      </c>
      <c r="C122" s="25"/>
      <c r="D122" s="25"/>
      <c r="E122" s="25"/>
      <c r="F122" s="25"/>
      <c r="G122" s="25"/>
      <c r="H122" s="25"/>
      <c r="I122" s="25"/>
      <c r="J122" s="25"/>
      <c r="K122" s="25"/>
      <c r="L122" s="25"/>
      <c r="M122" s="25"/>
      <c r="N122" s="25"/>
      <c r="O122" s="25"/>
      <c r="P122" s="25"/>
      <c r="Q122" s="25"/>
      <c r="R122" s="34">
        <v>-5854</v>
      </c>
      <c r="S122" s="34"/>
      <c r="T122" s="53"/>
      <c r="U122" s="25"/>
      <c r="V122" s="5"/>
    </row>
    <row r="123" spans="1:22" ht="15.6" x14ac:dyDescent="0.3">
      <c r="A123" s="24"/>
      <c r="B123" s="25" t="s">
        <v>241</v>
      </c>
      <c r="C123" s="25"/>
      <c r="D123" s="25"/>
      <c r="E123" s="25"/>
      <c r="F123" s="25"/>
      <c r="G123" s="25"/>
      <c r="H123" s="25"/>
      <c r="I123" s="25"/>
      <c r="J123" s="25"/>
      <c r="K123" s="25"/>
      <c r="L123" s="25"/>
      <c r="M123" s="25"/>
      <c r="N123" s="25"/>
      <c r="O123" s="25"/>
      <c r="P123" s="25"/>
      <c r="Q123" s="25"/>
      <c r="R123" s="34">
        <v>-811</v>
      </c>
      <c r="S123" s="34"/>
      <c r="T123" s="53"/>
      <c r="U123" s="25"/>
      <c r="V123" s="5"/>
    </row>
    <row r="124" spans="1:22" ht="15.6" x14ac:dyDescent="0.3">
      <c r="A124" s="24"/>
      <c r="B124" s="25" t="s">
        <v>237</v>
      </c>
      <c r="C124" s="25"/>
      <c r="D124" s="25"/>
      <c r="E124" s="25"/>
      <c r="F124" s="25"/>
      <c r="G124" s="25"/>
      <c r="H124" s="25"/>
      <c r="I124" s="25"/>
      <c r="J124" s="25"/>
      <c r="K124" s="25"/>
      <c r="L124" s="25"/>
      <c r="M124" s="25"/>
      <c r="N124" s="25"/>
      <c r="O124" s="25"/>
      <c r="P124" s="25"/>
      <c r="Q124" s="25"/>
      <c r="R124" s="34">
        <v>0</v>
      </c>
      <c r="S124" s="34"/>
      <c r="T124" s="53"/>
      <c r="U124" s="25"/>
      <c r="V124" s="5"/>
    </row>
    <row r="125" spans="1:22" ht="15.6" x14ac:dyDescent="0.3">
      <c r="A125" s="24"/>
      <c r="B125" s="25" t="s">
        <v>238</v>
      </c>
      <c r="C125" s="25"/>
      <c r="D125" s="25"/>
      <c r="E125" s="25"/>
      <c r="F125" s="25"/>
      <c r="G125" s="25"/>
      <c r="H125" s="25"/>
      <c r="I125" s="25"/>
      <c r="J125" s="25"/>
      <c r="K125" s="25"/>
      <c r="L125" s="25"/>
      <c r="M125" s="25"/>
      <c r="N125" s="25"/>
      <c r="O125" s="25"/>
      <c r="P125" s="25"/>
      <c r="Q125" s="25"/>
      <c r="R125" s="34">
        <v>0</v>
      </c>
      <c r="S125" s="34"/>
      <c r="T125" s="53"/>
      <c r="U125" s="25"/>
      <c r="V125" s="5"/>
    </row>
    <row r="126" spans="1:22" ht="15.6" x14ac:dyDescent="0.3">
      <c r="A126" s="24"/>
      <c r="B126" s="25" t="s">
        <v>239</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240</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43</v>
      </c>
      <c r="C128" s="25"/>
      <c r="D128" s="25"/>
      <c r="E128" s="25"/>
      <c r="F128" s="25"/>
      <c r="G128" s="25"/>
      <c r="H128" s="25"/>
      <c r="I128" s="25"/>
      <c r="J128" s="25"/>
      <c r="K128" s="25"/>
      <c r="L128" s="25"/>
      <c r="M128" s="25"/>
      <c r="N128" s="25"/>
      <c r="O128" s="25"/>
      <c r="P128" s="25"/>
      <c r="Q128" s="25"/>
      <c r="R128" s="34">
        <f>SUM(R118:R127)</f>
        <v>-19116</v>
      </c>
      <c r="S128" s="34"/>
      <c r="T128" s="34">
        <f>SUM(T97:T126)</f>
        <v>-10418</v>
      </c>
      <c r="U128" s="25"/>
      <c r="V128" s="5"/>
    </row>
    <row r="129" spans="1:23" ht="15.6" x14ac:dyDescent="0.3">
      <c r="A129" s="24"/>
      <c r="B129" s="25" t="s">
        <v>44</v>
      </c>
      <c r="C129" s="25"/>
      <c r="D129" s="25"/>
      <c r="E129" s="25"/>
      <c r="F129" s="25"/>
      <c r="G129" s="25"/>
      <c r="H129" s="25"/>
      <c r="I129" s="25"/>
      <c r="J129" s="25"/>
      <c r="K129" s="25"/>
      <c r="L129" s="25"/>
      <c r="M129" s="25"/>
      <c r="N129" s="25"/>
      <c r="O129" s="25"/>
      <c r="P129" s="25"/>
      <c r="Q129" s="25"/>
      <c r="R129" s="34">
        <f>R96+R128</f>
        <v>0</v>
      </c>
      <c r="S129" s="34"/>
      <c r="T129" s="34">
        <f>T96+T128</f>
        <v>0</v>
      </c>
      <c r="U129" s="25"/>
      <c r="V129" s="5"/>
    </row>
    <row r="130" spans="1:23" ht="15.6" x14ac:dyDescent="0.3">
      <c r="A130" s="24"/>
      <c r="B130" s="25"/>
      <c r="C130" s="25"/>
      <c r="D130" s="25"/>
      <c r="E130" s="25"/>
      <c r="F130" s="25"/>
      <c r="G130" s="25"/>
      <c r="H130" s="25"/>
      <c r="I130" s="25"/>
      <c r="J130" s="25"/>
      <c r="K130" s="25"/>
      <c r="L130" s="25"/>
      <c r="M130" s="25"/>
      <c r="N130" s="25"/>
      <c r="O130" s="25"/>
      <c r="P130" s="25"/>
      <c r="Q130" s="25"/>
      <c r="R130" s="34"/>
      <c r="S130" s="34"/>
      <c r="T130" s="34"/>
      <c r="U130" s="25"/>
      <c r="V130" s="5"/>
    </row>
    <row r="131" spans="1:23" ht="15.6" x14ac:dyDescent="0.3">
      <c r="A131" s="6"/>
      <c r="B131" s="8"/>
      <c r="C131" s="8"/>
      <c r="D131" s="8"/>
      <c r="E131" s="8"/>
      <c r="F131" s="8"/>
      <c r="G131" s="8"/>
      <c r="H131" s="8"/>
      <c r="I131" s="8"/>
      <c r="J131" s="8"/>
      <c r="K131" s="8"/>
      <c r="L131" s="8"/>
      <c r="M131" s="8"/>
      <c r="N131" s="8"/>
      <c r="O131" s="8"/>
      <c r="P131" s="8"/>
      <c r="Q131" s="8"/>
      <c r="R131" s="8"/>
      <c r="S131" s="8"/>
      <c r="T131" s="52"/>
      <c r="U131" s="8"/>
      <c r="V131" s="5"/>
    </row>
    <row r="132" spans="1:23" ht="18" thickBot="1" x14ac:dyDescent="0.35">
      <c r="A132" s="102"/>
      <c r="B132" s="103" t="str">
        <f>B61</f>
        <v>PM9 INVESTOR REPORT QUARTER ENDING JANUARY 2006</v>
      </c>
      <c r="C132" s="104"/>
      <c r="D132" s="104"/>
      <c r="E132" s="104"/>
      <c r="F132" s="104"/>
      <c r="G132" s="104"/>
      <c r="H132" s="104"/>
      <c r="I132" s="104"/>
      <c r="J132" s="104"/>
      <c r="K132" s="104"/>
      <c r="L132" s="104"/>
      <c r="M132" s="104"/>
      <c r="N132" s="104"/>
      <c r="O132" s="104"/>
      <c r="P132" s="104"/>
      <c r="Q132" s="104"/>
      <c r="R132" s="104"/>
      <c r="S132" s="104"/>
      <c r="T132" s="107"/>
      <c r="U132" s="106"/>
      <c r="V132" s="5"/>
    </row>
    <row r="133" spans="1:23" ht="15.6" x14ac:dyDescent="0.3">
      <c r="A133" s="2"/>
      <c r="B133" s="60" t="s">
        <v>45</v>
      </c>
      <c r="C133" s="4"/>
      <c r="D133" s="4"/>
      <c r="E133" s="4"/>
      <c r="F133" s="4"/>
      <c r="G133" s="4"/>
      <c r="H133" s="4"/>
      <c r="I133" s="4"/>
      <c r="J133" s="4"/>
      <c r="K133" s="4"/>
      <c r="L133" s="4"/>
      <c r="M133" s="4"/>
      <c r="N133" s="4"/>
      <c r="O133" s="4"/>
      <c r="P133" s="4"/>
      <c r="Q133" s="4"/>
      <c r="R133" s="4"/>
      <c r="S133" s="4"/>
      <c r="T133" s="50"/>
      <c r="U133" s="4"/>
      <c r="V133" s="5"/>
    </row>
    <row r="134" spans="1:23" ht="15.6" x14ac:dyDescent="0.3">
      <c r="A134" s="6"/>
      <c r="B134" s="21"/>
      <c r="C134" s="8"/>
      <c r="D134" s="8"/>
      <c r="E134" s="8"/>
      <c r="F134" s="8"/>
      <c r="G134" s="8"/>
      <c r="H134" s="8"/>
      <c r="I134" s="8"/>
      <c r="J134" s="8"/>
      <c r="K134" s="8"/>
      <c r="L134" s="8"/>
      <c r="M134" s="8"/>
      <c r="N134" s="8"/>
      <c r="O134" s="8"/>
      <c r="P134" s="8"/>
      <c r="Q134" s="8"/>
      <c r="R134" s="8"/>
      <c r="S134" s="8"/>
      <c r="T134" s="52"/>
      <c r="U134" s="8"/>
      <c r="V134" s="5"/>
    </row>
    <row r="135" spans="1:23" ht="15.6" x14ac:dyDescent="0.3">
      <c r="A135" s="6"/>
      <c r="B135" s="120" t="s">
        <v>46</v>
      </c>
      <c r="C135" s="8"/>
      <c r="D135" s="8"/>
      <c r="E135" s="8"/>
      <c r="F135" s="8"/>
      <c r="G135" s="8"/>
      <c r="H135" s="8"/>
      <c r="I135" s="8"/>
      <c r="J135" s="8"/>
      <c r="K135" s="8"/>
      <c r="L135" s="8"/>
      <c r="M135" s="8"/>
      <c r="N135" s="8"/>
      <c r="O135" s="8"/>
      <c r="P135" s="8"/>
      <c r="Q135" s="8"/>
      <c r="R135" s="8"/>
      <c r="S135" s="8"/>
      <c r="T135" s="52"/>
      <c r="U135" s="8"/>
      <c r="V135" s="5"/>
    </row>
    <row r="136" spans="1:23" ht="15.6" x14ac:dyDescent="0.3">
      <c r="A136" s="24"/>
      <c r="B136" s="25" t="s">
        <v>47</v>
      </c>
      <c r="C136" s="25"/>
      <c r="D136" s="25"/>
      <c r="E136" s="25"/>
      <c r="F136" s="25"/>
      <c r="G136" s="25"/>
      <c r="H136" s="25"/>
      <c r="I136" s="25"/>
      <c r="J136" s="25"/>
      <c r="K136" s="25"/>
      <c r="L136" s="25"/>
      <c r="M136" s="25"/>
      <c r="N136" s="25"/>
      <c r="O136" s="25"/>
      <c r="P136" s="25"/>
      <c r="Q136" s="25"/>
      <c r="R136" s="25"/>
      <c r="S136" s="25"/>
      <c r="T136" s="53">
        <f>+T32*0.0176</f>
        <v>12320</v>
      </c>
      <c r="U136" s="25"/>
      <c r="V136" s="5"/>
    </row>
    <row r="137" spans="1:23" ht="15.6" x14ac:dyDescent="0.3">
      <c r="A137" s="24"/>
      <c r="B137" s="25" t="s">
        <v>48</v>
      </c>
      <c r="C137" s="25"/>
      <c r="D137" s="25"/>
      <c r="E137" s="25"/>
      <c r="F137" s="25"/>
      <c r="G137" s="25"/>
      <c r="H137" s="25"/>
      <c r="I137" s="25"/>
      <c r="J137" s="25"/>
      <c r="K137" s="25"/>
      <c r="L137" s="25"/>
      <c r="M137" s="25"/>
      <c r="N137" s="25"/>
      <c r="O137" s="25"/>
      <c r="P137" s="25"/>
      <c r="Q137" s="25"/>
      <c r="R137" s="25"/>
      <c r="S137" s="25"/>
      <c r="T137" s="53">
        <v>12320</v>
      </c>
      <c r="U137" s="25"/>
      <c r="V137" s="5"/>
    </row>
    <row r="138" spans="1:23" ht="15.6" x14ac:dyDescent="0.3">
      <c r="A138" s="24"/>
      <c r="B138" s="25" t="s">
        <v>145</v>
      </c>
      <c r="C138" s="25"/>
      <c r="D138" s="25"/>
      <c r="E138" s="25"/>
      <c r="F138" s="25"/>
      <c r="G138" s="25"/>
      <c r="H138" s="25"/>
      <c r="I138" s="25"/>
      <c r="J138" s="25"/>
      <c r="K138" s="25"/>
      <c r="L138" s="25"/>
      <c r="M138" s="25"/>
      <c r="N138" s="25"/>
      <c r="O138" s="25"/>
      <c r="P138" s="25"/>
      <c r="Q138" s="25"/>
      <c r="R138" s="25"/>
      <c r="S138" s="25"/>
      <c r="T138" s="53">
        <v>0</v>
      </c>
      <c r="U138" s="25"/>
      <c r="V138" s="5"/>
    </row>
    <row r="139" spans="1:23" ht="15.6" x14ac:dyDescent="0.3">
      <c r="A139" s="24"/>
      <c r="B139" s="25" t="s">
        <v>132</v>
      </c>
      <c r="C139" s="25"/>
      <c r="D139" s="25"/>
      <c r="E139" s="25"/>
      <c r="F139" s="25"/>
      <c r="G139" s="25"/>
      <c r="H139" s="25"/>
      <c r="I139" s="25"/>
      <c r="J139" s="25"/>
      <c r="K139" s="25"/>
      <c r="L139" s="25"/>
      <c r="M139" s="25"/>
      <c r="N139" s="25"/>
      <c r="O139" s="25"/>
      <c r="P139" s="25"/>
      <c r="Q139" s="25"/>
      <c r="R139" s="25"/>
      <c r="S139" s="25"/>
      <c r="T139" s="53">
        <v>0</v>
      </c>
      <c r="U139" s="25"/>
      <c r="V139" s="5"/>
    </row>
    <row r="140" spans="1:23" ht="15.6" x14ac:dyDescent="0.3">
      <c r="A140" s="24"/>
      <c r="B140" s="25" t="s">
        <v>133</v>
      </c>
      <c r="C140" s="25"/>
      <c r="D140" s="25"/>
      <c r="E140" s="25"/>
      <c r="F140" s="25"/>
      <c r="G140" s="25"/>
      <c r="H140" s="25"/>
      <c r="I140" s="25"/>
      <c r="J140" s="25"/>
      <c r="K140" s="25"/>
      <c r="L140" s="25"/>
      <c r="M140" s="25"/>
      <c r="N140" s="25"/>
      <c r="O140" s="25"/>
      <c r="P140" s="25"/>
      <c r="Q140" s="25"/>
      <c r="R140" s="25"/>
      <c r="S140" s="25"/>
      <c r="T140" s="53">
        <v>0</v>
      </c>
      <c r="U140" s="25"/>
      <c r="V140" s="5"/>
    </row>
    <row r="141" spans="1:23" ht="15.6" x14ac:dyDescent="0.3">
      <c r="A141" s="24"/>
      <c r="B141" s="25" t="s">
        <v>232</v>
      </c>
      <c r="C141" s="25"/>
      <c r="D141" s="25"/>
      <c r="E141" s="25"/>
      <c r="F141" s="25"/>
      <c r="G141" s="25"/>
      <c r="H141" s="25"/>
      <c r="I141" s="25"/>
      <c r="J141" s="25"/>
      <c r="K141" s="25"/>
      <c r="L141" s="25"/>
      <c r="M141" s="25"/>
      <c r="N141" s="25"/>
      <c r="O141" s="25"/>
      <c r="P141" s="25"/>
      <c r="Q141" s="25"/>
      <c r="R141" s="25"/>
      <c r="S141" s="25"/>
      <c r="T141" s="53">
        <v>0</v>
      </c>
      <c r="U141" s="25"/>
      <c r="V141" s="5"/>
    </row>
    <row r="142" spans="1:23" ht="15.6" x14ac:dyDescent="0.3">
      <c r="A142" s="24"/>
      <c r="B142" s="25" t="s">
        <v>49</v>
      </c>
      <c r="C142" s="25"/>
      <c r="D142" s="25"/>
      <c r="E142" s="25"/>
      <c r="F142" s="25"/>
      <c r="G142" s="25"/>
      <c r="H142" s="25"/>
      <c r="I142" s="25"/>
      <c r="J142" s="25"/>
      <c r="K142" s="25"/>
      <c r="L142" s="25"/>
      <c r="M142" s="25"/>
      <c r="N142" s="25"/>
      <c r="O142" s="25"/>
      <c r="P142" s="25"/>
      <c r="Q142" s="25"/>
      <c r="R142" s="25"/>
      <c r="S142" s="25"/>
      <c r="T142" s="53">
        <v>0</v>
      </c>
      <c r="U142" s="25"/>
      <c r="V142" s="5"/>
    </row>
    <row r="143" spans="1:23" ht="15.6" x14ac:dyDescent="0.3">
      <c r="A143" s="24"/>
      <c r="B143" s="25" t="s">
        <v>138</v>
      </c>
      <c r="C143" s="25"/>
      <c r="D143" s="25"/>
      <c r="E143" s="25"/>
      <c r="F143" s="25"/>
      <c r="G143" s="25"/>
      <c r="H143" s="25"/>
      <c r="I143" s="25"/>
      <c r="J143" s="25"/>
      <c r="K143" s="25"/>
      <c r="L143" s="25"/>
      <c r="M143" s="25"/>
      <c r="N143" s="25"/>
      <c r="O143" s="25"/>
      <c r="P143" s="25"/>
      <c r="Q143" s="25"/>
      <c r="R143" s="25"/>
      <c r="S143" s="25"/>
      <c r="T143" s="53">
        <v>0</v>
      </c>
      <c r="U143" s="25"/>
      <c r="V143" s="5"/>
    </row>
    <row r="144" spans="1:23" ht="15.6" x14ac:dyDescent="0.3">
      <c r="A144" s="24"/>
      <c r="B144" s="25" t="s">
        <v>231</v>
      </c>
      <c r="C144" s="25"/>
      <c r="D144" s="25"/>
      <c r="E144" s="25"/>
      <c r="F144" s="25"/>
      <c r="G144" s="25"/>
      <c r="H144" s="25"/>
      <c r="I144" s="25"/>
      <c r="J144" s="25"/>
      <c r="K144" s="25"/>
      <c r="L144" s="25"/>
      <c r="M144" s="25"/>
      <c r="N144" s="25"/>
      <c r="O144" s="25"/>
      <c r="P144" s="25"/>
      <c r="Q144" s="25"/>
      <c r="R144" s="25"/>
      <c r="S144" s="25"/>
      <c r="T144" s="53">
        <v>0</v>
      </c>
      <c r="U144" s="25"/>
      <c r="V144" s="5"/>
      <c r="W144" s="110"/>
    </row>
    <row r="145" spans="1:22" ht="15.6" x14ac:dyDescent="0.3">
      <c r="A145" s="24"/>
      <c r="B145" s="25" t="s">
        <v>50</v>
      </c>
      <c r="C145" s="25"/>
      <c r="D145" s="25"/>
      <c r="E145" s="25"/>
      <c r="F145" s="25"/>
      <c r="G145" s="25"/>
      <c r="H145" s="25"/>
      <c r="I145" s="25"/>
      <c r="J145" s="25"/>
      <c r="K145" s="25"/>
      <c r="L145" s="25"/>
      <c r="M145" s="25"/>
      <c r="N145" s="25"/>
      <c r="O145" s="25"/>
      <c r="P145" s="25"/>
      <c r="Q145" s="25"/>
      <c r="R145" s="25"/>
      <c r="S145" s="25"/>
      <c r="T145" s="53">
        <f>SUM(T137:T144)</f>
        <v>12320</v>
      </c>
      <c r="U145" s="25"/>
      <c r="V145" s="5"/>
    </row>
    <row r="146" spans="1:22" ht="15.6" x14ac:dyDescent="0.3">
      <c r="A146" s="24"/>
      <c r="B146" s="25"/>
      <c r="C146" s="25"/>
      <c r="D146" s="25"/>
      <c r="E146" s="25"/>
      <c r="F146" s="25"/>
      <c r="G146" s="25"/>
      <c r="H146" s="25"/>
      <c r="I146" s="25"/>
      <c r="J146" s="25"/>
      <c r="K146" s="25"/>
      <c r="L146" s="25"/>
      <c r="M146" s="25"/>
      <c r="N146" s="25"/>
      <c r="O146" s="25"/>
      <c r="P146" s="25"/>
      <c r="Q146" s="25"/>
      <c r="R146" s="25"/>
      <c r="S146" s="25"/>
      <c r="T146" s="53"/>
      <c r="U146" s="25"/>
      <c r="V146" s="5"/>
    </row>
    <row r="147" spans="1:22" ht="15.6" x14ac:dyDescent="0.3">
      <c r="A147" s="24"/>
      <c r="B147" s="141" t="s">
        <v>264</v>
      </c>
      <c r="C147" s="25"/>
      <c r="D147" s="25"/>
      <c r="E147" s="25"/>
      <c r="F147" s="25"/>
      <c r="G147" s="25"/>
      <c r="H147" s="25"/>
      <c r="I147" s="25"/>
      <c r="J147" s="25"/>
      <c r="K147" s="25"/>
      <c r="L147" s="25"/>
      <c r="M147" s="25"/>
      <c r="N147" s="25"/>
      <c r="O147" s="25"/>
      <c r="P147" s="25"/>
      <c r="Q147" s="25"/>
      <c r="R147" s="25"/>
      <c r="S147" s="25"/>
      <c r="T147" s="53"/>
      <c r="U147" s="25"/>
      <c r="V147" s="5"/>
    </row>
    <row r="148" spans="1:22" ht="15.6" x14ac:dyDescent="0.3">
      <c r="A148" s="24"/>
      <c r="B148" s="25" t="s">
        <v>170</v>
      </c>
      <c r="C148" s="25"/>
      <c r="D148" s="25"/>
      <c r="E148" s="25"/>
      <c r="F148" s="25"/>
      <c r="G148" s="25"/>
      <c r="H148" s="25"/>
      <c r="I148" s="25"/>
      <c r="J148" s="25"/>
      <c r="K148" s="25"/>
      <c r="L148" s="25"/>
      <c r="M148" s="25"/>
      <c r="N148" s="25"/>
      <c r="O148" s="25"/>
      <c r="P148" s="25"/>
      <c r="Q148" s="25"/>
      <c r="R148" s="25"/>
      <c r="S148" s="25"/>
      <c r="T148" s="53">
        <v>10000</v>
      </c>
      <c r="U148" s="25"/>
      <c r="V148" s="5"/>
    </row>
    <row r="149" spans="1:22" ht="15.6" x14ac:dyDescent="0.3">
      <c r="A149" s="24"/>
      <c r="B149" s="25" t="s">
        <v>260</v>
      </c>
      <c r="C149" s="25"/>
      <c r="D149" s="25"/>
      <c r="E149" s="25"/>
      <c r="F149" s="25"/>
      <c r="G149" s="25"/>
      <c r="H149" s="25"/>
      <c r="I149" s="25"/>
      <c r="J149" s="25"/>
      <c r="K149" s="25"/>
      <c r="L149" s="25"/>
      <c r="M149" s="25"/>
      <c r="N149" s="25"/>
      <c r="O149" s="25"/>
      <c r="P149" s="25"/>
      <c r="Q149" s="25"/>
      <c r="R149" s="25"/>
      <c r="S149" s="25"/>
      <c r="T149" s="53">
        <f>'Oct 05'!T148</f>
        <v>8633</v>
      </c>
      <c r="U149" s="25"/>
      <c r="V149" s="5"/>
    </row>
    <row r="150" spans="1:22" ht="15.6" x14ac:dyDescent="0.3">
      <c r="A150" s="24"/>
      <c r="B150" s="25" t="s">
        <v>228</v>
      </c>
      <c r="C150" s="25"/>
      <c r="D150" s="25"/>
      <c r="E150" s="25"/>
      <c r="F150" s="25"/>
      <c r="G150" s="25"/>
      <c r="H150" s="25"/>
      <c r="I150" s="25"/>
      <c r="J150" s="25"/>
      <c r="K150" s="25"/>
      <c r="L150" s="25"/>
      <c r="M150" s="25"/>
      <c r="N150" s="25"/>
      <c r="O150" s="25"/>
      <c r="P150" s="25"/>
      <c r="Q150" s="25"/>
      <c r="R150" s="25"/>
      <c r="S150" s="25"/>
      <c r="T150" s="53">
        <v>0</v>
      </c>
      <c r="U150" s="25"/>
      <c r="V150" s="5"/>
    </row>
    <row r="151" spans="1:22" ht="15.6" x14ac:dyDescent="0.3">
      <c r="A151" s="24"/>
      <c r="B151" s="25" t="s">
        <v>266</v>
      </c>
      <c r="C151" s="25"/>
      <c r="D151" s="25"/>
      <c r="E151" s="25"/>
      <c r="F151" s="25"/>
      <c r="G151" s="25"/>
      <c r="H151" s="25"/>
      <c r="I151" s="25"/>
      <c r="J151" s="25"/>
      <c r="K151" s="25"/>
      <c r="L151" s="25"/>
      <c r="M151" s="25"/>
      <c r="N151" s="25"/>
      <c r="O151" s="25"/>
      <c r="P151" s="25"/>
      <c r="Q151" s="25"/>
      <c r="R151" s="25"/>
      <c r="S151" s="25"/>
      <c r="T151" s="53">
        <v>8430</v>
      </c>
      <c r="U151" s="25"/>
      <c r="V151" s="5"/>
    </row>
    <row r="152" spans="1:22" ht="15.6" x14ac:dyDescent="0.3">
      <c r="A152" s="24"/>
      <c r="B152" s="25"/>
      <c r="C152" s="25"/>
      <c r="D152" s="25"/>
      <c r="E152" s="25"/>
      <c r="F152" s="25"/>
      <c r="G152" s="25"/>
      <c r="H152" s="25"/>
      <c r="I152" s="25"/>
      <c r="J152" s="25"/>
      <c r="K152" s="25"/>
      <c r="L152" s="25"/>
      <c r="M152" s="25"/>
      <c r="N152" s="25"/>
      <c r="O152" s="25"/>
      <c r="P152" s="25"/>
      <c r="Q152" s="25"/>
      <c r="R152" s="25"/>
      <c r="S152" s="25"/>
      <c r="T152" s="53"/>
      <c r="U152" s="25"/>
      <c r="V152" s="5"/>
    </row>
    <row r="153" spans="1:22" ht="15.6" x14ac:dyDescent="0.3">
      <c r="A153" s="24"/>
      <c r="B153" s="25"/>
      <c r="C153" s="25"/>
      <c r="D153" s="25"/>
      <c r="E153" s="25"/>
      <c r="F153" s="25"/>
      <c r="G153" s="25"/>
      <c r="H153" s="25"/>
      <c r="I153" s="25"/>
      <c r="J153" s="25"/>
      <c r="K153" s="25"/>
      <c r="L153" s="25"/>
      <c r="M153" s="25"/>
      <c r="N153" s="25"/>
      <c r="O153" s="25"/>
      <c r="P153" s="25"/>
      <c r="Q153" s="25"/>
      <c r="R153" s="25"/>
      <c r="S153" s="25"/>
      <c r="T153" s="61"/>
      <c r="U153" s="25"/>
      <c r="V153" s="5"/>
    </row>
    <row r="154" spans="1:22" ht="15.6" x14ac:dyDescent="0.3">
      <c r="A154" s="6"/>
      <c r="B154" s="120" t="s">
        <v>25</v>
      </c>
      <c r="C154" s="8"/>
      <c r="D154" s="8"/>
      <c r="E154" s="8"/>
      <c r="F154" s="8"/>
      <c r="G154" s="8"/>
      <c r="H154" s="8"/>
      <c r="I154" s="8"/>
      <c r="J154" s="8"/>
      <c r="K154" s="8"/>
      <c r="L154" s="8"/>
      <c r="M154" s="8"/>
      <c r="N154" s="8"/>
      <c r="O154" s="8"/>
      <c r="P154" s="8"/>
      <c r="Q154" s="8"/>
      <c r="R154" s="8"/>
      <c r="S154" s="8"/>
      <c r="T154" s="52"/>
      <c r="U154" s="8"/>
      <c r="V154" s="5"/>
    </row>
    <row r="155" spans="1:22" ht="15.6" x14ac:dyDescent="0.3">
      <c r="A155" s="24"/>
      <c r="B155" s="25" t="s">
        <v>51</v>
      </c>
      <c r="C155" s="25"/>
      <c r="D155" s="25"/>
      <c r="E155" s="25"/>
      <c r="F155" s="25"/>
      <c r="G155" s="25"/>
      <c r="H155" s="25"/>
      <c r="I155" s="25"/>
      <c r="J155" s="25"/>
      <c r="K155" s="25"/>
      <c r="L155" s="25"/>
      <c r="M155" s="25"/>
      <c r="N155" s="25"/>
      <c r="O155" s="25"/>
      <c r="P155" s="25"/>
      <c r="Q155" s="25"/>
      <c r="R155" s="25"/>
      <c r="S155" s="25"/>
      <c r="T155" s="59" t="s">
        <v>127</v>
      </c>
      <c r="U155" s="25"/>
      <c r="V155" s="5"/>
    </row>
    <row r="156" spans="1:22" ht="15.6" x14ac:dyDescent="0.3">
      <c r="A156" s="24"/>
      <c r="B156" s="25" t="s">
        <v>52</v>
      </c>
      <c r="C156" s="160"/>
      <c r="D156" s="160"/>
      <c r="E156" s="160"/>
      <c r="F156" s="160"/>
      <c r="G156" s="160"/>
      <c r="H156" s="160"/>
      <c r="I156" s="160"/>
      <c r="J156" s="160"/>
      <c r="K156" s="160"/>
      <c r="L156" s="160"/>
      <c r="M156" s="160"/>
      <c r="N156" s="160"/>
      <c r="O156" s="160"/>
      <c r="P156" s="160"/>
      <c r="Q156" s="160"/>
      <c r="R156" s="160"/>
      <c r="S156" s="160"/>
      <c r="T156" s="59" t="s">
        <v>127</v>
      </c>
      <c r="U156" s="25"/>
      <c r="V156" s="5"/>
    </row>
    <row r="157" spans="1:22" ht="15.6" x14ac:dyDescent="0.3">
      <c r="A157" s="24"/>
      <c r="B157" s="25" t="s">
        <v>53</v>
      </c>
      <c r="C157" s="25"/>
      <c r="D157" s="25"/>
      <c r="E157" s="25"/>
      <c r="F157" s="25"/>
      <c r="G157" s="25"/>
      <c r="H157" s="25"/>
      <c r="I157" s="25"/>
      <c r="J157" s="25"/>
      <c r="K157" s="25"/>
      <c r="L157" s="25"/>
      <c r="M157" s="25"/>
      <c r="N157" s="25"/>
      <c r="O157" s="25"/>
      <c r="P157" s="25"/>
      <c r="Q157" s="25"/>
      <c r="R157" s="25"/>
      <c r="S157" s="25"/>
      <c r="T157" s="59" t="s">
        <v>127</v>
      </c>
      <c r="U157" s="25"/>
      <c r="V157" s="5"/>
    </row>
    <row r="158" spans="1:22" ht="15.6" x14ac:dyDescent="0.3">
      <c r="A158" s="24"/>
      <c r="B158" s="25" t="s">
        <v>54</v>
      </c>
      <c r="C158" s="25"/>
      <c r="D158" s="25"/>
      <c r="E158" s="25"/>
      <c r="F158" s="25"/>
      <c r="G158" s="25"/>
      <c r="H158" s="25"/>
      <c r="I158" s="25"/>
      <c r="J158" s="25"/>
      <c r="K158" s="25"/>
      <c r="L158" s="25"/>
      <c r="M158" s="25"/>
      <c r="N158" s="25"/>
      <c r="O158" s="25"/>
      <c r="P158" s="25"/>
      <c r="Q158" s="25"/>
      <c r="R158" s="25"/>
      <c r="S158" s="25"/>
      <c r="T158" s="59" t="s">
        <v>127</v>
      </c>
      <c r="U158" s="25"/>
      <c r="V158" s="5"/>
    </row>
    <row r="159" spans="1:22" ht="15.6" x14ac:dyDescent="0.3">
      <c r="A159" s="24"/>
      <c r="B159" s="25"/>
      <c r="C159" s="25"/>
      <c r="D159" s="25"/>
      <c r="E159" s="25"/>
      <c r="F159" s="25"/>
      <c r="G159" s="25"/>
      <c r="H159" s="25"/>
      <c r="I159" s="25"/>
      <c r="J159" s="25"/>
      <c r="K159" s="25"/>
      <c r="L159" s="25"/>
      <c r="M159" s="25"/>
      <c r="N159" s="25"/>
      <c r="O159" s="25"/>
      <c r="P159" s="25"/>
      <c r="Q159" s="25"/>
      <c r="R159" s="25"/>
      <c r="S159" s="25"/>
      <c r="T159" s="61"/>
      <c r="U159" s="25"/>
      <c r="V159" s="5"/>
    </row>
    <row r="160" spans="1:22" ht="15.6" x14ac:dyDescent="0.3">
      <c r="A160" s="6"/>
      <c r="B160" s="120" t="s">
        <v>55</v>
      </c>
      <c r="C160" s="8"/>
      <c r="D160" s="8"/>
      <c r="E160" s="8"/>
      <c r="F160" s="8"/>
      <c r="G160" s="8"/>
      <c r="H160" s="8"/>
      <c r="I160" s="8"/>
      <c r="J160" s="8"/>
      <c r="K160" s="8"/>
      <c r="L160" s="8"/>
      <c r="M160" s="8"/>
      <c r="N160" s="8"/>
      <c r="O160" s="8"/>
      <c r="P160" s="8"/>
      <c r="Q160" s="8"/>
      <c r="R160" s="8"/>
      <c r="S160" s="8"/>
      <c r="T160" s="63"/>
      <c r="U160" s="8"/>
      <c r="V160" s="5"/>
    </row>
    <row r="161" spans="1:22" ht="15.6" x14ac:dyDescent="0.3">
      <c r="A161" s="24"/>
      <c r="B161" s="25" t="s">
        <v>56</v>
      </c>
      <c r="C161" s="25"/>
      <c r="D161" s="25"/>
      <c r="E161" s="25"/>
      <c r="F161" s="25"/>
      <c r="G161" s="25"/>
      <c r="H161" s="25"/>
      <c r="I161" s="25"/>
      <c r="J161" s="25"/>
      <c r="K161" s="25"/>
      <c r="L161" s="25"/>
      <c r="M161" s="25"/>
      <c r="N161" s="25"/>
      <c r="O161" s="25"/>
      <c r="P161" s="25"/>
      <c r="Q161" s="25"/>
      <c r="R161" s="25"/>
      <c r="S161" s="25"/>
      <c r="T161" s="53">
        <v>0</v>
      </c>
      <c r="U161" s="25"/>
      <c r="V161" s="5"/>
    </row>
    <row r="162" spans="1:22" ht="15.6" x14ac:dyDescent="0.3">
      <c r="A162" s="24"/>
      <c r="B162" s="25" t="s">
        <v>57</v>
      </c>
      <c r="C162" s="25"/>
      <c r="D162" s="25"/>
      <c r="E162" s="25"/>
      <c r="F162" s="25"/>
      <c r="G162" s="25"/>
      <c r="H162" s="25"/>
      <c r="I162" s="25"/>
      <c r="J162" s="25"/>
      <c r="K162" s="25"/>
      <c r="L162" s="25"/>
      <c r="M162" s="25"/>
      <c r="N162" s="25"/>
      <c r="O162" s="25"/>
      <c r="P162" s="25"/>
      <c r="Q162" s="25"/>
      <c r="R162" s="25"/>
      <c r="S162" s="25"/>
      <c r="T162" s="53">
        <v>0</v>
      </c>
      <c r="U162" s="25"/>
      <c r="V162" s="5"/>
    </row>
    <row r="163" spans="1:22" ht="15.6" x14ac:dyDescent="0.3">
      <c r="A163" s="24"/>
      <c r="B163" s="25" t="s">
        <v>58</v>
      </c>
      <c r="C163" s="25"/>
      <c r="D163" s="25"/>
      <c r="E163" s="25"/>
      <c r="F163" s="25"/>
      <c r="G163" s="25"/>
      <c r="H163" s="25"/>
      <c r="I163" s="25"/>
      <c r="J163" s="25"/>
      <c r="K163" s="25"/>
      <c r="L163" s="25"/>
      <c r="M163" s="25"/>
      <c r="N163" s="25"/>
      <c r="O163" s="25"/>
      <c r="P163" s="25"/>
      <c r="Q163" s="25"/>
      <c r="R163" s="25"/>
      <c r="S163" s="25"/>
      <c r="T163" s="53">
        <f>T162+T161</f>
        <v>0</v>
      </c>
      <c r="U163" s="25"/>
      <c r="V163" s="5"/>
    </row>
    <row r="164" spans="1:22" ht="15.6" x14ac:dyDescent="0.3">
      <c r="A164" s="24"/>
      <c r="B164" s="25" t="s">
        <v>309</v>
      </c>
      <c r="C164" s="25"/>
      <c r="D164" s="25"/>
      <c r="E164" s="25"/>
      <c r="F164" s="25"/>
      <c r="G164" s="25"/>
      <c r="H164" s="25"/>
      <c r="I164" s="25"/>
      <c r="J164" s="25"/>
      <c r="K164" s="25"/>
      <c r="L164" s="25"/>
      <c r="M164" s="25"/>
      <c r="N164" s="25"/>
      <c r="O164" s="25"/>
      <c r="P164" s="25"/>
      <c r="Q164" s="25"/>
      <c r="R164" s="25"/>
      <c r="S164" s="25"/>
      <c r="T164" s="53">
        <f>T112</f>
        <v>0</v>
      </c>
      <c r="U164" s="25"/>
      <c r="V164" s="5"/>
    </row>
    <row r="165" spans="1:22" ht="15.6" x14ac:dyDescent="0.3">
      <c r="A165" s="24"/>
      <c r="B165" s="25" t="s">
        <v>59</v>
      </c>
      <c r="C165" s="25"/>
      <c r="D165" s="25"/>
      <c r="E165" s="25"/>
      <c r="F165" s="25"/>
      <c r="G165" s="25"/>
      <c r="H165" s="25"/>
      <c r="I165" s="25"/>
      <c r="J165" s="25"/>
      <c r="K165" s="25"/>
      <c r="L165" s="25"/>
      <c r="M165" s="25"/>
      <c r="N165" s="25"/>
      <c r="O165" s="25"/>
      <c r="P165" s="25"/>
      <c r="Q165" s="25"/>
      <c r="R165" s="25"/>
      <c r="S165" s="25"/>
      <c r="T165" s="53">
        <f>T163+T164</f>
        <v>0</v>
      </c>
      <c r="U165" s="25"/>
      <c r="V165" s="5"/>
    </row>
    <row r="166" spans="1:22" ht="16.2" thickBot="1" x14ac:dyDescent="0.35">
      <c r="A166" s="24"/>
      <c r="B166" s="25"/>
      <c r="C166" s="25"/>
      <c r="D166" s="25"/>
      <c r="E166" s="25"/>
      <c r="F166" s="25"/>
      <c r="G166" s="25"/>
      <c r="H166" s="25"/>
      <c r="I166" s="25"/>
      <c r="J166" s="25"/>
      <c r="K166" s="25"/>
      <c r="L166" s="25"/>
      <c r="M166" s="25"/>
      <c r="N166" s="25"/>
      <c r="O166" s="25"/>
      <c r="P166" s="25"/>
      <c r="Q166" s="25"/>
      <c r="R166" s="25"/>
      <c r="S166" s="25"/>
      <c r="T166" s="61"/>
      <c r="U166" s="25"/>
      <c r="V166" s="5"/>
    </row>
    <row r="167" spans="1:22" ht="15.6" x14ac:dyDescent="0.3">
      <c r="A167" s="2"/>
      <c r="B167" s="4"/>
      <c r="C167" s="4"/>
      <c r="D167" s="4"/>
      <c r="E167" s="4"/>
      <c r="F167" s="4"/>
      <c r="G167" s="4"/>
      <c r="H167" s="4"/>
      <c r="I167" s="4"/>
      <c r="J167" s="4"/>
      <c r="K167" s="4"/>
      <c r="L167" s="4"/>
      <c r="M167" s="4"/>
      <c r="N167" s="4"/>
      <c r="O167" s="4"/>
      <c r="P167" s="4"/>
      <c r="Q167" s="4"/>
      <c r="R167" s="4"/>
      <c r="S167" s="4"/>
      <c r="T167" s="50"/>
      <c r="U167" s="4"/>
      <c r="V167" s="5"/>
    </row>
    <row r="168" spans="1:22" ht="15.6" x14ac:dyDescent="0.3">
      <c r="A168" s="6"/>
      <c r="B168" s="120" t="s">
        <v>60</v>
      </c>
      <c r="C168" s="8"/>
      <c r="D168" s="8"/>
      <c r="E168" s="8"/>
      <c r="F168" s="8"/>
      <c r="G168" s="8"/>
      <c r="H168" s="8"/>
      <c r="I168" s="8"/>
      <c r="J168" s="8"/>
      <c r="K168" s="8"/>
      <c r="L168" s="8"/>
      <c r="M168" s="8"/>
      <c r="N168" s="8"/>
      <c r="O168" s="8"/>
      <c r="P168" s="8"/>
      <c r="Q168" s="8"/>
      <c r="R168" s="8"/>
      <c r="S168" s="8"/>
      <c r="T168" s="52"/>
      <c r="U168" s="8"/>
      <c r="V168" s="5"/>
    </row>
    <row r="169" spans="1:22" ht="15.6" x14ac:dyDescent="0.3">
      <c r="A169" s="6"/>
      <c r="B169" s="21"/>
      <c r="C169" s="8"/>
      <c r="D169" s="8"/>
      <c r="E169" s="8"/>
      <c r="F169" s="8"/>
      <c r="G169" s="8"/>
      <c r="H169" s="8"/>
      <c r="I169" s="8"/>
      <c r="J169" s="8"/>
      <c r="K169" s="8"/>
      <c r="L169" s="8"/>
      <c r="M169" s="8"/>
      <c r="N169" s="8"/>
      <c r="O169" s="8"/>
      <c r="P169" s="8"/>
      <c r="Q169" s="8"/>
      <c r="R169" s="8"/>
      <c r="S169" s="8"/>
      <c r="T169" s="52"/>
      <c r="U169" s="8"/>
      <c r="V169" s="5"/>
    </row>
    <row r="170" spans="1:22" ht="15.6" x14ac:dyDescent="0.3">
      <c r="A170" s="24"/>
      <c r="B170" s="25" t="s">
        <v>61</v>
      </c>
      <c r="C170" s="25"/>
      <c r="D170" s="25"/>
      <c r="E170" s="25"/>
      <c r="F170" s="25"/>
      <c r="G170" s="25"/>
      <c r="H170" s="25"/>
      <c r="I170" s="25"/>
      <c r="J170" s="25"/>
      <c r="K170" s="25"/>
      <c r="L170" s="25"/>
      <c r="M170" s="25"/>
      <c r="N170" s="25"/>
      <c r="O170" s="25"/>
      <c r="P170" s="25"/>
      <c r="Q170" s="25"/>
      <c r="R170" s="25"/>
      <c r="S170" s="25"/>
      <c r="T170" s="53">
        <f>T69</f>
        <v>665419</v>
      </c>
      <c r="U170" s="25"/>
      <c r="V170" s="5"/>
    </row>
    <row r="171" spans="1:22" ht="15.6" x14ac:dyDescent="0.3">
      <c r="A171" s="24"/>
      <c r="B171" s="25" t="s">
        <v>62</v>
      </c>
      <c r="C171" s="25"/>
      <c r="D171" s="25"/>
      <c r="E171" s="25"/>
      <c r="F171" s="25"/>
      <c r="G171" s="25"/>
      <c r="H171" s="25"/>
      <c r="I171" s="25"/>
      <c r="J171" s="25"/>
      <c r="K171" s="25"/>
      <c r="L171" s="25"/>
      <c r="M171" s="25"/>
      <c r="N171" s="25"/>
      <c r="O171" s="25"/>
      <c r="P171" s="25"/>
      <c r="Q171" s="25"/>
      <c r="R171" s="25"/>
      <c r="S171" s="25"/>
      <c r="T171" s="53">
        <f>T82</f>
        <v>665419</v>
      </c>
      <c r="U171" s="25"/>
      <c r="V171" s="5"/>
    </row>
    <row r="172" spans="1:22" ht="16.2" thickBot="1" x14ac:dyDescent="0.35">
      <c r="A172" s="24"/>
      <c r="B172" s="25"/>
      <c r="C172" s="25"/>
      <c r="D172" s="25"/>
      <c r="E172" s="25"/>
      <c r="F172" s="25"/>
      <c r="G172" s="25"/>
      <c r="H172" s="25"/>
      <c r="I172" s="25"/>
      <c r="J172" s="25"/>
      <c r="K172" s="25"/>
      <c r="L172" s="25"/>
      <c r="M172" s="25"/>
      <c r="N172" s="25"/>
      <c r="O172" s="25"/>
      <c r="P172" s="25"/>
      <c r="Q172" s="25"/>
      <c r="R172" s="25"/>
      <c r="S172" s="25"/>
      <c r="T172" s="61"/>
      <c r="U172" s="25"/>
      <c r="V172" s="5"/>
    </row>
    <row r="173" spans="1:22" ht="15.6" x14ac:dyDescent="0.3">
      <c r="A173" s="2"/>
      <c r="B173" s="4"/>
      <c r="C173" s="4"/>
      <c r="D173" s="4"/>
      <c r="E173" s="4"/>
      <c r="F173" s="4"/>
      <c r="G173" s="4"/>
      <c r="H173" s="4"/>
      <c r="I173" s="4"/>
      <c r="J173" s="4"/>
      <c r="K173" s="4"/>
      <c r="L173" s="4"/>
      <c r="M173" s="4"/>
      <c r="N173" s="4"/>
      <c r="O173" s="4"/>
      <c r="P173" s="4"/>
      <c r="Q173" s="4"/>
      <c r="R173" s="4"/>
      <c r="S173" s="4"/>
      <c r="T173" s="50"/>
      <c r="U173" s="4"/>
      <c r="V173" s="5"/>
    </row>
    <row r="174" spans="1:22" ht="15.6" x14ac:dyDescent="0.3">
      <c r="A174" s="6"/>
      <c r="B174" s="120" t="s">
        <v>63</v>
      </c>
      <c r="C174" s="118"/>
      <c r="D174" s="118"/>
      <c r="E174" s="118"/>
      <c r="F174" s="118"/>
      <c r="G174" s="118"/>
      <c r="H174" s="121"/>
      <c r="I174" s="121"/>
      <c r="J174" s="121"/>
      <c r="K174" s="121"/>
      <c r="L174" s="121"/>
      <c r="M174" s="121"/>
      <c r="N174" s="121"/>
      <c r="O174" s="121"/>
      <c r="P174" s="121"/>
      <c r="Q174" s="121" t="s">
        <v>107</v>
      </c>
      <c r="R174" s="121" t="s">
        <v>234</v>
      </c>
      <c r="S174" s="112"/>
      <c r="T174" s="122" t="s">
        <v>123</v>
      </c>
      <c r="U174" s="10"/>
      <c r="V174" s="5"/>
    </row>
    <row r="175" spans="1:22" ht="15.6" x14ac:dyDescent="0.3">
      <c r="A175" s="24"/>
      <c r="B175" s="25" t="s">
        <v>64</v>
      </c>
      <c r="C175" s="25"/>
      <c r="D175" s="25"/>
      <c r="E175" s="25"/>
      <c r="F175" s="25"/>
      <c r="G175" s="25"/>
      <c r="H175" s="25"/>
      <c r="I175" s="25"/>
      <c r="J175" s="25"/>
      <c r="K175" s="25"/>
      <c r="L175" s="25"/>
      <c r="M175" s="25"/>
      <c r="N175" s="25"/>
      <c r="O175" s="25"/>
      <c r="P175" s="25"/>
      <c r="Q175" s="53">
        <v>112000</v>
      </c>
      <c r="R175" s="40"/>
      <c r="S175" s="25"/>
      <c r="T175" s="53"/>
      <c r="U175" s="25"/>
      <c r="V175" s="5"/>
    </row>
    <row r="176" spans="1:22" ht="15.6" x14ac:dyDescent="0.3">
      <c r="A176" s="24"/>
      <c r="B176" s="25" t="s">
        <v>65</v>
      </c>
      <c r="C176" s="25"/>
      <c r="D176" s="25"/>
      <c r="E176" s="25"/>
      <c r="F176" s="25"/>
      <c r="G176" s="25"/>
      <c r="H176" s="25"/>
      <c r="I176" s="25"/>
      <c r="J176" s="25"/>
      <c r="K176" s="25"/>
      <c r="L176" s="25"/>
      <c r="M176" s="25"/>
      <c r="N176" s="25"/>
      <c r="O176" s="25"/>
      <c r="P176" s="25"/>
      <c r="Q176" s="53">
        <f>+'Oct 05'!Q175</f>
        <v>4922</v>
      </c>
      <c r="R176" s="53">
        <f>+'Oct 05'!R175</f>
        <v>1148</v>
      </c>
      <c r="S176" s="25"/>
      <c r="T176" s="53">
        <f>Q176+R176</f>
        <v>6070</v>
      </c>
      <c r="U176" s="25"/>
      <c r="V176" s="5"/>
    </row>
    <row r="177" spans="1:22" ht="15.6" x14ac:dyDescent="0.3">
      <c r="A177" s="24"/>
      <c r="B177" s="25" t="s">
        <v>66</v>
      </c>
      <c r="C177" s="25"/>
      <c r="D177" s="25"/>
      <c r="E177" s="25"/>
      <c r="F177" s="25"/>
      <c r="G177" s="25"/>
      <c r="H177" s="25"/>
      <c r="I177" s="25"/>
      <c r="J177" s="25"/>
      <c r="K177" s="25"/>
      <c r="L177" s="25"/>
      <c r="M177" s="25"/>
      <c r="N177" s="25"/>
      <c r="O177" s="25"/>
      <c r="P177" s="25"/>
      <c r="Q177" s="34">
        <v>3297</v>
      </c>
      <c r="R177" s="34">
        <v>547</v>
      </c>
      <c r="S177" s="25"/>
      <c r="T177" s="53">
        <f>Q177+R177</f>
        <v>3844</v>
      </c>
      <c r="U177" s="25"/>
      <c r="V177" s="5"/>
    </row>
    <row r="178" spans="1:22" ht="15.6" x14ac:dyDescent="0.3">
      <c r="A178" s="24"/>
      <c r="B178" s="25" t="s">
        <v>67</v>
      </c>
      <c r="C178" s="25"/>
      <c r="D178" s="25"/>
      <c r="E178" s="25"/>
      <c r="F178" s="25"/>
      <c r="G178" s="25"/>
      <c r="H178" s="25"/>
      <c r="I178" s="25"/>
      <c r="J178" s="25"/>
      <c r="K178" s="25"/>
      <c r="L178" s="25"/>
      <c r="M178" s="25"/>
      <c r="N178" s="25"/>
      <c r="O178" s="25"/>
      <c r="P178" s="25"/>
      <c r="Q178" s="53">
        <f>Q176+Q177</f>
        <v>8219</v>
      </c>
      <c r="R178" s="53">
        <f>R177+R176</f>
        <v>1695</v>
      </c>
      <c r="S178" s="25"/>
      <c r="T178" s="53">
        <f>Q178+R178</f>
        <v>9914</v>
      </c>
      <c r="U178" s="25"/>
      <c r="V178" s="5"/>
    </row>
    <row r="179" spans="1:22" ht="15.6" x14ac:dyDescent="0.3">
      <c r="A179" s="24"/>
      <c r="B179" s="25" t="s">
        <v>68</v>
      </c>
      <c r="C179" s="25"/>
      <c r="D179" s="25"/>
      <c r="E179" s="25"/>
      <c r="F179" s="25"/>
      <c r="G179" s="25"/>
      <c r="H179" s="25"/>
      <c r="I179" s="25"/>
      <c r="J179" s="25"/>
      <c r="K179" s="25"/>
      <c r="L179" s="25"/>
      <c r="M179" s="25"/>
      <c r="N179" s="25"/>
      <c r="O179" s="25"/>
      <c r="P179" s="25"/>
      <c r="Q179" s="53">
        <f>Q175-Q178-R178</f>
        <v>102086</v>
      </c>
      <c r="R179" s="40"/>
      <c r="S179" s="25"/>
      <c r="T179" s="53"/>
      <c r="U179" s="25"/>
      <c r="V179" s="5"/>
    </row>
    <row r="180" spans="1:22" ht="16.2" thickBot="1" x14ac:dyDescent="0.35">
      <c r="A180" s="24"/>
      <c r="B180" s="25"/>
      <c r="C180" s="25"/>
      <c r="D180" s="25"/>
      <c r="E180" s="25"/>
      <c r="F180" s="25"/>
      <c r="G180" s="25"/>
      <c r="H180" s="25"/>
      <c r="I180" s="25"/>
      <c r="J180" s="25"/>
      <c r="K180" s="25"/>
      <c r="L180" s="25"/>
      <c r="M180" s="25"/>
      <c r="N180" s="25"/>
      <c r="O180" s="25"/>
      <c r="P180" s="25"/>
      <c r="Q180" s="25"/>
      <c r="R180" s="25"/>
      <c r="S180" s="25"/>
      <c r="T180" s="61"/>
      <c r="U180" s="25"/>
      <c r="V180" s="5"/>
    </row>
    <row r="181" spans="1:22" ht="15.6" x14ac:dyDescent="0.3">
      <c r="A181" s="2"/>
      <c r="B181" s="4"/>
      <c r="C181" s="4"/>
      <c r="D181" s="4"/>
      <c r="E181" s="4"/>
      <c r="F181" s="4"/>
      <c r="G181" s="4"/>
      <c r="H181" s="4"/>
      <c r="I181" s="4"/>
      <c r="J181" s="4"/>
      <c r="K181" s="4"/>
      <c r="L181" s="4"/>
      <c r="M181" s="4"/>
      <c r="N181" s="4"/>
      <c r="O181" s="4"/>
      <c r="P181" s="4"/>
      <c r="Q181" s="4"/>
      <c r="R181" s="4"/>
      <c r="S181" s="4"/>
      <c r="T181" s="50"/>
      <c r="U181" s="4"/>
      <c r="V181" s="5"/>
    </row>
    <row r="182" spans="1:22" ht="15.6" x14ac:dyDescent="0.3">
      <c r="A182" s="6"/>
      <c r="B182" s="120" t="s">
        <v>69</v>
      </c>
      <c r="C182" s="8"/>
      <c r="D182" s="8"/>
      <c r="E182" s="8"/>
      <c r="F182" s="8"/>
      <c r="G182" s="8"/>
      <c r="H182" s="8"/>
      <c r="I182" s="8"/>
      <c r="J182" s="8"/>
      <c r="K182" s="8"/>
      <c r="L182" s="8"/>
      <c r="M182" s="8"/>
      <c r="N182" s="8"/>
      <c r="O182" s="8"/>
      <c r="P182" s="8"/>
      <c r="Q182" s="8"/>
      <c r="R182" s="8"/>
      <c r="S182" s="8"/>
      <c r="T182" s="65"/>
      <c r="U182" s="8"/>
      <c r="V182" s="5"/>
    </row>
    <row r="183" spans="1:22" ht="15.6" x14ac:dyDescent="0.3">
      <c r="A183" s="24"/>
      <c r="B183" s="25" t="s">
        <v>70</v>
      </c>
      <c r="C183" s="25"/>
      <c r="D183" s="25"/>
      <c r="E183" s="25"/>
      <c r="F183" s="25"/>
      <c r="G183" s="25"/>
      <c r="H183" s="25"/>
      <c r="I183" s="25"/>
      <c r="J183" s="25"/>
      <c r="K183" s="25"/>
      <c r="L183" s="25"/>
      <c r="M183" s="25"/>
      <c r="N183" s="25"/>
      <c r="O183" s="25"/>
      <c r="P183" s="25"/>
      <c r="Q183" s="25"/>
      <c r="R183" s="25"/>
      <c r="S183" s="25"/>
      <c r="T183" s="59">
        <f>(T96+T98+T99+T100+T101+T102)/-(T103+T104+T105)</f>
        <v>1.3751022634305972</v>
      </c>
      <c r="U183" s="25" t="s">
        <v>124</v>
      </c>
      <c r="V183" s="5"/>
    </row>
    <row r="184" spans="1:22" ht="15.6" x14ac:dyDescent="0.3">
      <c r="A184" s="24"/>
      <c r="B184" s="25" t="s">
        <v>71</v>
      </c>
      <c r="C184" s="25"/>
      <c r="D184" s="25"/>
      <c r="E184" s="25"/>
      <c r="F184" s="25"/>
      <c r="G184" s="25"/>
      <c r="H184" s="25"/>
      <c r="I184" s="25"/>
      <c r="J184" s="25"/>
      <c r="K184" s="25"/>
      <c r="L184" s="25"/>
      <c r="M184" s="25"/>
      <c r="N184" s="25"/>
      <c r="O184" s="25"/>
      <c r="P184" s="25"/>
      <c r="Q184" s="25"/>
      <c r="R184" s="25"/>
      <c r="S184" s="25"/>
      <c r="T184" s="66">
        <v>1.28</v>
      </c>
      <c r="U184" s="25" t="s">
        <v>124</v>
      </c>
      <c r="V184" s="5"/>
    </row>
    <row r="185" spans="1:22" ht="15.6" x14ac:dyDescent="0.3">
      <c r="A185" s="24"/>
      <c r="B185" s="25" t="s">
        <v>72</v>
      </c>
      <c r="C185" s="25"/>
      <c r="D185" s="25"/>
      <c r="E185" s="25"/>
      <c r="F185" s="25"/>
      <c r="G185" s="25"/>
      <c r="H185" s="25"/>
      <c r="I185" s="25"/>
      <c r="J185" s="25"/>
      <c r="K185" s="25"/>
      <c r="L185" s="25"/>
      <c r="M185" s="25"/>
      <c r="N185" s="25"/>
      <c r="O185" s="25"/>
      <c r="P185" s="25"/>
      <c r="Q185" s="25"/>
      <c r="R185" s="25"/>
      <c r="S185" s="25"/>
      <c r="T185" s="59">
        <f>(T96+T98+T99+T100+T101+T102+T103+T104+T105)/-(T106+T107)</f>
        <v>8.0911764705882359</v>
      </c>
      <c r="U185" s="25" t="s">
        <v>124</v>
      </c>
      <c r="V185" s="5"/>
    </row>
    <row r="186" spans="1:22" ht="15.6" x14ac:dyDescent="0.3">
      <c r="A186" s="24"/>
      <c r="B186" s="25" t="s">
        <v>73</v>
      </c>
      <c r="C186" s="25"/>
      <c r="D186" s="25"/>
      <c r="E186" s="25"/>
      <c r="F186" s="25"/>
      <c r="G186" s="25"/>
      <c r="H186" s="25"/>
      <c r="I186" s="25"/>
      <c r="J186" s="25"/>
      <c r="K186" s="25"/>
      <c r="L186" s="25"/>
      <c r="M186" s="25"/>
      <c r="N186" s="25"/>
      <c r="O186" s="25"/>
      <c r="P186" s="25"/>
      <c r="Q186" s="25"/>
      <c r="R186" s="25"/>
      <c r="S186" s="25"/>
      <c r="T186" s="67">
        <v>6.18</v>
      </c>
      <c r="U186" s="25" t="s">
        <v>124</v>
      </c>
      <c r="V186" s="5"/>
    </row>
    <row r="187" spans="1:22" ht="15.6" x14ac:dyDescent="0.3">
      <c r="A187" s="24"/>
      <c r="B187" s="25" t="s">
        <v>243</v>
      </c>
      <c r="C187" s="25"/>
      <c r="D187" s="25"/>
      <c r="E187" s="25"/>
      <c r="F187" s="25"/>
      <c r="G187" s="25"/>
      <c r="H187" s="25"/>
      <c r="I187" s="25"/>
      <c r="J187" s="25"/>
      <c r="K187" s="25"/>
      <c r="L187" s="25"/>
      <c r="M187" s="25"/>
      <c r="N187" s="25"/>
      <c r="O187" s="25"/>
      <c r="P187" s="25"/>
      <c r="Q187" s="25"/>
      <c r="R187" s="25"/>
      <c r="S187" s="25"/>
      <c r="T187" s="59">
        <f>(T96+T98+T99+T100+T101+T102+T103+T104+T105+T106+T107)/-(T108+T109)</f>
        <v>3.8148734177215191</v>
      </c>
      <c r="U187" s="25" t="s">
        <v>124</v>
      </c>
      <c r="V187" s="5"/>
    </row>
    <row r="188" spans="1:22" ht="15.6" x14ac:dyDescent="0.3">
      <c r="A188" s="24"/>
      <c r="B188" s="25" t="s">
        <v>244</v>
      </c>
      <c r="C188" s="25"/>
      <c r="D188" s="25"/>
      <c r="E188" s="25"/>
      <c r="F188" s="25"/>
      <c r="G188" s="25"/>
      <c r="H188" s="25"/>
      <c r="I188" s="25"/>
      <c r="J188" s="25"/>
      <c r="K188" s="25"/>
      <c r="L188" s="25"/>
      <c r="M188" s="25"/>
      <c r="N188" s="25"/>
      <c r="O188" s="25"/>
      <c r="P188" s="25"/>
      <c r="Q188" s="25"/>
      <c r="R188" s="25"/>
      <c r="S188" s="25"/>
      <c r="T188" s="67">
        <v>2.79</v>
      </c>
      <c r="U188" s="25" t="s">
        <v>124</v>
      </c>
      <c r="V188" s="5"/>
    </row>
    <row r="189" spans="1:22" ht="15.6" x14ac:dyDescent="0.3">
      <c r="A189" s="24"/>
      <c r="B189" s="25"/>
      <c r="C189" s="25"/>
      <c r="D189" s="25"/>
      <c r="E189" s="25"/>
      <c r="F189" s="25"/>
      <c r="G189" s="25"/>
      <c r="H189" s="25"/>
      <c r="I189" s="25"/>
      <c r="J189" s="25"/>
      <c r="K189" s="25"/>
      <c r="L189" s="25"/>
      <c r="M189" s="25"/>
      <c r="N189" s="25"/>
      <c r="O189" s="25"/>
      <c r="P189" s="25"/>
      <c r="Q189" s="25"/>
      <c r="R189" s="25"/>
      <c r="S189" s="25"/>
      <c r="T189" s="25"/>
      <c r="U189" s="25"/>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6"/>
      <c r="B191" s="8"/>
      <c r="C191" s="8"/>
      <c r="D191" s="8"/>
      <c r="E191" s="8"/>
      <c r="F191" s="8"/>
      <c r="G191" s="8"/>
      <c r="H191" s="8"/>
      <c r="I191" s="8"/>
      <c r="J191" s="8"/>
      <c r="K191" s="8"/>
      <c r="L191" s="8"/>
      <c r="M191" s="8"/>
      <c r="N191" s="8"/>
      <c r="O191" s="8"/>
      <c r="P191" s="8"/>
      <c r="Q191" s="8"/>
      <c r="R191" s="8"/>
      <c r="S191" s="8"/>
      <c r="T191" s="8"/>
      <c r="U191" s="8"/>
      <c r="V191" s="5"/>
    </row>
    <row r="192" spans="1:22" ht="18" thickBot="1" x14ac:dyDescent="0.35">
      <c r="A192" s="102"/>
      <c r="B192" s="103" t="str">
        <f>B132</f>
        <v>PM9 INVESTOR REPORT QUARTER ENDING JANUARY 2006</v>
      </c>
      <c r="C192" s="162"/>
      <c r="D192" s="162"/>
      <c r="E192" s="162"/>
      <c r="F192" s="162"/>
      <c r="G192" s="162"/>
      <c r="H192" s="162"/>
      <c r="I192" s="162"/>
      <c r="J192" s="162"/>
      <c r="K192" s="162"/>
      <c r="L192" s="162"/>
      <c r="M192" s="162"/>
      <c r="N192" s="162"/>
      <c r="O192" s="162"/>
      <c r="P192" s="162"/>
      <c r="Q192" s="162"/>
      <c r="R192" s="162"/>
      <c r="S192" s="162"/>
      <c r="T192" s="162"/>
      <c r="U192" s="163"/>
      <c r="V192" s="5"/>
    </row>
    <row r="193" spans="1:22" ht="15.6" x14ac:dyDescent="0.3">
      <c r="A193" s="68"/>
      <c r="B193" s="60" t="s">
        <v>74</v>
      </c>
      <c r="C193" s="69"/>
      <c r="D193" s="69"/>
      <c r="E193" s="69"/>
      <c r="F193" s="69"/>
      <c r="G193" s="70"/>
      <c r="H193" s="70"/>
      <c r="I193" s="70"/>
      <c r="J193" s="70"/>
      <c r="K193" s="70"/>
      <c r="L193" s="70"/>
      <c r="M193" s="70"/>
      <c r="N193" s="70"/>
      <c r="O193" s="70"/>
      <c r="P193" s="70"/>
      <c r="Q193" s="70"/>
      <c r="R193" s="71">
        <v>38748</v>
      </c>
      <c r="S193" s="4"/>
      <c r="T193" s="4"/>
      <c r="U193" s="4"/>
      <c r="V193" s="5"/>
    </row>
    <row r="194" spans="1:22" ht="15.6" x14ac:dyDescent="0.3">
      <c r="A194" s="72"/>
      <c r="B194" s="73"/>
      <c r="C194" s="74"/>
      <c r="D194" s="74"/>
      <c r="E194" s="74"/>
      <c r="F194" s="74"/>
      <c r="G194" s="75"/>
      <c r="H194" s="75"/>
      <c r="I194" s="75"/>
      <c r="J194" s="75"/>
      <c r="K194" s="75"/>
      <c r="L194" s="75"/>
      <c r="M194" s="75"/>
      <c r="N194" s="75"/>
      <c r="O194" s="75"/>
      <c r="P194" s="75"/>
      <c r="Q194" s="75"/>
      <c r="R194" s="75"/>
      <c r="S194" s="8"/>
      <c r="T194" s="8"/>
      <c r="U194" s="8"/>
      <c r="V194" s="5"/>
    </row>
    <row r="195" spans="1:22" ht="15.6" x14ac:dyDescent="0.3">
      <c r="A195" s="76"/>
      <c r="B195" s="77" t="s">
        <v>75</v>
      </c>
      <c r="C195" s="78"/>
      <c r="D195" s="78"/>
      <c r="E195" s="78"/>
      <c r="F195" s="78"/>
      <c r="G195" s="64"/>
      <c r="H195" s="64"/>
      <c r="I195" s="64"/>
      <c r="J195" s="64"/>
      <c r="K195" s="64"/>
      <c r="L195" s="64"/>
      <c r="M195" s="64"/>
      <c r="N195" s="64"/>
      <c r="O195" s="64"/>
      <c r="P195" s="64"/>
      <c r="Q195" s="64"/>
      <c r="R195" s="79">
        <v>5.8209999999999998E-2</v>
      </c>
      <c r="S195" s="25"/>
      <c r="T195" s="25"/>
      <c r="U195" s="25"/>
      <c r="V195" s="5"/>
    </row>
    <row r="196" spans="1:22" ht="15.6" x14ac:dyDescent="0.3">
      <c r="A196" s="76"/>
      <c r="B196" s="77" t="s">
        <v>164</v>
      </c>
      <c r="C196" s="78"/>
      <c r="D196" s="78"/>
      <c r="E196" s="78"/>
      <c r="F196" s="78"/>
      <c r="G196" s="64"/>
      <c r="H196" s="64"/>
      <c r="I196" s="64"/>
      <c r="J196" s="64"/>
      <c r="K196" s="64"/>
      <c r="L196" s="64"/>
      <c r="M196" s="64"/>
      <c r="N196" s="64"/>
      <c r="O196" s="64"/>
      <c r="P196" s="64"/>
      <c r="Q196" s="64"/>
      <c r="R196" s="39">
        <f>'Oct 05'!R193</f>
        <v>4.8438496428571419E-2</v>
      </c>
      <c r="S196" s="25"/>
      <c r="T196" s="25"/>
      <c r="U196" s="25"/>
      <c r="V196" s="5"/>
    </row>
    <row r="197" spans="1:22" ht="15.6" x14ac:dyDescent="0.3">
      <c r="A197" s="76"/>
      <c r="B197" s="77" t="s">
        <v>76</v>
      </c>
      <c r="C197" s="78"/>
      <c r="D197" s="78"/>
      <c r="E197" s="78"/>
      <c r="F197" s="78"/>
      <c r="G197" s="64"/>
      <c r="H197" s="64"/>
      <c r="I197" s="64"/>
      <c r="J197" s="64"/>
      <c r="K197" s="64"/>
      <c r="L197" s="64"/>
      <c r="M197" s="64"/>
      <c r="N197" s="64"/>
      <c r="O197" s="64"/>
      <c r="P197" s="64"/>
      <c r="Q197" s="64"/>
      <c r="R197" s="79">
        <f>R195-R196</f>
        <v>9.7715035714285789E-3</v>
      </c>
      <c r="S197" s="25"/>
      <c r="T197" s="25"/>
      <c r="U197" s="25"/>
      <c r="V197" s="5"/>
    </row>
    <row r="198" spans="1:22" ht="15.6" x14ac:dyDescent="0.3">
      <c r="A198" s="76"/>
      <c r="B198" s="77" t="s">
        <v>77</v>
      </c>
      <c r="C198" s="78"/>
      <c r="D198" s="78"/>
      <c r="E198" s="78"/>
      <c r="F198" s="78"/>
      <c r="G198" s="64"/>
      <c r="H198" s="64"/>
      <c r="I198" s="64"/>
      <c r="J198" s="64"/>
      <c r="K198" s="64"/>
      <c r="L198" s="64"/>
      <c r="M198" s="64"/>
      <c r="N198" s="64"/>
      <c r="O198" s="64"/>
      <c r="P198" s="64"/>
      <c r="Q198" s="64"/>
      <c r="R198" s="79">
        <v>5.7149999999999999E-2</v>
      </c>
      <c r="S198" s="25"/>
      <c r="T198" s="25"/>
      <c r="U198" s="25"/>
      <c r="V198" s="5"/>
    </row>
    <row r="199" spans="1:22" ht="15.6" x14ac:dyDescent="0.3">
      <c r="A199" s="76"/>
      <c r="B199" s="77" t="s">
        <v>257</v>
      </c>
      <c r="C199" s="78"/>
      <c r="D199" s="78"/>
      <c r="E199" s="78"/>
      <c r="F199" s="78"/>
      <c r="G199" s="64"/>
      <c r="H199" s="64"/>
      <c r="I199" s="64"/>
      <c r="J199" s="64"/>
      <c r="K199" s="64"/>
      <c r="L199" s="64"/>
      <c r="M199" s="64"/>
      <c r="N199" s="64"/>
      <c r="O199" s="64"/>
      <c r="P199" s="64"/>
      <c r="Q199" s="64"/>
      <c r="R199" s="79">
        <f>+T41</f>
        <v>4.8432011108015281E-2</v>
      </c>
      <c r="S199" s="25"/>
      <c r="T199" s="25"/>
      <c r="U199" s="25"/>
      <c r="V199" s="5"/>
    </row>
    <row r="200" spans="1:22" ht="15.6" x14ac:dyDescent="0.3">
      <c r="A200" s="76"/>
      <c r="B200" s="77" t="s">
        <v>78</v>
      </c>
      <c r="C200" s="78"/>
      <c r="D200" s="78"/>
      <c r="E200" s="78"/>
      <c r="F200" s="78"/>
      <c r="G200" s="64"/>
      <c r="H200" s="64"/>
      <c r="I200" s="64"/>
      <c r="J200" s="64"/>
      <c r="K200" s="64"/>
      <c r="L200" s="64"/>
      <c r="M200" s="64"/>
      <c r="N200" s="64"/>
      <c r="O200" s="64"/>
      <c r="P200" s="64"/>
      <c r="Q200" s="64"/>
      <c r="R200" s="79">
        <f>R198-R199</f>
        <v>8.7179888919847182E-3</v>
      </c>
      <c r="S200" s="25"/>
      <c r="T200" s="25"/>
      <c r="U200" s="25"/>
      <c r="V200" s="5"/>
    </row>
    <row r="201" spans="1:22" ht="15.6" x14ac:dyDescent="0.3">
      <c r="A201" s="76"/>
      <c r="B201" s="77" t="s">
        <v>268</v>
      </c>
      <c r="C201" s="78"/>
      <c r="D201" s="78"/>
      <c r="E201" s="78"/>
      <c r="F201" s="78"/>
      <c r="G201" s="64"/>
      <c r="H201" s="64"/>
      <c r="I201" s="64"/>
      <c r="J201" s="64"/>
      <c r="K201" s="64"/>
      <c r="L201" s="64"/>
      <c r="M201" s="64"/>
      <c r="N201" s="64"/>
      <c r="O201" s="64"/>
      <c r="P201" s="64"/>
      <c r="Q201" s="64"/>
      <c r="R201" s="79">
        <f>+T96/L69</f>
        <v>1.531230157796957E-2</v>
      </c>
      <c r="S201" s="25"/>
      <c r="T201" s="25"/>
      <c r="U201" s="25"/>
      <c r="V201" s="5"/>
    </row>
    <row r="202" spans="1:22" ht="15.6" x14ac:dyDescent="0.3">
      <c r="A202" s="76"/>
      <c r="B202" s="77" t="s">
        <v>249</v>
      </c>
      <c r="C202" s="78"/>
      <c r="D202" s="78"/>
      <c r="E202" s="78"/>
      <c r="F202" s="78"/>
      <c r="G202" s="64"/>
      <c r="H202" s="64"/>
      <c r="I202" s="64"/>
      <c r="J202" s="64"/>
      <c r="K202" s="64"/>
      <c r="L202" s="64"/>
      <c r="M202" s="64"/>
      <c r="N202" s="64"/>
      <c r="O202" s="64"/>
      <c r="P202" s="64"/>
      <c r="Q202" s="64"/>
      <c r="R202" s="132">
        <v>51622</v>
      </c>
      <c r="S202" s="25"/>
      <c r="T202" s="25"/>
      <c r="U202" s="25"/>
      <c r="V202" s="5"/>
    </row>
    <row r="203" spans="1:22" ht="15.6" x14ac:dyDescent="0.3">
      <c r="A203" s="76"/>
      <c r="B203" s="77" t="s">
        <v>250</v>
      </c>
      <c r="C203" s="78"/>
      <c r="D203" s="78"/>
      <c r="E203" s="78"/>
      <c r="F203" s="78"/>
      <c r="G203" s="64"/>
      <c r="H203" s="64"/>
      <c r="I203" s="64"/>
      <c r="J203" s="64"/>
      <c r="K203" s="64"/>
      <c r="L203" s="64"/>
      <c r="M203" s="64"/>
      <c r="N203" s="64"/>
      <c r="O203" s="64"/>
      <c r="P203" s="64"/>
      <c r="Q203" s="64"/>
      <c r="R203" s="132">
        <v>51622</v>
      </c>
      <c r="S203" s="25"/>
      <c r="T203" s="25"/>
      <c r="U203" s="25"/>
      <c r="V203" s="5"/>
    </row>
    <row r="204" spans="1:22" ht="15.6" x14ac:dyDescent="0.3">
      <c r="A204" s="76"/>
      <c r="B204" s="77" t="s">
        <v>251</v>
      </c>
      <c r="C204" s="78"/>
      <c r="D204" s="78"/>
      <c r="E204" s="78"/>
      <c r="F204" s="78"/>
      <c r="G204" s="64"/>
      <c r="H204" s="64"/>
      <c r="I204" s="64"/>
      <c r="J204" s="64"/>
      <c r="K204" s="64"/>
      <c r="L204" s="64"/>
      <c r="M204" s="64"/>
      <c r="N204" s="64"/>
      <c r="O204" s="64"/>
      <c r="P204" s="64"/>
      <c r="Q204" s="64"/>
      <c r="R204" s="132">
        <v>51622</v>
      </c>
      <c r="S204" s="25"/>
      <c r="T204" s="25"/>
      <c r="U204" s="25"/>
      <c r="V204" s="5"/>
    </row>
    <row r="205" spans="1:22" ht="15.6" x14ac:dyDescent="0.3">
      <c r="A205" s="76"/>
      <c r="B205" s="77" t="s">
        <v>79</v>
      </c>
      <c r="C205" s="78"/>
      <c r="D205" s="78"/>
      <c r="E205" s="78"/>
      <c r="F205" s="78"/>
      <c r="G205" s="64"/>
      <c r="H205" s="64"/>
      <c r="I205" s="64"/>
      <c r="J205" s="64"/>
      <c r="K205" s="64"/>
      <c r="L205" s="64"/>
      <c r="M205" s="64"/>
      <c r="N205" s="64"/>
      <c r="O205" s="64"/>
      <c r="P205" s="64"/>
      <c r="Q205" s="64"/>
      <c r="R205" s="136">
        <v>20.95</v>
      </c>
      <c r="S205" s="25" t="s">
        <v>119</v>
      </c>
      <c r="T205" s="25"/>
      <c r="U205" s="25"/>
      <c r="V205" s="5"/>
    </row>
    <row r="206" spans="1:22" ht="15.6" x14ac:dyDescent="0.3">
      <c r="A206" s="76"/>
      <c r="B206" s="77" t="s">
        <v>80</v>
      </c>
      <c r="C206" s="78"/>
      <c r="D206" s="78"/>
      <c r="E206" s="78"/>
      <c r="F206" s="78"/>
      <c r="G206" s="64"/>
      <c r="H206" s="64"/>
      <c r="I206" s="64"/>
      <c r="J206" s="64"/>
      <c r="K206" s="64"/>
      <c r="L206" s="64"/>
      <c r="M206" s="64"/>
      <c r="N206" s="64"/>
      <c r="O206" s="64"/>
      <c r="P206" s="64"/>
      <c r="Q206" s="64"/>
      <c r="R206" s="136">
        <v>20.49</v>
      </c>
      <c r="S206" s="25" t="s">
        <v>119</v>
      </c>
      <c r="T206" s="25"/>
      <c r="U206" s="25"/>
      <c r="V206" s="5"/>
    </row>
    <row r="207" spans="1:22" ht="15.6" x14ac:dyDescent="0.3">
      <c r="A207" s="76"/>
      <c r="B207" s="77" t="s">
        <v>81</v>
      </c>
      <c r="C207" s="78"/>
      <c r="D207" s="78"/>
      <c r="E207" s="78"/>
      <c r="F207" s="78"/>
      <c r="G207" s="64"/>
      <c r="H207" s="64"/>
      <c r="I207" s="64"/>
      <c r="J207" s="64"/>
      <c r="K207" s="64"/>
      <c r="L207" s="64"/>
      <c r="M207" s="64"/>
      <c r="N207" s="64"/>
      <c r="O207" s="64"/>
      <c r="P207" s="64"/>
      <c r="Q207" s="64"/>
      <c r="R207" s="79">
        <v>2.81E-2</v>
      </c>
      <c r="S207" s="25"/>
      <c r="T207" s="25"/>
      <c r="U207" s="25"/>
      <c r="V207" s="5"/>
    </row>
    <row r="208" spans="1:22" ht="15.6" x14ac:dyDescent="0.3">
      <c r="A208" s="76"/>
      <c r="B208" s="77" t="s">
        <v>82</v>
      </c>
      <c r="C208" s="78"/>
      <c r="D208" s="78"/>
      <c r="E208" s="78"/>
      <c r="F208" s="78"/>
      <c r="G208" s="64"/>
      <c r="H208" s="64"/>
      <c r="I208" s="64"/>
      <c r="J208" s="64"/>
      <c r="K208" s="64"/>
      <c r="L208" s="64"/>
      <c r="M208" s="64"/>
      <c r="N208" s="64"/>
      <c r="O208" s="64"/>
      <c r="P208" s="64"/>
      <c r="Q208" s="64"/>
      <c r="R208" s="79">
        <v>0.11</v>
      </c>
      <c r="S208" s="25"/>
      <c r="T208" s="25"/>
      <c r="U208" s="25"/>
      <c r="V208" s="5"/>
    </row>
    <row r="209" spans="1:22" ht="15.6" x14ac:dyDescent="0.3">
      <c r="A209" s="76"/>
      <c r="B209" s="77"/>
      <c r="C209" s="77"/>
      <c r="D209" s="77"/>
      <c r="E209" s="77"/>
      <c r="F209" s="77"/>
      <c r="G209" s="25"/>
      <c r="H209" s="25"/>
      <c r="I209" s="25"/>
      <c r="J209" s="25"/>
      <c r="K209" s="25"/>
      <c r="L209" s="25"/>
      <c r="M209" s="25"/>
      <c r="N209" s="25"/>
      <c r="O209" s="25"/>
      <c r="P209" s="25"/>
      <c r="Q209" s="25"/>
      <c r="R209" s="61"/>
      <c r="S209" s="25"/>
      <c r="T209" s="80"/>
      <c r="U209" s="25"/>
      <c r="V209" s="5"/>
    </row>
    <row r="210" spans="1:22" ht="15.6" x14ac:dyDescent="0.3">
      <c r="A210" s="81"/>
      <c r="B210" s="14" t="s">
        <v>83</v>
      </c>
      <c r="C210" s="82"/>
      <c r="D210" s="82"/>
      <c r="E210" s="82"/>
      <c r="F210" s="83"/>
      <c r="G210" s="82"/>
      <c r="H210" s="17"/>
      <c r="I210" s="17"/>
      <c r="J210" s="17"/>
      <c r="K210" s="17"/>
      <c r="L210" s="17"/>
      <c r="M210" s="17"/>
      <c r="N210" s="17"/>
      <c r="O210" s="17"/>
      <c r="P210" s="17"/>
      <c r="Q210" s="17" t="s">
        <v>108</v>
      </c>
      <c r="R210" s="84" t="s">
        <v>115</v>
      </c>
      <c r="S210" s="8"/>
      <c r="T210" s="8"/>
      <c r="U210" s="8"/>
      <c r="V210" s="5"/>
    </row>
    <row r="211" spans="1:22" ht="15.6" x14ac:dyDescent="0.3">
      <c r="A211" s="85"/>
      <c r="B211" s="77" t="s">
        <v>84</v>
      </c>
      <c r="C211" s="54"/>
      <c r="D211" s="54"/>
      <c r="E211" s="54"/>
      <c r="F211" s="25"/>
      <c r="G211" s="25"/>
      <c r="H211" s="30"/>
      <c r="I211" s="30"/>
      <c r="J211" s="30"/>
      <c r="K211" s="30"/>
      <c r="L211" s="30"/>
      <c r="M211" s="30"/>
      <c r="N211" s="30"/>
      <c r="O211" s="30"/>
      <c r="P211" s="30"/>
      <c r="Q211" s="30">
        <v>2</v>
      </c>
      <c r="R211" s="86">
        <v>69</v>
      </c>
      <c r="S211" s="25"/>
      <c r="T211" s="80"/>
      <c r="U211" s="87"/>
      <c r="V211" s="5"/>
    </row>
    <row r="212" spans="1:22" ht="15.6" x14ac:dyDescent="0.3">
      <c r="A212" s="85"/>
      <c r="B212" s="77" t="s">
        <v>156</v>
      </c>
      <c r="C212" s="54"/>
      <c r="D212" s="54"/>
      <c r="E212" s="54"/>
      <c r="F212" s="25"/>
      <c r="G212" s="25"/>
      <c r="H212" s="30"/>
      <c r="I212" s="30"/>
      <c r="J212" s="30"/>
      <c r="K212" s="30"/>
      <c r="L212" s="30"/>
      <c r="M212" s="30"/>
      <c r="N212" s="30"/>
      <c r="O212" s="30"/>
      <c r="P212" s="30"/>
      <c r="Q212" s="156">
        <f>+P251</f>
        <v>12</v>
      </c>
      <c r="R212" s="86">
        <f>+R251</f>
        <v>1937</v>
      </c>
      <c r="S212" s="25"/>
      <c r="T212" s="80"/>
      <c r="U212" s="87"/>
      <c r="V212" s="5"/>
    </row>
    <row r="213" spans="1:22" ht="15.6" x14ac:dyDescent="0.3">
      <c r="A213" s="85"/>
      <c r="B213" s="77" t="s">
        <v>85</v>
      </c>
      <c r="C213" s="54"/>
      <c r="D213" s="54"/>
      <c r="E213" s="54"/>
      <c r="F213" s="25"/>
      <c r="G213" s="25"/>
      <c r="H213" s="30"/>
      <c r="I213" s="30"/>
      <c r="J213" s="30"/>
      <c r="K213" s="30"/>
      <c r="L213" s="30"/>
      <c r="M213" s="30"/>
      <c r="N213" s="30"/>
      <c r="O213" s="30"/>
      <c r="P213" s="30"/>
      <c r="Q213" s="30">
        <v>0</v>
      </c>
      <c r="R213" s="86">
        <v>0</v>
      </c>
      <c r="S213" s="25"/>
      <c r="T213" s="80"/>
      <c r="U213" s="87"/>
      <c r="V213" s="5"/>
    </row>
    <row r="214" spans="1:22" ht="15.6" x14ac:dyDescent="0.3">
      <c r="A214" s="85"/>
      <c r="B214" s="123" t="s">
        <v>86</v>
      </c>
      <c r="C214" s="54"/>
      <c r="D214" s="54"/>
      <c r="E214" s="54"/>
      <c r="F214" s="25"/>
      <c r="G214" s="25"/>
      <c r="H214" s="25"/>
      <c r="I214" s="25"/>
      <c r="J214" s="25"/>
      <c r="K214" s="25"/>
      <c r="L214" s="25"/>
      <c r="M214" s="25"/>
      <c r="N214" s="25"/>
      <c r="O214" s="25"/>
      <c r="P214" s="25"/>
      <c r="Q214" s="25"/>
      <c r="R214" s="86">
        <v>0</v>
      </c>
      <c r="S214" s="25"/>
      <c r="T214" s="80"/>
      <c r="U214" s="87"/>
      <c r="V214" s="5"/>
    </row>
    <row r="215" spans="1:22" ht="15.6" x14ac:dyDescent="0.3">
      <c r="A215" s="85"/>
      <c r="B215" s="123" t="s">
        <v>87</v>
      </c>
      <c r="C215" s="54"/>
      <c r="D215" s="54"/>
      <c r="E215" s="54"/>
      <c r="F215" s="25"/>
      <c r="G215" s="25"/>
      <c r="H215" s="25"/>
      <c r="I215" s="25"/>
      <c r="J215" s="25"/>
      <c r="K215" s="25"/>
      <c r="L215" s="25"/>
      <c r="M215" s="25"/>
      <c r="N215" s="25"/>
      <c r="O215" s="25"/>
      <c r="P215" s="25"/>
      <c r="Q215" s="25"/>
      <c r="R215" s="62" t="s">
        <v>116</v>
      </c>
      <c r="S215" s="25"/>
      <c r="T215" s="80"/>
      <c r="U215" s="87"/>
      <c r="V215" s="5"/>
    </row>
    <row r="216" spans="1:22" ht="15.6" x14ac:dyDescent="0.3">
      <c r="A216" s="88"/>
      <c r="B216" s="123" t="s">
        <v>88</v>
      </c>
      <c r="C216" s="77"/>
      <c r="D216" s="77"/>
      <c r="E216" s="77"/>
      <c r="F216" s="77"/>
      <c r="G216" s="25"/>
      <c r="H216" s="25"/>
      <c r="I216" s="25"/>
      <c r="J216" s="25"/>
      <c r="K216" s="25"/>
      <c r="L216" s="25"/>
      <c r="M216" s="25"/>
      <c r="N216" s="25"/>
      <c r="O216" s="25"/>
      <c r="P216" s="25"/>
      <c r="Q216" s="25"/>
      <c r="R216" s="86"/>
      <c r="S216" s="25"/>
      <c r="T216" s="80"/>
      <c r="U216" s="89"/>
      <c r="V216" s="5"/>
    </row>
    <row r="217" spans="1:22" ht="15.6" x14ac:dyDescent="0.3">
      <c r="A217" s="88"/>
      <c r="B217" s="134" t="s">
        <v>89</v>
      </c>
      <c r="C217" s="77"/>
      <c r="D217" s="77"/>
      <c r="E217" s="77"/>
      <c r="F217" s="77"/>
      <c r="G217" s="25"/>
      <c r="H217" s="25"/>
      <c r="I217" s="25"/>
      <c r="J217" s="25"/>
      <c r="K217" s="25"/>
      <c r="L217" s="25"/>
      <c r="M217" s="25"/>
      <c r="N217" s="25"/>
      <c r="O217" s="25"/>
      <c r="P217" s="25"/>
      <c r="Q217" s="30">
        <v>0</v>
      </c>
      <c r="R217" s="86">
        <f>T162</f>
        <v>0</v>
      </c>
      <c r="S217" s="25"/>
      <c r="T217" s="80"/>
      <c r="U217" s="89"/>
      <c r="V217" s="5"/>
    </row>
    <row r="218" spans="1:22" ht="15.6" x14ac:dyDescent="0.3">
      <c r="A218" s="85"/>
      <c r="B218" s="77" t="s">
        <v>90</v>
      </c>
      <c r="C218" s="54"/>
      <c r="D218" s="54"/>
      <c r="E218" s="54"/>
      <c r="F218" s="54"/>
      <c r="G218" s="25"/>
      <c r="H218" s="25"/>
      <c r="I218" s="25"/>
      <c r="J218" s="25"/>
      <c r="K218" s="25"/>
      <c r="L218" s="25"/>
      <c r="M218" s="25"/>
      <c r="N218" s="25"/>
      <c r="O218" s="25"/>
      <c r="P218" s="25"/>
      <c r="Q218" s="30">
        <v>0</v>
      </c>
      <c r="R218" s="86">
        <f>'Oct 05'!R215+R217</f>
        <v>0</v>
      </c>
      <c r="S218" s="25"/>
      <c r="T218" s="80"/>
      <c r="U218" s="89"/>
      <c r="V218" s="5"/>
    </row>
    <row r="219" spans="1:22" ht="15.6" x14ac:dyDescent="0.3">
      <c r="A219" s="88"/>
      <c r="B219" s="123" t="s">
        <v>288</v>
      </c>
      <c r="C219" s="77"/>
      <c r="D219" s="77"/>
      <c r="E219" s="77"/>
      <c r="F219" s="77"/>
      <c r="G219" s="25"/>
      <c r="H219" s="25"/>
      <c r="I219" s="25"/>
      <c r="J219" s="25"/>
      <c r="K219" s="25"/>
      <c r="L219" s="25"/>
      <c r="M219" s="25"/>
      <c r="N219" s="25"/>
      <c r="O219" s="25"/>
      <c r="P219" s="25"/>
      <c r="Q219" s="30"/>
      <c r="R219" s="86"/>
      <c r="S219" s="25"/>
      <c r="T219" s="80"/>
      <c r="U219" s="89"/>
      <c r="V219" s="5"/>
    </row>
    <row r="220" spans="1:22" ht="15.6" x14ac:dyDescent="0.3">
      <c r="A220" s="88"/>
      <c r="B220" s="77" t="s">
        <v>286</v>
      </c>
      <c r="C220" s="77"/>
      <c r="D220" s="77"/>
      <c r="E220" s="77"/>
      <c r="F220" s="77"/>
      <c r="G220" s="25"/>
      <c r="H220" s="25"/>
      <c r="I220" s="25"/>
      <c r="J220" s="25"/>
      <c r="K220" s="25"/>
      <c r="L220" s="25"/>
      <c r="M220" s="25"/>
      <c r="N220" s="25"/>
      <c r="O220" s="25"/>
      <c r="P220" s="25"/>
      <c r="Q220" s="30">
        <v>0</v>
      </c>
      <c r="R220" s="86">
        <v>0</v>
      </c>
      <c r="S220" s="25"/>
      <c r="T220" s="80"/>
      <c r="U220" s="89"/>
      <c r="V220" s="5"/>
    </row>
    <row r="221" spans="1:22" ht="15.6" x14ac:dyDescent="0.3">
      <c r="A221" s="85"/>
      <c r="B221" s="77" t="s">
        <v>92</v>
      </c>
      <c r="C221" s="90"/>
      <c r="D221" s="90"/>
      <c r="E221" s="90"/>
      <c r="F221" s="91"/>
      <c r="G221" s="25"/>
      <c r="H221" s="25"/>
      <c r="I221" s="25"/>
      <c r="J221" s="25"/>
      <c r="K221" s="25"/>
      <c r="L221" s="25"/>
      <c r="M221" s="25"/>
      <c r="N221" s="25"/>
      <c r="O221" s="25"/>
      <c r="P221" s="25"/>
      <c r="Q221" s="30"/>
      <c r="R221" s="62">
        <v>0</v>
      </c>
      <c r="S221" s="25"/>
      <c r="T221" s="80"/>
      <c r="U221" s="89"/>
      <c r="V221" s="5"/>
    </row>
    <row r="222" spans="1:22" ht="15.6" x14ac:dyDescent="0.3">
      <c r="A222" s="85"/>
      <c r="B222" s="77" t="s">
        <v>93</v>
      </c>
      <c r="C222" s="90"/>
      <c r="D222" s="90"/>
      <c r="E222" s="90"/>
      <c r="F222" s="91"/>
      <c r="G222" s="25"/>
      <c r="H222" s="25"/>
      <c r="I222" s="25"/>
      <c r="J222" s="25"/>
      <c r="K222" s="25"/>
      <c r="L222" s="25"/>
      <c r="M222" s="25"/>
      <c r="N222" s="25"/>
      <c r="O222" s="25"/>
      <c r="P222" s="25"/>
      <c r="Q222" s="30"/>
      <c r="R222" s="62">
        <v>0</v>
      </c>
      <c r="S222" s="25"/>
      <c r="T222" s="80"/>
      <c r="U222" s="89"/>
      <c r="V222" s="5"/>
    </row>
    <row r="223" spans="1:22" ht="15.6" x14ac:dyDescent="0.3">
      <c r="A223" s="85"/>
      <c r="B223" s="123" t="s">
        <v>258</v>
      </c>
      <c r="C223" s="90"/>
      <c r="D223" s="90"/>
      <c r="E223" s="90"/>
      <c r="F223" s="91"/>
      <c r="G223" s="25"/>
      <c r="H223" s="25"/>
      <c r="I223" s="25"/>
      <c r="J223" s="25"/>
      <c r="K223" s="25"/>
      <c r="L223" s="25"/>
      <c r="M223" s="25"/>
      <c r="N223" s="25"/>
      <c r="O223" s="25"/>
      <c r="P223" s="25"/>
      <c r="Q223" s="30"/>
      <c r="R223" s="92"/>
      <c r="S223" s="25"/>
      <c r="T223" s="80"/>
      <c r="U223" s="89"/>
      <c r="V223" s="5"/>
    </row>
    <row r="224" spans="1:22" ht="15.6" x14ac:dyDescent="0.3">
      <c r="A224" s="85"/>
      <c r="B224" s="77" t="s">
        <v>286</v>
      </c>
      <c r="C224" s="90"/>
      <c r="D224" s="90"/>
      <c r="E224" s="90"/>
      <c r="F224" s="91"/>
      <c r="G224" s="25"/>
      <c r="H224" s="25"/>
      <c r="I224" s="25"/>
      <c r="J224" s="25"/>
      <c r="K224" s="25"/>
      <c r="L224" s="25"/>
      <c r="M224" s="25"/>
      <c r="N224" s="25"/>
      <c r="O224" s="25"/>
      <c r="P224" s="25"/>
      <c r="Q224" s="30">
        <v>0</v>
      </c>
      <c r="R224" s="86">
        <v>0</v>
      </c>
      <c r="S224" s="25"/>
      <c r="T224" s="80"/>
      <c r="U224" s="89"/>
      <c r="V224" s="5"/>
    </row>
    <row r="225" spans="1:23" ht="15.6" x14ac:dyDescent="0.3">
      <c r="A225" s="85"/>
      <c r="B225" s="77" t="s">
        <v>259</v>
      </c>
      <c r="C225" s="90"/>
      <c r="D225" s="90"/>
      <c r="E225" s="90"/>
      <c r="F225" s="91"/>
      <c r="G225" s="25"/>
      <c r="H225" s="25"/>
      <c r="I225" s="25"/>
      <c r="J225" s="25"/>
      <c r="K225" s="25"/>
      <c r="L225" s="25"/>
      <c r="M225" s="25"/>
      <c r="N225" s="25"/>
      <c r="O225" s="25"/>
      <c r="P225" s="25"/>
      <c r="Q225" s="25"/>
      <c r="R225" s="62">
        <v>0</v>
      </c>
      <c r="S225" s="25"/>
      <c r="T225" s="80"/>
      <c r="U225" s="89"/>
      <c r="V225" s="5"/>
    </row>
    <row r="226" spans="1:23" ht="15.6" x14ac:dyDescent="0.3">
      <c r="A226" s="85"/>
      <c r="B226" s="77"/>
      <c r="C226" s="90"/>
      <c r="D226" s="90"/>
      <c r="E226" s="90"/>
      <c r="F226" s="91"/>
      <c r="G226" s="25"/>
      <c r="H226" s="25"/>
      <c r="I226" s="25"/>
      <c r="J226" s="25"/>
      <c r="K226" s="25"/>
      <c r="L226" s="25"/>
      <c r="M226" s="25"/>
      <c r="N226" s="25"/>
      <c r="O226" s="25"/>
      <c r="P226" s="25"/>
      <c r="Q226" s="25"/>
      <c r="R226" s="92"/>
      <c r="S226" s="25"/>
      <c r="T226" s="80"/>
      <c r="U226" s="89"/>
      <c r="V226" s="5"/>
    </row>
    <row r="227" spans="1:23" ht="17.399999999999999" x14ac:dyDescent="0.3">
      <c r="A227" s="85"/>
      <c r="B227" s="153" t="s">
        <v>208</v>
      </c>
      <c r="C227" s="90"/>
      <c r="D227" s="90"/>
      <c r="E227" s="90"/>
      <c r="F227" s="91"/>
      <c r="G227" s="25"/>
      <c r="H227" s="25"/>
      <c r="I227" s="25"/>
      <c r="J227" s="25"/>
      <c r="K227" s="25"/>
      <c r="L227" s="25"/>
      <c r="M227" s="25"/>
      <c r="N227" s="154" t="s">
        <v>207</v>
      </c>
      <c r="O227" s="25"/>
      <c r="P227" s="25"/>
      <c r="Q227" s="25"/>
      <c r="R227" s="92"/>
      <c r="S227" s="25"/>
      <c r="T227" s="80"/>
      <c r="U227" s="89"/>
      <c r="V227" s="5"/>
    </row>
    <row r="228" spans="1:23" ht="15.6" x14ac:dyDescent="0.3">
      <c r="A228" s="85"/>
      <c r="B228" s="77"/>
      <c r="C228" s="90"/>
      <c r="D228" s="90"/>
      <c r="E228" s="90"/>
      <c r="F228" s="91"/>
      <c r="G228" s="25"/>
      <c r="H228" s="25"/>
      <c r="I228" s="25"/>
      <c r="J228" s="25"/>
      <c r="K228" s="25"/>
      <c r="L228" s="25"/>
      <c r="M228" s="25"/>
      <c r="N228" s="25"/>
      <c r="O228" s="25"/>
      <c r="P228" s="25"/>
      <c r="Q228" s="25"/>
      <c r="R228" s="92"/>
      <c r="S228" s="25"/>
      <c r="T228" s="80"/>
      <c r="U228" s="89"/>
      <c r="V228" s="5"/>
    </row>
    <row r="229" spans="1:23" ht="15.6" x14ac:dyDescent="0.3">
      <c r="A229" s="6"/>
      <c r="B229" s="14" t="s">
        <v>177</v>
      </c>
      <c r="C229" s="82"/>
      <c r="D229" s="82"/>
      <c r="E229" s="82"/>
      <c r="F229" s="83"/>
      <c r="G229" s="82"/>
      <c r="H229" s="17"/>
      <c r="I229" s="17"/>
      <c r="J229" s="17"/>
      <c r="K229" s="17"/>
      <c r="L229" s="17"/>
      <c r="M229" s="17"/>
      <c r="N229" s="17"/>
      <c r="O229" s="17"/>
      <c r="P229" s="84" t="s">
        <v>108</v>
      </c>
      <c r="Q229" s="17" t="s">
        <v>109</v>
      </c>
      <c r="R229" s="84" t="s">
        <v>117</v>
      </c>
      <c r="S229" s="17" t="s">
        <v>109</v>
      </c>
      <c r="T229" s="8"/>
      <c r="U229" s="93"/>
      <c r="V229" s="5"/>
    </row>
    <row r="230" spans="1:23" ht="15.6" x14ac:dyDescent="0.3">
      <c r="A230" s="24"/>
      <c r="B230" s="54" t="s">
        <v>94</v>
      </c>
      <c r="C230" s="94"/>
      <c r="D230" s="94"/>
      <c r="E230" s="94"/>
      <c r="F230" s="25"/>
      <c r="G230" s="94"/>
      <c r="H230" s="94"/>
      <c r="I230" s="94"/>
      <c r="J230" s="94"/>
      <c r="K230" s="94"/>
      <c r="L230" s="94"/>
      <c r="M230" s="94"/>
      <c r="N230" s="94"/>
      <c r="O230" s="94"/>
      <c r="P230" s="54">
        <v>6025</v>
      </c>
      <c r="Q230" s="95">
        <f t="shared" ref="Q230:Q237" si="1">P230/$P$239</f>
        <v>0.99488110964332888</v>
      </c>
      <c r="R230" s="53">
        <v>659700</v>
      </c>
      <c r="S230" s="135">
        <f t="shared" ref="S230:S237" si="2">R230/$R$239</f>
        <v>0.99429977000129621</v>
      </c>
      <c r="T230" s="80"/>
      <c r="U230" s="89"/>
      <c r="V230" s="5"/>
    </row>
    <row r="231" spans="1:23" ht="15.6" x14ac:dyDescent="0.3">
      <c r="A231" s="24"/>
      <c r="B231" s="54" t="s">
        <v>95</v>
      </c>
      <c r="C231" s="94"/>
      <c r="D231" s="94"/>
      <c r="E231" s="94"/>
      <c r="F231" s="25"/>
      <c r="G231" s="95"/>
      <c r="H231" s="94"/>
      <c r="I231" s="94"/>
      <c r="J231" s="94"/>
      <c r="K231" s="94"/>
      <c r="L231" s="94"/>
      <c r="M231" s="94"/>
      <c r="N231" s="94"/>
      <c r="O231" s="94"/>
      <c r="P231" s="54">
        <v>19</v>
      </c>
      <c r="Q231" s="95">
        <f t="shared" si="1"/>
        <v>3.1373844121532365E-3</v>
      </c>
      <c r="R231" s="53">
        <v>2361</v>
      </c>
      <c r="S231" s="135">
        <f t="shared" si="2"/>
        <v>3.5584989494816741E-3</v>
      </c>
      <c r="T231" s="80"/>
      <c r="U231" s="89"/>
      <c r="V231" s="5"/>
      <c r="W231" s="110"/>
    </row>
    <row r="232" spans="1:23" ht="15.6" x14ac:dyDescent="0.3">
      <c r="A232" s="24"/>
      <c r="B232" s="54" t="s">
        <v>96</v>
      </c>
      <c r="C232" s="94"/>
      <c r="D232" s="94"/>
      <c r="E232" s="94"/>
      <c r="F232" s="25"/>
      <c r="G232" s="95"/>
      <c r="H232" s="94"/>
      <c r="I232" s="94"/>
      <c r="J232" s="94"/>
      <c r="K232" s="94"/>
      <c r="L232" s="94"/>
      <c r="M232" s="94"/>
      <c r="N232" s="94"/>
      <c r="O232" s="94"/>
      <c r="P232" s="54">
        <v>5</v>
      </c>
      <c r="Q232" s="95">
        <f t="shared" si="1"/>
        <v>8.2562747688243068E-4</v>
      </c>
      <c r="R232" s="53">
        <v>526</v>
      </c>
      <c r="S232" s="135">
        <f t="shared" si="2"/>
        <v>7.9278714418778507E-4</v>
      </c>
      <c r="T232" s="80"/>
      <c r="U232" s="89"/>
      <c r="V232" s="5"/>
    </row>
    <row r="233" spans="1:23" ht="15.6" x14ac:dyDescent="0.3">
      <c r="A233" s="24"/>
      <c r="B233" s="54" t="s">
        <v>171</v>
      </c>
      <c r="C233" s="94"/>
      <c r="D233" s="94"/>
      <c r="E233" s="94"/>
      <c r="F233" s="25"/>
      <c r="G233" s="95"/>
      <c r="H233" s="94"/>
      <c r="I233" s="94"/>
      <c r="J233" s="94"/>
      <c r="K233" s="94"/>
      <c r="L233" s="94"/>
      <c r="M233" s="94"/>
      <c r="N233" s="94"/>
      <c r="O233" s="94"/>
      <c r="P233" s="54">
        <v>0</v>
      </c>
      <c r="Q233" s="95">
        <f t="shared" si="1"/>
        <v>0</v>
      </c>
      <c r="R233" s="53">
        <v>0</v>
      </c>
      <c r="S233" s="135">
        <f t="shared" si="2"/>
        <v>0</v>
      </c>
      <c r="T233" s="80"/>
      <c r="U233" s="89"/>
      <c r="V233" s="5"/>
      <c r="W233" s="110"/>
    </row>
    <row r="234" spans="1:23" ht="15.6" x14ac:dyDescent="0.3">
      <c r="A234" s="24"/>
      <c r="B234" s="54" t="s">
        <v>172</v>
      </c>
      <c r="C234" s="94"/>
      <c r="D234" s="94"/>
      <c r="E234" s="94"/>
      <c r="F234" s="25"/>
      <c r="G234" s="95"/>
      <c r="H234" s="94"/>
      <c r="I234" s="94"/>
      <c r="J234" s="94"/>
      <c r="K234" s="94"/>
      <c r="L234" s="94"/>
      <c r="M234" s="94"/>
      <c r="N234" s="94"/>
      <c r="O234" s="94"/>
      <c r="P234" s="54">
        <v>2</v>
      </c>
      <c r="Q234" s="95">
        <f t="shared" si="1"/>
        <v>3.3025099075297226E-4</v>
      </c>
      <c r="R234" s="53">
        <v>239</v>
      </c>
      <c r="S234" s="135">
        <f t="shared" si="2"/>
        <v>3.6022077464045748E-4</v>
      </c>
      <c r="T234" s="80"/>
      <c r="U234" s="89"/>
      <c r="V234" s="5"/>
    </row>
    <row r="235" spans="1:23" ht="15.6" x14ac:dyDescent="0.3">
      <c r="A235" s="24"/>
      <c r="B235" s="54" t="s">
        <v>173</v>
      </c>
      <c r="C235" s="94"/>
      <c r="D235" s="94"/>
      <c r="E235" s="94"/>
      <c r="F235" s="25"/>
      <c r="G235" s="95"/>
      <c r="H235" s="94"/>
      <c r="I235" s="94"/>
      <c r="J235" s="94"/>
      <c r="K235" s="94"/>
      <c r="L235" s="94"/>
      <c r="M235" s="94"/>
      <c r="N235" s="94"/>
      <c r="O235" s="94"/>
      <c r="P235" s="54">
        <v>2</v>
      </c>
      <c r="Q235" s="95">
        <f t="shared" si="1"/>
        <v>3.3025099075297226E-4</v>
      </c>
      <c r="R235" s="53">
        <v>204</v>
      </c>
      <c r="S235" s="135">
        <f t="shared" si="2"/>
        <v>3.0746877835419802E-4</v>
      </c>
      <c r="T235" s="80"/>
      <c r="U235" s="89"/>
      <c r="V235" s="5"/>
      <c r="W235" s="110"/>
    </row>
    <row r="236" spans="1:23" ht="15.6" x14ac:dyDescent="0.3">
      <c r="A236" s="24"/>
      <c r="B236" s="54" t="s">
        <v>174</v>
      </c>
      <c r="C236" s="94"/>
      <c r="D236" s="94"/>
      <c r="E236" s="94"/>
      <c r="F236" s="25"/>
      <c r="G236" s="95"/>
      <c r="H236" s="94"/>
      <c r="I236" s="94"/>
      <c r="J236" s="94"/>
      <c r="K236" s="94"/>
      <c r="L236" s="94"/>
      <c r="M236" s="94"/>
      <c r="N236" s="94"/>
      <c r="O236" s="94"/>
      <c r="P236" s="54">
        <v>2</v>
      </c>
      <c r="Q236" s="95">
        <f t="shared" si="1"/>
        <v>3.3025099075297226E-4</v>
      </c>
      <c r="R236" s="53">
        <v>392</v>
      </c>
      <c r="S236" s="135">
        <f t="shared" si="2"/>
        <v>5.9082235840610597E-4</v>
      </c>
      <c r="T236" s="80"/>
      <c r="U236" s="89"/>
      <c r="V236" s="5"/>
    </row>
    <row r="237" spans="1:23" ht="15.6" x14ac:dyDescent="0.3">
      <c r="A237" s="24"/>
      <c r="B237" s="54" t="s">
        <v>175</v>
      </c>
      <c r="C237" s="94"/>
      <c r="D237" s="94"/>
      <c r="E237" s="94"/>
      <c r="F237" s="25"/>
      <c r="G237" s="95"/>
      <c r="H237" s="94"/>
      <c r="I237" s="94"/>
      <c r="J237" s="94"/>
      <c r="K237" s="94"/>
      <c r="L237" s="94"/>
      <c r="M237" s="94"/>
      <c r="N237" s="94"/>
      <c r="O237" s="94"/>
      <c r="P237" s="54">
        <v>1</v>
      </c>
      <c r="Q237" s="95">
        <f t="shared" si="1"/>
        <v>1.6512549537648613E-4</v>
      </c>
      <c r="R237" s="53">
        <v>60</v>
      </c>
      <c r="S237" s="135">
        <f t="shared" si="2"/>
        <v>9.0431993633587643E-5</v>
      </c>
      <c r="T237" s="80"/>
      <c r="U237" s="89"/>
      <c r="V237" s="5"/>
      <c r="W237" s="110"/>
    </row>
    <row r="238" spans="1:23" ht="15.6" x14ac:dyDescent="0.3">
      <c r="A238" s="24"/>
      <c r="B238" s="54"/>
      <c r="C238" s="94"/>
      <c r="D238" s="94"/>
      <c r="E238" s="94"/>
      <c r="F238" s="25"/>
      <c r="G238" s="95"/>
      <c r="H238" s="94"/>
      <c r="I238" s="94"/>
      <c r="J238" s="94"/>
      <c r="K238" s="94"/>
      <c r="L238" s="94"/>
      <c r="M238" s="94"/>
      <c r="N238" s="94"/>
      <c r="O238" s="94"/>
      <c r="P238" s="54"/>
      <c r="Q238" s="95"/>
      <c r="R238" s="53"/>
      <c r="S238" s="135"/>
      <c r="T238" s="80"/>
      <c r="U238" s="89"/>
      <c r="V238" s="5"/>
    </row>
    <row r="239" spans="1:23" ht="15.6" x14ac:dyDescent="0.3">
      <c r="A239" s="24"/>
      <c r="B239" s="25"/>
      <c r="C239" s="25"/>
      <c r="D239" s="25"/>
      <c r="E239" s="25"/>
      <c r="F239" s="25"/>
      <c r="G239" s="25"/>
      <c r="H239" s="96"/>
      <c r="I239" s="96"/>
      <c r="J239" s="96"/>
      <c r="K239" s="96"/>
      <c r="L239" s="96"/>
      <c r="M239" s="96"/>
      <c r="N239" s="96"/>
      <c r="O239" s="96"/>
      <c r="P239" s="34">
        <f>SUM(P230:P238)</f>
        <v>6056</v>
      </c>
      <c r="Q239" s="135">
        <f>SUM(Q230:Q238)</f>
        <v>1</v>
      </c>
      <c r="R239" s="53">
        <f>SUM(R230:R238)</f>
        <v>663482</v>
      </c>
      <c r="S239" s="135">
        <f>SUM(S230:S238)</f>
        <v>1</v>
      </c>
      <c r="T239" s="25"/>
      <c r="U239" s="25"/>
      <c r="V239" s="5"/>
    </row>
    <row r="240" spans="1:23" ht="15.6" x14ac:dyDescent="0.3">
      <c r="A240" s="24"/>
      <c r="B240" s="25"/>
      <c r="C240" s="25"/>
      <c r="D240" s="25"/>
      <c r="E240" s="25"/>
      <c r="F240" s="25"/>
      <c r="G240" s="25"/>
      <c r="H240" s="96"/>
      <c r="I240" s="96"/>
      <c r="J240" s="96"/>
      <c r="K240" s="96"/>
      <c r="L240" s="96"/>
      <c r="M240" s="96"/>
      <c r="N240" s="96"/>
      <c r="O240" s="96"/>
      <c r="P240" s="34"/>
      <c r="Q240" s="135"/>
      <c r="R240" s="53"/>
      <c r="S240" s="135"/>
      <c r="T240" s="25"/>
      <c r="U240" s="25"/>
      <c r="V240" s="5"/>
    </row>
    <row r="241" spans="1:22" ht="15.6" x14ac:dyDescent="0.3">
      <c r="A241" s="144"/>
      <c r="B241" s="14" t="s">
        <v>178</v>
      </c>
      <c r="C241" s="82"/>
      <c r="D241" s="82"/>
      <c r="E241" s="82"/>
      <c r="F241" s="83"/>
      <c r="G241" s="82"/>
      <c r="H241" s="17"/>
      <c r="I241" s="17"/>
      <c r="J241" s="17"/>
      <c r="K241" s="17"/>
      <c r="L241" s="17"/>
      <c r="M241" s="17"/>
      <c r="N241" s="17"/>
      <c r="O241" s="17"/>
      <c r="P241" s="84" t="s">
        <v>108</v>
      </c>
      <c r="Q241" s="17" t="s">
        <v>109</v>
      </c>
      <c r="R241" s="84" t="s">
        <v>117</v>
      </c>
      <c r="S241" s="17" t="s">
        <v>109</v>
      </c>
      <c r="T241" s="142"/>
      <c r="U241" s="143"/>
      <c r="V241" s="5"/>
    </row>
    <row r="242" spans="1:22" ht="15.6" x14ac:dyDescent="0.3">
      <c r="A242" s="24"/>
      <c r="B242" s="54" t="s">
        <v>94</v>
      </c>
      <c r="C242" s="94"/>
      <c r="D242" s="94"/>
      <c r="E242" s="94"/>
      <c r="F242" s="25"/>
      <c r="G242" s="94"/>
      <c r="H242" s="94"/>
      <c r="I242" s="94"/>
      <c r="J242" s="94"/>
      <c r="K242" s="94"/>
      <c r="L242" s="94"/>
      <c r="M242" s="94"/>
      <c r="N242" s="94"/>
      <c r="O242" s="94"/>
      <c r="P242" s="54">
        <v>4</v>
      </c>
      <c r="Q242" s="95">
        <f t="shared" ref="Q242:Q249" si="3">P242/$P$251</f>
        <v>0.33333333333333331</v>
      </c>
      <c r="R242" s="53">
        <v>355</v>
      </c>
      <c r="S242" s="135">
        <f t="shared" ref="S242:S249" si="4">R242/$R$251</f>
        <v>0.18327310273618999</v>
      </c>
      <c r="T242" s="25"/>
      <c r="U242" s="25"/>
      <c r="V242" s="5"/>
    </row>
    <row r="243" spans="1:22" ht="15.6" x14ac:dyDescent="0.3">
      <c r="A243" s="24"/>
      <c r="B243" s="54" t="s">
        <v>95</v>
      </c>
      <c r="C243" s="94"/>
      <c r="D243" s="94"/>
      <c r="E243" s="94"/>
      <c r="F243" s="25"/>
      <c r="G243" s="95"/>
      <c r="H243" s="94"/>
      <c r="I243" s="94"/>
      <c r="J243" s="94"/>
      <c r="K243" s="94"/>
      <c r="L243" s="94"/>
      <c r="M243" s="94"/>
      <c r="N243" s="94"/>
      <c r="O243" s="94"/>
      <c r="P243" s="54">
        <v>1</v>
      </c>
      <c r="Q243" s="95">
        <f t="shared" si="3"/>
        <v>8.3333333333333329E-2</v>
      </c>
      <c r="R243" s="53">
        <v>402</v>
      </c>
      <c r="S243" s="135">
        <f t="shared" si="4"/>
        <v>0.20753742901393907</v>
      </c>
      <c r="T243" s="25"/>
      <c r="U243" s="25"/>
      <c r="V243" s="5"/>
    </row>
    <row r="244" spans="1:22" ht="15.6" x14ac:dyDescent="0.3">
      <c r="A244" s="24"/>
      <c r="B244" s="54" t="s">
        <v>96</v>
      </c>
      <c r="C244" s="94"/>
      <c r="D244" s="94"/>
      <c r="E244" s="94"/>
      <c r="F244" s="25"/>
      <c r="G244" s="95"/>
      <c r="H244" s="94"/>
      <c r="I244" s="94"/>
      <c r="J244" s="94"/>
      <c r="K244" s="94"/>
      <c r="L244" s="94"/>
      <c r="M244" s="94"/>
      <c r="N244" s="94"/>
      <c r="O244" s="94"/>
      <c r="P244" s="54">
        <v>0</v>
      </c>
      <c r="Q244" s="95">
        <f t="shared" si="3"/>
        <v>0</v>
      </c>
      <c r="R244" s="53">
        <v>0</v>
      </c>
      <c r="S244" s="135">
        <f t="shared" si="4"/>
        <v>0</v>
      </c>
      <c r="T244" s="25"/>
      <c r="U244" s="25"/>
      <c r="V244" s="5"/>
    </row>
    <row r="245" spans="1:22" ht="15.6" x14ac:dyDescent="0.3">
      <c r="A245" s="24"/>
      <c r="B245" s="54" t="s">
        <v>171</v>
      </c>
      <c r="C245" s="94"/>
      <c r="D245" s="94"/>
      <c r="E245" s="94"/>
      <c r="F245" s="25"/>
      <c r="G245" s="95"/>
      <c r="H245" s="94"/>
      <c r="I245" s="94"/>
      <c r="J245" s="94"/>
      <c r="K245" s="94"/>
      <c r="L245" s="94"/>
      <c r="M245" s="94"/>
      <c r="N245" s="94"/>
      <c r="O245" s="94"/>
      <c r="P245" s="54">
        <v>0</v>
      </c>
      <c r="Q245" s="95">
        <f t="shared" si="3"/>
        <v>0</v>
      </c>
      <c r="R245" s="53">
        <v>0</v>
      </c>
      <c r="S245" s="135">
        <f t="shared" si="4"/>
        <v>0</v>
      </c>
      <c r="T245" s="25"/>
      <c r="U245" s="25"/>
      <c r="V245" s="5"/>
    </row>
    <row r="246" spans="1:22" ht="15.6" x14ac:dyDescent="0.3">
      <c r="A246" s="24"/>
      <c r="B246" s="54" t="s">
        <v>172</v>
      </c>
      <c r="C246" s="94"/>
      <c r="D246" s="94"/>
      <c r="E246" s="94"/>
      <c r="F246" s="25"/>
      <c r="G246" s="95"/>
      <c r="H246" s="94"/>
      <c r="I246" s="94"/>
      <c r="J246" s="94"/>
      <c r="K246" s="94"/>
      <c r="L246" s="94"/>
      <c r="M246" s="94"/>
      <c r="N246" s="94"/>
      <c r="O246" s="94"/>
      <c r="P246" s="54">
        <v>0</v>
      </c>
      <c r="Q246" s="95">
        <f t="shared" si="3"/>
        <v>0</v>
      </c>
      <c r="R246" s="53">
        <v>0</v>
      </c>
      <c r="S246" s="135">
        <f t="shared" si="4"/>
        <v>0</v>
      </c>
      <c r="T246" s="25"/>
      <c r="U246" s="25"/>
      <c r="V246" s="5"/>
    </row>
    <row r="247" spans="1:22" ht="15.6" x14ac:dyDescent="0.3">
      <c r="A247" s="24"/>
      <c r="B247" s="54" t="s">
        <v>173</v>
      </c>
      <c r="C247" s="94"/>
      <c r="D247" s="94"/>
      <c r="E247" s="94"/>
      <c r="F247" s="25"/>
      <c r="G247" s="95"/>
      <c r="H247" s="94"/>
      <c r="I247" s="94"/>
      <c r="J247" s="94"/>
      <c r="K247" s="94"/>
      <c r="L247" s="94"/>
      <c r="M247" s="94"/>
      <c r="N247" s="94"/>
      <c r="O247" s="94"/>
      <c r="P247" s="54">
        <v>1</v>
      </c>
      <c r="Q247" s="95">
        <f t="shared" si="3"/>
        <v>8.3333333333333329E-2</v>
      </c>
      <c r="R247" s="53">
        <v>90</v>
      </c>
      <c r="S247" s="135">
        <f t="shared" si="4"/>
        <v>4.6463603510583373E-2</v>
      </c>
      <c r="T247" s="25"/>
      <c r="U247" s="25"/>
      <c r="V247" s="5"/>
    </row>
    <row r="248" spans="1:22" ht="15.6" x14ac:dyDescent="0.3">
      <c r="A248" s="24"/>
      <c r="B248" s="54" t="s">
        <v>174</v>
      </c>
      <c r="C248" s="94"/>
      <c r="D248" s="94"/>
      <c r="E248" s="94"/>
      <c r="F248" s="25"/>
      <c r="G248" s="95"/>
      <c r="H248" s="94"/>
      <c r="I248" s="94"/>
      <c r="J248" s="94"/>
      <c r="K248" s="94"/>
      <c r="L248" s="94"/>
      <c r="M248" s="94"/>
      <c r="N248" s="94"/>
      <c r="O248" s="94"/>
      <c r="P248" s="54">
        <v>6</v>
      </c>
      <c r="Q248" s="95">
        <f t="shared" si="3"/>
        <v>0.5</v>
      </c>
      <c r="R248" s="53">
        <v>1090</v>
      </c>
      <c r="S248" s="135">
        <f t="shared" si="4"/>
        <v>0.56272586473928754</v>
      </c>
      <c r="T248" s="25"/>
      <c r="U248" s="25"/>
      <c r="V248" s="5"/>
    </row>
    <row r="249" spans="1:22" ht="15.6" x14ac:dyDescent="0.3">
      <c r="A249" s="24"/>
      <c r="B249" s="54" t="s">
        <v>175</v>
      </c>
      <c r="C249" s="94"/>
      <c r="D249" s="94"/>
      <c r="E249" s="94"/>
      <c r="F249" s="25"/>
      <c r="G249" s="95"/>
      <c r="H249" s="94"/>
      <c r="I249" s="94"/>
      <c r="J249" s="94"/>
      <c r="K249" s="94"/>
      <c r="L249" s="94"/>
      <c r="M249" s="94"/>
      <c r="N249" s="94"/>
      <c r="O249" s="94"/>
      <c r="P249" s="54">
        <v>0</v>
      </c>
      <c r="Q249" s="95">
        <f t="shared" si="3"/>
        <v>0</v>
      </c>
      <c r="R249" s="53">
        <v>0</v>
      </c>
      <c r="S249" s="135">
        <f t="shared" si="4"/>
        <v>0</v>
      </c>
      <c r="T249" s="25"/>
      <c r="U249" s="25"/>
      <c r="V249" s="5"/>
    </row>
    <row r="250" spans="1:22" ht="15.6" x14ac:dyDescent="0.3">
      <c r="A250" s="24"/>
      <c r="B250" s="54"/>
      <c r="C250" s="94"/>
      <c r="D250" s="94"/>
      <c r="E250" s="94"/>
      <c r="F250" s="25"/>
      <c r="G250" s="95"/>
      <c r="H250" s="94"/>
      <c r="I250" s="94"/>
      <c r="J250" s="94"/>
      <c r="K250" s="94"/>
      <c r="L250" s="94"/>
      <c r="M250" s="94"/>
      <c r="N250" s="94"/>
      <c r="O250" s="94"/>
      <c r="P250" s="54"/>
      <c r="Q250" s="95"/>
      <c r="R250" s="53"/>
      <c r="S250" s="135"/>
      <c r="T250" s="25"/>
      <c r="U250" s="25"/>
      <c r="V250" s="5"/>
    </row>
    <row r="251" spans="1:22" ht="15.6" x14ac:dyDescent="0.3">
      <c r="A251" s="24"/>
      <c r="B251" s="25"/>
      <c r="C251" s="25"/>
      <c r="D251" s="25"/>
      <c r="E251" s="25"/>
      <c r="F251" s="25"/>
      <c r="G251" s="25"/>
      <c r="H251" s="96"/>
      <c r="I251" s="96"/>
      <c r="J251" s="96"/>
      <c r="K251" s="96"/>
      <c r="L251" s="96"/>
      <c r="M251" s="96"/>
      <c r="N251" s="96"/>
      <c r="O251" s="96"/>
      <c r="P251" s="34">
        <f>SUM(P242:P250)</f>
        <v>12</v>
      </c>
      <c r="Q251" s="135">
        <f>SUM(Q242:Q250)</f>
        <v>1</v>
      </c>
      <c r="R251" s="53">
        <f>SUM(R242:R250)</f>
        <v>1937</v>
      </c>
      <c r="S251" s="135">
        <f>SUM(S242:S250)</f>
        <v>1</v>
      </c>
      <c r="T251" s="25"/>
      <c r="U251" s="25"/>
      <c r="V251" s="5"/>
    </row>
    <row r="252" spans="1:22" ht="15.6" x14ac:dyDescent="0.3">
      <c r="A252" s="24"/>
      <c r="B252" s="25"/>
      <c r="C252" s="25"/>
      <c r="D252" s="25"/>
      <c r="E252" s="25"/>
      <c r="F252" s="25"/>
      <c r="G252" s="25"/>
      <c r="H252" s="96"/>
      <c r="I252" s="96"/>
      <c r="J252" s="96"/>
      <c r="K252" s="96"/>
      <c r="L252" s="96"/>
      <c r="M252" s="96"/>
      <c r="N252" s="96"/>
      <c r="O252" s="96"/>
      <c r="P252" s="34"/>
      <c r="Q252" s="135"/>
      <c r="R252" s="53"/>
      <c r="S252" s="135"/>
      <c r="T252" s="25"/>
      <c r="U252" s="25"/>
      <c r="V252" s="5"/>
    </row>
    <row r="253" spans="1:22" ht="15.6" x14ac:dyDescent="0.3">
      <c r="A253" s="144"/>
      <c r="B253" s="14" t="s">
        <v>179</v>
      </c>
      <c r="C253" s="142"/>
      <c r="D253" s="142"/>
      <c r="E253" s="142"/>
      <c r="F253" s="142"/>
      <c r="G253" s="142"/>
      <c r="H253" s="149"/>
      <c r="I253" s="149"/>
      <c r="J253" s="149"/>
      <c r="K253" s="149"/>
      <c r="L253" s="149"/>
      <c r="M253" s="149"/>
      <c r="N253" s="149"/>
      <c r="O253" s="149"/>
      <c r="P253" s="84" t="s">
        <v>108</v>
      </c>
      <c r="Q253" s="17" t="s">
        <v>109</v>
      </c>
      <c r="R253" s="84" t="s">
        <v>117</v>
      </c>
      <c r="S253" s="17" t="s">
        <v>109</v>
      </c>
      <c r="T253" s="142"/>
      <c r="U253" s="143"/>
      <c r="V253" s="5"/>
    </row>
    <row r="254" spans="1:22" ht="15.6" x14ac:dyDescent="0.3">
      <c r="A254" s="24"/>
      <c r="B254" s="54" t="s">
        <v>94</v>
      </c>
      <c r="C254" s="25"/>
      <c r="D254" s="25"/>
      <c r="E254" s="25"/>
      <c r="F254" s="25"/>
      <c r="G254" s="25"/>
      <c r="H254" s="96"/>
      <c r="I254" s="96"/>
      <c r="J254" s="96"/>
      <c r="K254" s="96"/>
      <c r="L254" s="96"/>
      <c r="M254" s="96"/>
      <c r="N254" s="96"/>
      <c r="O254" s="96"/>
      <c r="P254" s="54">
        <v>0</v>
      </c>
      <c r="Q254" s="95">
        <v>0</v>
      </c>
      <c r="R254" s="53">
        <v>0</v>
      </c>
      <c r="S254" s="135">
        <v>0</v>
      </c>
      <c r="T254" s="25"/>
      <c r="U254" s="25"/>
      <c r="V254" s="5"/>
    </row>
    <row r="255" spans="1:22" ht="15.6" x14ac:dyDescent="0.3">
      <c r="A255" s="24"/>
      <c r="B255" s="54" t="s">
        <v>95</v>
      </c>
      <c r="C255" s="25"/>
      <c r="D255" s="25"/>
      <c r="E255" s="25"/>
      <c r="F255" s="25"/>
      <c r="G255" s="25"/>
      <c r="H255" s="96"/>
      <c r="I255" s="96"/>
      <c r="J255" s="96"/>
      <c r="K255" s="96"/>
      <c r="L255" s="96"/>
      <c r="M255" s="96"/>
      <c r="N255" s="96"/>
      <c r="O255" s="96"/>
      <c r="P255" s="54">
        <v>0</v>
      </c>
      <c r="Q255" s="95">
        <v>0</v>
      </c>
      <c r="R255" s="53">
        <v>0</v>
      </c>
      <c r="S255" s="135">
        <v>0</v>
      </c>
      <c r="T255" s="25"/>
      <c r="U255" s="25"/>
      <c r="V255" s="5"/>
    </row>
    <row r="256" spans="1:22" ht="15.6" x14ac:dyDescent="0.3">
      <c r="A256" s="24"/>
      <c r="B256" s="54" t="s">
        <v>96</v>
      </c>
      <c r="C256" s="25"/>
      <c r="D256" s="25"/>
      <c r="E256" s="25"/>
      <c r="F256" s="25"/>
      <c r="G256" s="25"/>
      <c r="H256" s="96"/>
      <c r="I256" s="96"/>
      <c r="J256" s="96"/>
      <c r="K256" s="96"/>
      <c r="L256" s="96"/>
      <c r="M256" s="96"/>
      <c r="N256" s="96"/>
      <c r="O256" s="96"/>
      <c r="P256" s="54">
        <v>0</v>
      </c>
      <c r="Q256" s="95">
        <v>0</v>
      </c>
      <c r="R256" s="53">
        <v>0</v>
      </c>
      <c r="S256" s="135">
        <v>0</v>
      </c>
      <c r="T256" s="25"/>
      <c r="U256" s="25"/>
      <c r="V256" s="5"/>
    </row>
    <row r="257" spans="1:22" ht="15.6" x14ac:dyDescent="0.3">
      <c r="A257" s="24"/>
      <c r="B257" s="54" t="s">
        <v>171</v>
      </c>
      <c r="C257" s="25"/>
      <c r="D257" s="25"/>
      <c r="E257" s="25"/>
      <c r="F257" s="25"/>
      <c r="G257" s="25"/>
      <c r="H257" s="96"/>
      <c r="I257" s="96"/>
      <c r="J257" s="96"/>
      <c r="K257" s="96"/>
      <c r="L257" s="96"/>
      <c r="M257" s="96"/>
      <c r="N257" s="96"/>
      <c r="O257" s="96"/>
      <c r="P257" s="54">
        <v>0</v>
      </c>
      <c r="Q257" s="95">
        <v>0</v>
      </c>
      <c r="R257" s="53">
        <v>0</v>
      </c>
      <c r="S257" s="135">
        <v>0</v>
      </c>
      <c r="T257" s="25"/>
      <c r="U257" s="25"/>
      <c r="V257" s="5"/>
    </row>
    <row r="258" spans="1:22" ht="15.6" x14ac:dyDescent="0.3">
      <c r="A258" s="24"/>
      <c r="B258" s="54" t="s">
        <v>172</v>
      </c>
      <c r="C258" s="25"/>
      <c r="D258" s="25"/>
      <c r="E258" s="25"/>
      <c r="F258" s="25"/>
      <c r="G258" s="25"/>
      <c r="H258" s="96"/>
      <c r="I258" s="96"/>
      <c r="J258" s="96"/>
      <c r="K258" s="96"/>
      <c r="L258" s="96"/>
      <c r="M258" s="96"/>
      <c r="N258" s="96"/>
      <c r="O258" s="96"/>
      <c r="P258" s="54">
        <v>0</v>
      </c>
      <c r="Q258" s="95">
        <v>0</v>
      </c>
      <c r="R258" s="53">
        <v>0</v>
      </c>
      <c r="S258" s="135">
        <v>0</v>
      </c>
      <c r="T258" s="25"/>
      <c r="U258" s="25"/>
      <c r="V258" s="5"/>
    </row>
    <row r="259" spans="1:22" ht="15.6" x14ac:dyDescent="0.3">
      <c r="A259" s="24"/>
      <c r="B259" s="54" t="s">
        <v>173</v>
      </c>
      <c r="C259" s="25"/>
      <c r="D259" s="25"/>
      <c r="E259" s="25"/>
      <c r="F259" s="25"/>
      <c r="G259" s="25"/>
      <c r="H259" s="96"/>
      <c r="I259" s="96"/>
      <c r="J259" s="96"/>
      <c r="K259" s="96"/>
      <c r="L259" s="96"/>
      <c r="M259" s="96"/>
      <c r="N259" s="96"/>
      <c r="O259" s="96"/>
      <c r="P259" s="54">
        <v>0</v>
      </c>
      <c r="Q259" s="95">
        <v>0</v>
      </c>
      <c r="R259" s="53">
        <v>0</v>
      </c>
      <c r="S259" s="135">
        <v>0</v>
      </c>
      <c r="T259" s="25"/>
      <c r="U259" s="25"/>
      <c r="V259" s="5"/>
    </row>
    <row r="260" spans="1:22" ht="15.6" x14ac:dyDescent="0.3">
      <c r="A260" s="24"/>
      <c r="B260" s="54" t="s">
        <v>174</v>
      </c>
      <c r="C260" s="25"/>
      <c r="D260" s="25"/>
      <c r="E260" s="25"/>
      <c r="F260" s="25"/>
      <c r="G260" s="25"/>
      <c r="H260" s="96"/>
      <c r="I260" s="96"/>
      <c r="J260" s="96"/>
      <c r="K260" s="96"/>
      <c r="L260" s="96"/>
      <c r="M260" s="96"/>
      <c r="N260" s="96"/>
      <c r="O260" s="96"/>
      <c r="P260" s="54">
        <v>0</v>
      </c>
      <c r="Q260" s="95">
        <v>0</v>
      </c>
      <c r="R260" s="53">
        <v>0</v>
      </c>
      <c r="S260" s="135">
        <v>0</v>
      </c>
      <c r="T260" s="25"/>
      <c r="U260" s="25"/>
      <c r="V260" s="5"/>
    </row>
    <row r="261" spans="1:22" ht="15.6" x14ac:dyDescent="0.3">
      <c r="A261" s="24"/>
      <c r="B261" s="54" t="s">
        <v>175</v>
      </c>
      <c r="C261" s="25"/>
      <c r="D261" s="25"/>
      <c r="E261" s="25"/>
      <c r="F261" s="25"/>
      <c r="G261" s="25"/>
      <c r="H261" s="96"/>
      <c r="I261" s="96"/>
      <c r="J261" s="96"/>
      <c r="K261" s="96"/>
      <c r="L261" s="96"/>
      <c r="M261" s="96"/>
      <c r="N261" s="96"/>
      <c r="O261" s="96"/>
      <c r="P261" s="54">
        <v>0</v>
      </c>
      <c r="Q261" s="95">
        <v>0</v>
      </c>
      <c r="R261" s="53">
        <v>0</v>
      </c>
      <c r="S261" s="135">
        <v>0</v>
      </c>
      <c r="T261" s="25"/>
      <c r="U261" s="25"/>
      <c r="V261" s="5"/>
    </row>
    <row r="262" spans="1:22" ht="15.6" x14ac:dyDescent="0.3">
      <c r="A262" s="24"/>
      <c r="B262" s="54"/>
      <c r="C262" s="25"/>
      <c r="D262" s="25"/>
      <c r="E262" s="25"/>
      <c r="F262" s="25"/>
      <c r="G262" s="25"/>
      <c r="H262" s="96"/>
      <c r="I262" s="96"/>
      <c r="J262" s="96"/>
      <c r="K262" s="96"/>
      <c r="L262" s="96"/>
      <c r="M262" s="96"/>
      <c r="N262" s="96"/>
      <c r="O262" s="96"/>
      <c r="P262" s="54"/>
      <c r="Q262" s="95"/>
      <c r="R262" s="53"/>
      <c r="S262" s="135"/>
      <c r="T262" s="25"/>
      <c r="U262" s="25"/>
      <c r="V262" s="5"/>
    </row>
    <row r="263" spans="1:22" ht="15.6" x14ac:dyDescent="0.3">
      <c r="A263" s="24"/>
      <c r="B263" s="25" t="s">
        <v>123</v>
      </c>
      <c r="C263" s="25"/>
      <c r="D263" s="25"/>
      <c r="E263" s="25"/>
      <c r="F263" s="25"/>
      <c r="G263" s="25"/>
      <c r="H263" s="96"/>
      <c r="I263" s="96"/>
      <c r="J263" s="96"/>
      <c r="K263" s="96"/>
      <c r="L263" s="96"/>
      <c r="M263" s="96"/>
      <c r="N263" s="96"/>
      <c r="O263" s="96"/>
      <c r="P263" s="34">
        <f>SUM(P254:P261)</f>
        <v>0</v>
      </c>
      <c r="Q263" s="95">
        <f>SUM(Q254:Q261)</f>
        <v>0</v>
      </c>
      <c r="R263" s="53">
        <f>SUM(R254:R261)</f>
        <v>0</v>
      </c>
      <c r="S263" s="135">
        <f>SUM(S254:S261)</f>
        <v>0</v>
      </c>
      <c r="T263" s="25"/>
      <c r="U263" s="25"/>
      <c r="V263" s="5"/>
    </row>
    <row r="264" spans="1:22" ht="15.6" x14ac:dyDescent="0.3">
      <c r="A264" s="24"/>
      <c r="B264" s="25"/>
      <c r="C264" s="25"/>
      <c r="D264" s="25"/>
      <c r="E264" s="25"/>
      <c r="F264" s="25"/>
      <c r="G264" s="25"/>
      <c r="H264" s="96"/>
      <c r="I264" s="96"/>
      <c r="J264" s="96"/>
      <c r="K264" s="96"/>
      <c r="L264" s="96"/>
      <c r="M264" s="96"/>
      <c r="N264" s="96"/>
      <c r="O264" s="96"/>
      <c r="P264" s="34"/>
      <c r="Q264" s="135"/>
      <c r="R264" s="53"/>
      <c r="S264" s="135"/>
      <c r="T264" s="25"/>
      <c r="U264" s="25"/>
      <c r="V264" s="5"/>
    </row>
    <row r="265" spans="1:22" ht="15.6" x14ac:dyDescent="0.3">
      <c r="A265" s="24"/>
      <c r="B265" s="145" t="s">
        <v>180</v>
      </c>
      <c r="C265" s="25"/>
      <c r="D265" s="25"/>
      <c r="E265" s="25"/>
      <c r="F265" s="25"/>
      <c r="G265" s="25"/>
      <c r="H265" s="96"/>
      <c r="I265" s="96"/>
      <c r="J265" s="96"/>
      <c r="K265" s="96"/>
      <c r="L265" s="96"/>
      <c r="M265" s="96"/>
      <c r="N265" s="96"/>
      <c r="O265" s="96"/>
      <c r="P265" s="146"/>
      <c r="Q265" s="147"/>
      <c r="R265" s="148">
        <f>+R263+R251+R239</f>
        <v>665419</v>
      </c>
      <c r="S265" s="147"/>
      <c r="T265" s="25"/>
      <c r="U265" s="25"/>
      <c r="V265" s="5"/>
    </row>
    <row r="266" spans="1:22" ht="15.6" x14ac:dyDescent="0.3">
      <c r="A266" s="24"/>
      <c r="B266" s="25"/>
      <c r="C266" s="25"/>
      <c r="D266" s="25"/>
      <c r="E266" s="25"/>
      <c r="F266" s="25"/>
      <c r="G266" s="25"/>
      <c r="H266" s="96"/>
      <c r="I266" s="96"/>
      <c r="J266" s="96"/>
      <c r="K266" s="96"/>
      <c r="L266" s="96"/>
      <c r="M266" s="96"/>
      <c r="N266" s="96"/>
      <c r="O266" s="96"/>
      <c r="P266" s="96"/>
      <c r="Q266" s="96"/>
      <c r="R266" s="53"/>
      <c r="S266" s="96"/>
      <c r="T266" s="25"/>
      <c r="U266" s="25"/>
      <c r="V266" s="5"/>
    </row>
    <row r="267" spans="1:22" ht="15.6" x14ac:dyDescent="0.3">
      <c r="A267" s="6"/>
      <c r="B267" s="8"/>
      <c r="C267" s="8"/>
      <c r="D267" s="8"/>
      <c r="E267" s="8"/>
      <c r="F267" s="8"/>
      <c r="G267" s="8"/>
      <c r="H267" s="97"/>
      <c r="I267" s="97"/>
      <c r="J267" s="97"/>
      <c r="K267" s="97"/>
      <c r="L267" s="97"/>
      <c r="M267" s="97"/>
      <c r="N267" s="97"/>
      <c r="O267" s="97"/>
      <c r="P267" s="97"/>
      <c r="Q267" s="97"/>
      <c r="R267" s="98"/>
      <c r="S267" s="97"/>
      <c r="T267" s="8"/>
      <c r="U267" s="8"/>
      <c r="V267" s="5"/>
    </row>
    <row r="268" spans="1:22" ht="15.6" x14ac:dyDescent="0.3">
      <c r="A268" s="164"/>
      <c r="B268" s="14" t="s">
        <v>97</v>
      </c>
      <c r="C268" s="15"/>
      <c r="D268" s="15"/>
      <c r="E268" s="15"/>
      <c r="F268" s="17" t="s">
        <v>103</v>
      </c>
      <c r="G268" s="15"/>
      <c r="H268" s="14" t="s">
        <v>105</v>
      </c>
      <c r="I268" s="159"/>
      <c r="J268" s="159"/>
      <c r="K268" s="159"/>
      <c r="L268" s="159"/>
      <c r="M268" s="159"/>
      <c r="N268" s="159"/>
      <c r="O268" s="159"/>
      <c r="P268" s="159"/>
      <c r="Q268" s="159"/>
      <c r="R268" s="159"/>
      <c r="S268" s="159"/>
      <c r="T268" s="159"/>
      <c r="U268" s="159"/>
      <c r="V268" s="5"/>
    </row>
    <row r="269" spans="1:22" ht="15.6" x14ac:dyDescent="0.3">
      <c r="A269" s="164"/>
      <c r="B269" s="159"/>
      <c r="C269" s="8"/>
      <c r="D269" s="8"/>
      <c r="E269" s="8"/>
      <c r="F269" s="8"/>
      <c r="G269" s="8"/>
      <c r="H269" s="8"/>
      <c r="I269" s="159"/>
      <c r="J269" s="159"/>
      <c r="K269" s="159"/>
      <c r="L269" s="159"/>
      <c r="M269" s="159"/>
      <c r="N269" s="159"/>
      <c r="O269" s="159"/>
      <c r="P269" s="159"/>
      <c r="Q269" s="159"/>
      <c r="R269" s="159"/>
      <c r="S269" s="159"/>
      <c r="T269" s="159"/>
      <c r="U269" s="159"/>
      <c r="V269" s="5"/>
    </row>
    <row r="270" spans="1:22" ht="15.6" x14ac:dyDescent="0.3">
      <c r="A270" s="164"/>
      <c r="B270" s="13" t="s">
        <v>98</v>
      </c>
      <c r="C270" s="13"/>
      <c r="D270" s="13"/>
      <c r="E270" s="13"/>
      <c r="F270" s="133" t="s">
        <v>159</v>
      </c>
      <c r="G270" s="13"/>
      <c r="H270" s="13" t="s">
        <v>167</v>
      </c>
      <c r="I270" s="159"/>
      <c r="J270" s="159"/>
      <c r="K270" s="159"/>
      <c r="L270" s="159"/>
      <c r="M270" s="159"/>
      <c r="N270" s="159"/>
      <c r="O270" s="159"/>
      <c r="P270" s="159"/>
      <c r="Q270" s="159"/>
      <c r="R270" s="159"/>
      <c r="S270" s="159"/>
      <c r="T270" s="159"/>
      <c r="U270" s="159"/>
      <c r="V270" s="5"/>
    </row>
    <row r="271" spans="1:22" ht="15.6" x14ac:dyDescent="0.3">
      <c r="A271" s="164"/>
      <c r="B271" s="13" t="s">
        <v>273</v>
      </c>
      <c r="C271" s="13"/>
      <c r="D271" s="13"/>
      <c r="E271" s="13"/>
      <c r="F271" s="133" t="s">
        <v>274</v>
      </c>
      <c r="G271" s="13"/>
      <c r="H271" s="13" t="s">
        <v>275</v>
      </c>
      <c r="I271" s="159"/>
      <c r="J271" s="159"/>
      <c r="K271" s="159"/>
      <c r="L271" s="159"/>
      <c r="M271" s="159"/>
      <c r="N271" s="159"/>
      <c r="O271" s="159"/>
      <c r="P271" s="159"/>
      <c r="Q271" s="159"/>
      <c r="R271" s="159"/>
      <c r="S271" s="159"/>
      <c r="T271" s="159"/>
      <c r="U271" s="159"/>
      <c r="V271" s="5"/>
    </row>
    <row r="272" spans="1:22" ht="15.6" x14ac:dyDescent="0.3">
      <c r="A272" s="164"/>
      <c r="B272" s="13" t="s">
        <v>99</v>
      </c>
      <c r="C272" s="13"/>
      <c r="D272" s="13"/>
      <c r="E272" s="13"/>
      <c r="F272" s="133" t="s">
        <v>158</v>
      </c>
      <c r="G272" s="13"/>
      <c r="H272" s="13" t="s">
        <v>168</v>
      </c>
      <c r="I272" s="159"/>
      <c r="J272" s="159"/>
      <c r="K272" s="159"/>
      <c r="L272" s="159"/>
      <c r="M272" s="159"/>
      <c r="N272" s="159"/>
      <c r="O272" s="159"/>
      <c r="P272" s="159"/>
      <c r="Q272" s="159"/>
      <c r="R272" s="159"/>
      <c r="S272" s="159"/>
      <c r="T272" s="159"/>
      <c r="U272" s="159"/>
      <c r="V272" s="5"/>
    </row>
    <row r="273" spans="1:22" ht="15.6" x14ac:dyDescent="0.3">
      <c r="A273" s="164"/>
      <c r="B273" s="13"/>
      <c r="C273" s="13"/>
      <c r="D273" s="13"/>
      <c r="E273" s="13"/>
      <c r="F273" s="13"/>
      <c r="G273" s="100"/>
      <c r="H273" s="159"/>
      <c r="I273" s="159"/>
      <c r="J273" s="159"/>
      <c r="K273" s="159"/>
      <c r="L273" s="159"/>
      <c r="M273" s="159"/>
      <c r="N273" s="159"/>
      <c r="O273" s="159"/>
      <c r="P273" s="159"/>
      <c r="Q273" s="159"/>
      <c r="R273" s="159"/>
      <c r="S273" s="159"/>
      <c r="T273" s="159"/>
      <c r="U273" s="159"/>
      <c r="V273" s="5"/>
    </row>
    <row r="274" spans="1:22" ht="18" thickBot="1" x14ac:dyDescent="0.35">
      <c r="A274" s="164"/>
      <c r="B274" s="49" t="str">
        <f>B192</f>
        <v>PM9 INVESTOR REPORT QUARTER ENDING JANUARY 2006</v>
      </c>
      <c r="C274" s="13"/>
      <c r="D274" s="13"/>
      <c r="E274" s="13"/>
      <c r="F274" s="13"/>
      <c r="G274" s="100"/>
      <c r="H274" s="159"/>
      <c r="I274" s="159"/>
      <c r="J274" s="159"/>
      <c r="K274" s="159"/>
      <c r="L274" s="159"/>
      <c r="M274" s="159"/>
      <c r="N274" s="159"/>
      <c r="O274" s="159"/>
      <c r="P274" s="159"/>
      <c r="Q274" s="159"/>
      <c r="R274" s="159"/>
      <c r="S274" s="159"/>
      <c r="T274" s="159"/>
      <c r="U274" s="159"/>
      <c r="V274" s="5"/>
    </row>
    <row r="275" spans="1:22" x14ac:dyDescent="0.25">
      <c r="A275" s="101"/>
      <c r="B275" s="101"/>
      <c r="C275" s="101"/>
      <c r="D275" s="101"/>
      <c r="E275" s="101"/>
      <c r="F275" s="101"/>
      <c r="G275" s="101"/>
      <c r="H275" s="101"/>
      <c r="I275" s="101"/>
      <c r="J275" s="101"/>
      <c r="K275" s="101"/>
      <c r="L275" s="101"/>
      <c r="M275" s="101"/>
      <c r="N275" s="101"/>
      <c r="O275" s="101"/>
      <c r="P275" s="101"/>
      <c r="Q275" s="101"/>
      <c r="R275" s="101"/>
      <c r="S275" s="101"/>
      <c r="T275" s="101"/>
      <c r="U275" s="101"/>
    </row>
  </sheetData>
  <phoneticPr fontId="0" type="noConversion"/>
  <hyperlinks>
    <hyperlink ref="J9" r:id="rId1" xr:uid="{00000000-0004-0000-0100-000000000000}"/>
    <hyperlink ref="N227" r:id="rId2" xr:uid="{00000000-0004-0000-01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2" max="14" man="1"/>
    <brk id="192" max="14"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2D2926"/>
  </sheetPr>
  <dimension ref="A1:W290"/>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0.71840000000000004</v>
      </c>
      <c r="R16" s="225" t="s">
        <v>149</v>
      </c>
      <c r="S16" s="224">
        <v>0.28160000000000002</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40407</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28"/>
      <c r="D22" s="328" t="s">
        <v>185</v>
      </c>
      <c r="E22" s="328"/>
      <c r="F22" s="328" t="s">
        <v>186</v>
      </c>
      <c r="G22" s="328"/>
      <c r="H22" s="328" t="s">
        <v>187</v>
      </c>
      <c r="I22" s="328"/>
      <c r="J22" s="328" t="s">
        <v>188</v>
      </c>
      <c r="K22" s="328"/>
      <c r="L22" s="328" t="s">
        <v>189</v>
      </c>
      <c r="M22" s="328"/>
      <c r="N22" s="328" t="s">
        <v>190</v>
      </c>
      <c r="O22" s="328"/>
      <c r="P22" s="328" t="s">
        <v>191</v>
      </c>
      <c r="Q22" s="329"/>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278"/>
      <c r="D25" s="278" t="s">
        <v>150</v>
      </c>
      <c r="E25" s="278"/>
      <c r="F25" s="278" t="s">
        <v>150</v>
      </c>
      <c r="G25" s="278"/>
      <c r="H25" s="278" t="s">
        <v>150</v>
      </c>
      <c r="I25" s="278"/>
      <c r="J25" s="278" t="s">
        <v>192</v>
      </c>
      <c r="K25" s="278"/>
      <c r="L25" s="278" t="s">
        <v>192</v>
      </c>
      <c r="M25" s="278"/>
      <c r="N25" s="278" t="s">
        <v>151</v>
      </c>
      <c r="O25" s="278"/>
      <c r="P25" s="278" t="s">
        <v>151</v>
      </c>
      <c r="Q25" s="278"/>
      <c r="R25" s="273"/>
      <c r="S25" s="274"/>
      <c r="T25" s="274"/>
      <c r="U25" s="275"/>
      <c r="V25" s="5"/>
    </row>
    <row r="26" spans="1:22" ht="15.6" x14ac:dyDescent="0.3">
      <c r="A26" s="276"/>
      <c r="B26" s="277" t="s">
        <v>10</v>
      </c>
      <c r="C26" s="278"/>
      <c r="D26" s="278" t="s">
        <v>152</v>
      </c>
      <c r="E26" s="278"/>
      <c r="F26" s="278" t="s">
        <v>152</v>
      </c>
      <c r="G26" s="278"/>
      <c r="H26" s="278" t="s">
        <v>152</v>
      </c>
      <c r="I26" s="278"/>
      <c r="J26" s="278" t="s">
        <v>193</v>
      </c>
      <c r="K26" s="278"/>
      <c r="L26" s="278" t="s">
        <v>193</v>
      </c>
      <c r="M26" s="278"/>
      <c r="N26" s="278" t="s">
        <v>153</v>
      </c>
      <c r="O26" s="278"/>
      <c r="P26" s="278" t="s">
        <v>153</v>
      </c>
      <c r="Q26" s="27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140325.0056</v>
      </c>
      <c r="E30" s="280"/>
      <c r="F30" s="282">
        <f>F29*F36</f>
        <v>143975.07800000001</v>
      </c>
      <c r="G30" s="281"/>
      <c r="H30" s="283">
        <f>H29*H36</f>
        <v>24333.768</v>
      </c>
      <c r="I30" s="281"/>
      <c r="J30" s="281">
        <f>J29*J36</f>
        <v>7000</v>
      </c>
      <c r="K30" s="281"/>
      <c r="L30" s="282">
        <f>L29*L36</f>
        <v>29500</v>
      </c>
      <c r="M30" s="281"/>
      <c r="N30" s="284">
        <f>N29*N36</f>
        <v>3000</v>
      </c>
      <c r="O30" s="281"/>
      <c r="P30" s="282">
        <f>P29*P36</f>
        <v>66000</v>
      </c>
      <c r="Q30" s="281"/>
      <c r="R30" s="281"/>
      <c r="S30" s="285"/>
      <c r="T30" s="281"/>
      <c r="U30" s="286"/>
      <c r="V30" s="5"/>
    </row>
    <row r="31" spans="1:22" ht="15.6" x14ac:dyDescent="0.3">
      <c r="A31" s="276"/>
      <c r="B31" s="277" t="s">
        <v>143</v>
      </c>
      <c r="C31" s="287"/>
      <c r="D31" s="288">
        <f>D35*D29</f>
        <v>140325.0056</v>
      </c>
      <c r="E31" s="287"/>
      <c r="F31" s="289">
        <f>F35*F29</f>
        <v>143975.07800000001</v>
      </c>
      <c r="G31" s="288"/>
      <c r="H31" s="290">
        <f>H35*H29</f>
        <v>24333.768</v>
      </c>
      <c r="I31" s="288"/>
      <c r="J31" s="288">
        <f>J35*J29</f>
        <v>6718.0105999999996</v>
      </c>
      <c r="K31" s="288"/>
      <c r="L31" s="289">
        <f>L35*L29</f>
        <v>28311.616099999999</v>
      </c>
      <c r="M31" s="288"/>
      <c r="N31" s="291">
        <f>N35*N29</f>
        <v>2879.1473999999998</v>
      </c>
      <c r="O31" s="288"/>
      <c r="P31" s="289">
        <f>P35*P29</f>
        <v>63341.2428</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140325.0056</v>
      </c>
      <c r="E33" s="280"/>
      <c r="F33" s="281">
        <f>F32*F36</f>
        <v>99160.300200000012</v>
      </c>
      <c r="G33" s="281"/>
      <c r="H33" s="281">
        <f>H32*H36</f>
        <v>13748.57892</v>
      </c>
      <c r="I33" s="281"/>
      <c r="J33" s="281">
        <f>J32*J36</f>
        <v>7000</v>
      </c>
      <c r="K33" s="281"/>
      <c r="L33" s="281">
        <f>L32*L36</f>
        <v>20300</v>
      </c>
      <c r="M33" s="281"/>
      <c r="N33" s="281">
        <f>N32*N36</f>
        <v>3000</v>
      </c>
      <c r="O33" s="281"/>
      <c r="P33" s="281">
        <f>P32*P36</f>
        <v>45300</v>
      </c>
      <c r="Q33" s="281"/>
      <c r="R33" s="281"/>
      <c r="S33" s="285"/>
      <c r="T33" s="281">
        <f>SUM(C33:P33)</f>
        <v>328833.88472000003</v>
      </c>
      <c r="U33" s="286"/>
      <c r="V33" s="5"/>
    </row>
    <row r="34" spans="1:22" ht="15.6" x14ac:dyDescent="0.3">
      <c r="A34" s="276"/>
      <c r="B34" s="277" t="s">
        <v>291</v>
      </c>
      <c r="C34" s="287"/>
      <c r="D34" s="288">
        <f>D35*D32</f>
        <v>140325.0056</v>
      </c>
      <c r="E34" s="287"/>
      <c r="F34" s="288">
        <f>F35*F32</f>
        <v>99160.300200000012</v>
      </c>
      <c r="G34" s="288"/>
      <c r="H34" s="288">
        <f>H35*H32</f>
        <v>13748.57892</v>
      </c>
      <c r="I34" s="288"/>
      <c r="J34" s="288">
        <f>J35*J32</f>
        <v>6718.0105999999996</v>
      </c>
      <c r="K34" s="288"/>
      <c r="L34" s="288">
        <f>L35*L32</f>
        <v>19482.230739999999</v>
      </c>
      <c r="M34" s="288"/>
      <c r="N34" s="288">
        <f>N35*N32</f>
        <v>2879.1473999999998</v>
      </c>
      <c r="O34" s="288"/>
      <c r="P34" s="288">
        <f>P35*P32</f>
        <v>43475.125740000003</v>
      </c>
      <c r="Q34" s="288"/>
      <c r="R34" s="288"/>
      <c r="S34" s="292"/>
      <c r="T34" s="288">
        <f>SUM(C34:P34)</f>
        <v>325788.39920000004</v>
      </c>
      <c r="U34" s="286"/>
      <c r="V34" s="5"/>
    </row>
    <row r="35" spans="1:22" ht="15.6" x14ac:dyDescent="0.3">
      <c r="A35" s="276"/>
      <c r="B35" s="293" t="s">
        <v>139</v>
      </c>
      <c r="C35" s="294"/>
      <c r="D35" s="295">
        <v>0.40556360000000002</v>
      </c>
      <c r="E35" s="296"/>
      <c r="F35" s="295">
        <v>0.40556360000000002</v>
      </c>
      <c r="G35" s="295"/>
      <c r="H35" s="295">
        <v>0.4055628</v>
      </c>
      <c r="I35" s="297"/>
      <c r="J35" s="295">
        <v>0.95971580000000001</v>
      </c>
      <c r="K35" s="297"/>
      <c r="L35" s="295">
        <v>0.95971580000000001</v>
      </c>
      <c r="M35" s="297"/>
      <c r="N35" s="295">
        <v>0.95971580000000001</v>
      </c>
      <c r="O35" s="297"/>
      <c r="P35" s="295">
        <v>0.95971580000000001</v>
      </c>
      <c r="Q35" s="298"/>
      <c r="R35" s="298"/>
      <c r="S35" s="299"/>
      <c r="T35" s="298"/>
      <c r="U35" s="300"/>
      <c r="V35" s="5"/>
    </row>
    <row r="36" spans="1:22" ht="15.6" x14ac:dyDescent="0.3">
      <c r="A36" s="276"/>
      <c r="B36" s="293" t="s">
        <v>140</v>
      </c>
      <c r="C36" s="294"/>
      <c r="D36" s="295">
        <v>0.40556360000000002</v>
      </c>
      <c r="E36" s="296"/>
      <c r="F36" s="295">
        <v>0.40556360000000002</v>
      </c>
      <c r="G36" s="295"/>
      <c r="H36" s="295">
        <v>0.4055628</v>
      </c>
      <c r="I36" s="297"/>
      <c r="J36" s="297">
        <v>1</v>
      </c>
      <c r="K36" s="297"/>
      <c r="L36" s="297">
        <v>1</v>
      </c>
      <c r="M36" s="297"/>
      <c r="N36" s="297">
        <v>1</v>
      </c>
      <c r="O36" s="297"/>
      <c r="P36" s="297">
        <v>1</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1.0562500000000001E-2</v>
      </c>
      <c r="E38" s="272"/>
      <c r="F38" s="303">
        <v>1.043E-2</v>
      </c>
      <c r="G38" s="304"/>
      <c r="H38" s="303">
        <v>7.9588000000000002E-3</v>
      </c>
      <c r="I38" s="304"/>
      <c r="J38" s="303">
        <v>1.27625E-2</v>
      </c>
      <c r="K38" s="304"/>
      <c r="L38" s="303">
        <v>1.2630000000000001E-2</v>
      </c>
      <c r="M38" s="304"/>
      <c r="N38" s="303">
        <v>1.7362499999999999E-2</v>
      </c>
      <c r="O38" s="304"/>
      <c r="P38" s="303">
        <v>1.7229999999999999E-2</v>
      </c>
      <c r="Q38" s="304"/>
      <c r="R38" s="303"/>
      <c r="S38" s="274"/>
      <c r="T38" s="304"/>
      <c r="U38" s="275"/>
      <c r="V38" s="5"/>
    </row>
    <row r="39" spans="1:22" ht="15.6" x14ac:dyDescent="0.3">
      <c r="A39" s="302"/>
      <c r="B39" s="272" t="s">
        <v>14</v>
      </c>
      <c r="C39" s="272"/>
      <c r="D39" s="303">
        <v>8.2124999999999993E-3</v>
      </c>
      <c r="E39" s="272"/>
      <c r="F39" s="303">
        <v>8.43E-3</v>
      </c>
      <c r="G39" s="304"/>
      <c r="H39" s="303">
        <v>4.3E-3</v>
      </c>
      <c r="I39" s="304"/>
      <c r="J39" s="303">
        <v>9.3124999999999996E-3</v>
      </c>
      <c r="K39" s="304"/>
      <c r="L39" s="303">
        <v>9.5300000000000003E-3</v>
      </c>
      <c r="M39" s="304"/>
      <c r="N39" s="303">
        <v>1.16125E-2</v>
      </c>
      <c r="O39" s="304"/>
      <c r="P39" s="303">
        <v>1.183E-2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1.0562500000000001E-2</v>
      </c>
      <c r="E41" s="272"/>
      <c r="F41" s="303">
        <v>1.0762499999999999E-2</v>
      </c>
      <c r="G41" s="304"/>
      <c r="H41" s="303">
        <v>1.1022499999999999E-2</v>
      </c>
      <c r="I41" s="304"/>
      <c r="J41" s="303">
        <f>+J38</f>
        <v>1.27625E-2</v>
      </c>
      <c r="K41" s="304"/>
      <c r="L41" s="303">
        <v>1.33525E-2</v>
      </c>
      <c r="M41" s="304"/>
      <c r="N41" s="303">
        <f>+N38</f>
        <v>1.7362499999999999E-2</v>
      </c>
      <c r="O41" s="304"/>
      <c r="P41" s="303">
        <v>1.8242499999999998E-2</v>
      </c>
      <c r="Q41" s="304"/>
      <c r="R41" s="303"/>
      <c r="S41" s="274"/>
      <c r="T41" s="304">
        <f>SUMPRODUCT(D41:P41,D33:P33)/T33</f>
        <v>1.1981141533065912E-2</v>
      </c>
      <c r="U41" s="275"/>
      <c r="V41" s="5"/>
    </row>
    <row r="42" spans="1:22" ht="15.6" x14ac:dyDescent="0.3">
      <c r="A42" s="302"/>
      <c r="B42" s="272" t="s">
        <v>294</v>
      </c>
      <c r="C42" s="272"/>
      <c r="D42" s="303">
        <f>+D39</f>
        <v>8.2124999999999993E-3</v>
      </c>
      <c r="E42" s="272"/>
      <c r="F42" s="303">
        <v>8.3125000000000004E-3</v>
      </c>
      <c r="G42" s="304"/>
      <c r="H42" s="303">
        <v>8.4425000000000004E-3</v>
      </c>
      <c r="I42" s="304"/>
      <c r="J42" s="303">
        <f>+J39</f>
        <v>9.3124999999999996E-3</v>
      </c>
      <c r="K42" s="304"/>
      <c r="L42" s="303">
        <v>9.6074999999999997E-3</v>
      </c>
      <c r="M42" s="304"/>
      <c r="N42" s="303">
        <f>+N39</f>
        <v>1.16125E-2</v>
      </c>
      <c r="O42" s="304"/>
      <c r="P42" s="303">
        <v>1.2052500000000001E-2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0.286511872454286</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40406</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90</v>
      </c>
      <c r="Q54" s="272"/>
      <c r="R54" s="312">
        <v>40225</v>
      </c>
      <c r="S54" s="313"/>
      <c r="T54" s="312">
        <v>40314</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91</v>
      </c>
      <c r="Q55" s="272"/>
      <c r="R55" s="312">
        <v>40315</v>
      </c>
      <c r="S55" s="313"/>
      <c r="T55" s="312">
        <v>40405</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40392</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301</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328834</v>
      </c>
      <c r="M65" s="317"/>
      <c r="N65" s="317">
        <f>3045+212+82+1</f>
        <v>3340</v>
      </c>
      <c r="O65" s="317"/>
      <c r="P65" s="317">
        <f>212+82</f>
        <v>294</v>
      </c>
      <c r="Q65" s="317"/>
      <c r="R65" s="317">
        <v>0</v>
      </c>
      <c r="S65" s="317"/>
      <c r="T65" s="318">
        <f>+L65-N65+P65-R65</f>
        <v>325788</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328834</v>
      </c>
      <c r="M68" s="317"/>
      <c r="N68" s="317">
        <f>SUM(N65:N67)</f>
        <v>3340</v>
      </c>
      <c r="O68" s="317"/>
      <c r="P68" s="317">
        <f>SUM(P65:P67)</f>
        <v>294</v>
      </c>
      <c r="Q68" s="317"/>
      <c r="R68" s="317">
        <f>SUM(R65:R67)</f>
        <v>0</v>
      </c>
      <c r="S68" s="317"/>
      <c r="T68" s="317">
        <f>SUM(T65:T67)</f>
        <v>325788</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328834</v>
      </c>
      <c r="M81" s="317"/>
      <c r="N81" s="317"/>
      <c r="O81" s="317"/>
      <c r="P81" s="317"/>
      <c r="Q81" s="317"/>
      <c r="R81" s="317"/>
      <c r="S81" s="317"/>
      <c r="T81" s="317">
        <f>SUM(T68:T80)</f>
        <v>325788</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+R195</f>
        <v>40389</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3340-840</f>
        <v>2500</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2017+734-370-101+23</f>
        <v>2303</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33+135</f>
        <v>168</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18</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0</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2500</v>
      </c>
      <c r="S93" s="272"/>
      <c r="T93" s="317">
        <f>SUM(T85:T92)</f>
        <v>2489</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-8</v>
      </c>
      <c r="S94" s="272"/>
      <c r="T94" s="317">
        <f>-R94</f>
        <v>8</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126</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2492</v>
      </c>
      <c r="S97" s="272"/>
      <c r="T97" s="317">
        <f>T93+T95+T94+T96</f>
        <v>2623</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160</v>
      </c>
      <c r="C101" s="272"/>
      <c r="D101" s="272"/>
      <c r="E101" s="272"/>
      <c r="F101" s="272"/>
      <c r="G101" s="272"/>
      <c r="H101" s="272"/>
      <c r="I101" s="272"/>
      <c r="J101" s="272"/>
      <c r="K101" s="272"/>
      <c r="L101" s="272"/>
      <c r="M101" s="272"/>
      <c r="N101" s="272"/>
      <c r="O101" s="272"/>
      <c r="P101" s="272"/>
      <c r="Q101" s="272"/>
      <c r="R101" s="272"/>
      <c r="S101" s="272"/>
      <c r="T101" s="318">
        <f>-126-106-4</f>
        <v>-236</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-235</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-1</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-369</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-266</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-38</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-22</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-68</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-13</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-206</v>
      </c>
      <c r="U110" s="340"/>
      <c r="V110" s="5"/>
      <c r="W110" s="110"/>
    </row>
    <row r="111" spans="1:23" ht="15.6" x14ac:dyDescent="0.3">
      <c r="A111" s="302">
        <v>7</v>
      </c>
      <c r="B111" s="272" t="s">
        <v>38</v>
      </c>
      <c r="C111" s="272"/>
      <c r="D111" s="272"/>
      <c r="E111" s="272"/>
      <c r="F111" s="272"/>
      <c r="G111" s="272"/>
      <c r="H111" s="272"/>
      <c r="I111" s="272"/>
      <c r="J111" s="272"/>
      <c r="K111" s="272"/>
      <c r="L111" s="272"/>
      <c r="M111" s="272"/>
      <c r="N111" s="272"/>
      <c r="O111" s="272"/>
      <c r="P111" s="272"/>
      <c r="Q111" s="272"/>
      <c r="R111" s="272"/>
      <c r="S111" s="272"/>
      <c r="T111" s="318">
        <v>-8</v>
      </c>
      <c r="U111" s="340"/>
      <c r="V111" s="5"/>
    </row>
    <row r="112" spans="1:23" ht="15.6" x14ac:dyDescent="0.3">
      <c r="A112" s="302">
        <f t="shared" ref="A112:A117" si="0">+A111+1</f>
        <v>8</v>
      </c>
      <c r="B112" s="272" t="s">
        <v>49</v>
      </c>
      <c r="C112" s="272"/>
      <c r="D112" s="272"/>
      <c r="E112" s="272"/>
      <c r="F112" s="272"/>
      <c r="G112" s="272"/>
      <c r="H112" s="272"/>
      <c r="I112" s="272"/>
      <c r="J112" s="272"/>
      <c r="K112" s="272"/>
      <c r="L112" s="272"/>
      <c r="M112" s="272"/>
      <c r="N112" s="272"/>
      <c r="O112" s="272"/>
      <c r="P112" s="272"/>
      <c r="Q112" s="272"/>
      <c r="R112" s="317">
        <f>-T112</f>
        <v>840</v>
      </c>
      <c r="S112" s="272"/>
      <c r="T112" s="318">
        <v>-840</v>
      </c>
      <c r="U112" s="340"/>
      <c r="V112" s="5"/>
    </row>
    <row r="113" spans="1:22" ht="15.6" x14ac:dyDescent="0.3">
      <c r="A113" s="302">
        <f t="shared" si="0"/>
        <v>9</v>
      </c>
      <c r="B113" s="272" t="s">
        <v>134</v>
      </c>
      <c r="C113" s="272"/>
      <c r="D113" s="272"/>
      <c r="E113" s="272"/>
      <c r="F113" s="272"/>
      <c r="G113" s="272"/>
      <c r="H113" s="272"/>
      <c r="I113" s="272"/>
      <c r="J113" s="272"/>
      <c r="K113" s="272"/>
      <c r="L113" s="272"/>
      <c r="M113" s="272"/>
      <c r="N113" s="272"/>
      <c r="O113" s="272"/>
      <c r="P113" s="272"/>
      <c r="Q113" s="272"/>
      <c r="R113" s="272"/>
      <c r="S113" s="272"/>
      <c r="T113" s="318">
        <v>0</v>
      </c>
      <c r="U113" s="340"/>
      <c r="V113" s="5"/>
    </row>
    <row r="114" spans="1:22" ht="15.6" x14ac:dyDescent="0.3">
      <c r="A114" s="302">
        <f t="shared" si="0"/>
        <v>10</v>
      </c>
      <c r="B114" s="272" t="s">
        <v>39</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40</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161</v>
      </c>
      <c r="C116" s="272"/>
      <c r="D116" s="272"/>
      <c r="E116" s="272"/>
      <c r="F116" s="272"/>
      <c r="G116" s="272"/>
      <c r="H116" s="272"/>
      <c r="I116" s="272"/>
      <c r="J116" s="272"/>
      <c r="K116" s="272"/>
      <c r="L116" s="272"/>
      <c r="M116" s="272"/>
      <c r="N116" s="272"/>
      <c r="O116" s="272"/>
      <c r="P116" s="272"/>
      <c r="Q116" s="272"/>
      <c r="R116" s="272"/>
      <c r="S116" s="272"/>
      <c r="T116" s="318">
        <v>-125</v>
      </c>
      <c r="U116" s="340"/>
      <c r="V116" s="5"/>
    </row>
    <row r="117" spans="1:22" ht="15.6" x14ac:dyDescent="0.3">
      <c r="A117" s="302">
        <f t="shared" si="0"/>
        <v>13</v>
      </c>
      <c r="B117" s="272" t="s">
        <v>135</v>
      </c>
      <c r="C117" s="272"/>
      <c r="D117" s="272"/>
      <c r="E117" s="272"/>
      <c r="F117" s="272"/>
      <c r="G117" s="272"/>
      <c r="H117" s="272"/>
      <c r="I117" s="272"/>
      <c r="J117" s="272"/>
      <c r="K117" s="272"/>
      <c r="L117" s="272"/>
      <c r="M117" s="272"/>
      <c r="N117" s="272"/>
      <c r="O117" s="272"/>
      <c r="P117" s="272"/>
      <c r="Q117" s="272"/>
      <c r="R117" s="272"/>
      <c r="S117" s="272"/>
      <c r="T117" s="318">
        <f>-T97-SUM(T99:T116)</f>
        <v>-194</v>
      </c>
      <c r="U117" s="340"/>
      <c r="V117" s="5"/>
    </row>
    <row r="118" spans="1:22" ht="15.6" x14ac:dyDescent="0.3">
      <c r="A118" s="271"/>
      <c r="B118" s="336" t="s">
        <v>41</v>
      </c>
      <c r="C118" s="337"/>
      <c r="D118" s="337"/>
      <c r="E118" s="337"/>
      <c r="F118" s="337"/>
      <c r="G118" s="337"/>
      <c r="H118" s="337"/>
      <c r="I118" s="337"/>
      <c r="J118" s="337"/>
      <c r="K118" s="337"/>
      <c r="L118" s="337"/>
      <c r="M118" s="337"/>
      <c r="N118" s="337"/>
      <c r="O118" s="337"/>
      <c r="P118" s="337"/>
      <c r="Q118" s="337"/>
      <c r="R118" s="337"/>
      <c r="S118" s="337"/>
      <c r="T118" s="341"/>
      <c r="U118" s="340"/>
      <c r="V118" s="5"/>
    </row>
    <row r="119" spans="1:22" ht="15.6" x14ac:dyDescent="0.3">
      <c r="A119" s="302"/>
      <c r="B119" s="272" t="s">
        <v>229</v>
      </c>
      <c r="C119" s="272"/>
      <c r="D119" s="272"/>
      <c r="E119" s="272"/>
      <c r="F119" s="272"/>
      <c r="G119" s="272"/>
      <c r="H119" s="272"/>
      <c r="I119" s="272"/>
      <c r="J119" s="272"/>
      <c r="K119" s="272"/>
      <c r="L119" s="272"/>
      <c r="M119" s="272"/>
      <c r="N119" s="272"/>
      <c r="O119" s="272"/>
      <c r="P119" s="272"/>
      <c r="Q119" s="272"/>
      <c r="R119" s="317">
        <f>-R179</f>
        <v>0</v>
      </c>
      <c r="S119" s="317"/>
      <c r="T119" s="318"/>
      <c r="U119" s="275"/>
      <c r="V119" s="5"/>
    </row>
    <row r="120" spans="1:22" ht="15.6" x14ac:dyDescent="0.3">
      <c r="A120" s="302"/>
      <c r="B120" s="272" t="s">
        <v>230</v>
      </c>
      <c r="C120" s="272"/>
      <c r="D120" s="272"/>
      <c r="E120" s="272"/>
      <c r="F120" s="272"/>
      <c r="G120" s="272"/>
      <c r="H120" s="272"/>
      <c r="I120" s="272"/>
      <c r="J120" s="272"/>
      <c r="K120" s="272"/>
      <c r="L120" s="272"/>
      <c r="M120" s="272"/>
      <c r="N120" s="272"/>
      <c r="O120" s="272"/>
      <c r="P120" s="272"/>
      <c r="Q120" s="272"/>
      <c r="R120" s="317">
        <v>-74</v>
      </c>
      <c r="S120" s="317"/>
      <c r="T120" s="318"/>
      <c r="U120" s="275"/>
      <c r="V120" s="5"/>
    </row>
    <row r="121" spans="1:22" ht="15.6" x14ac:dyDescent="0.3">
      <c r="A121" s="302"/>
      <c r="B121" s="272" t="s">
        <v>42</v>
      </c>
      <c r="C121" s="272"/>
      <c r="D121" s="272"/>
      <c r="E121" s="272"/>
      <c r="F121" s="272"/>
      <c r="G121" s="272"/>
      <c r="H121" s="272"/>
      <c r="I121" s="272"/>
      <c r="J121" s="272"/>
      <c r="K121" s="272"/>
      <c r="L121" s="272"/>
      <c r="M121" s="272"/>
      <c r="N121" s="272"/>
      <c r="O121" s="272"/>
      <c r="P121" s="272"/>
      <c r="Q121" s="272"/>
      <c r="R121" s="317">
        <f>-Q179</f>
        <v>-212</v>
      </c>
      <c r="S121" s="317"/>
      <c r="T121" s="318"/>
      <c r="U121" s="275"/>
      <c r="V121" s="5"/>
    </row>
    <row r="122" spans="1:22" ht="15.6" x14ac:dyDescent="0.3">
      <c r="A122" s="302"/>
      <c r="B122" s="272" t="s">
        <v>235</v>
      </c>
      <c r="C122" s="272"/>
      <c r="D122" s="272"/>
      <c r="E122" s="272"/>
      <c r="F122" s="272"/>
      <c r="G122" s="272"/>
      <c r="H122" s="272"/>
      <c r="I122" s="272"/>
      <c r="J122" s="272"/>
      <c r="K122" s="272"/>
      <c r="L122" s="272"/>
      <c r="M122" s="272"/>
      <c r="N122" s="272"/>
      <c r="O122" s="272"/>
      <c r="P122" s="272"/>
      <c r="Q122" s="272"/>
      <c r="R122" s="317">
        <v>0</v>
      </c>
      <c r="S122" s="317"/>
      <c r="T122" s="318"/>
      <c r="U122" s="275"/>
      <c r="V122" s="5"/>
    </row>
    <row r="123" spans="1:22" ht="15.6" x14ac:dyDescent="0.3">
      <c r="A123" s="302"/>
      <c r="B123" s="272" t="s">
        <v>236</v>
      </c>
      <c r="C123" s="272"/>
      <c r="D123" s="272"/>
      <c r="E123" s="272"/>
      <c r="F123" s="272"/>
      <c r="G123" s="272"/>
      <c r="H123" s="272"/>
      <c r="I123" s="272"/>
      <c r="J123" s="272"/>
      <c r="K123" s="272"/>
      <c r="L123" s="272"/>
      <c r="M123" s="272"/>
      <c r="N123" s="272"/>
      <c r="O123" s="272"/>
      <c r="P123" s="272"/>
      <c r="Q123" s="272"/>
      <c r="R123" s="317">
        <v>0</v>
      </c>
      <c r="S123" s="317"/>
      <c r="T123" s="318"/>
      <c r="U123" s="275"/>
      <c r="V123" s="5"/>
    </row>
    <row r="124" spans="1:22" ht="15.6" x14ac:dyDescent="0.3">
      <c r="A124" s="302"/>
      <c r="B124" s="272" t="s">
        <v>241</v>
      </c>
      <c r="C124" s="272"/>
      <c r="D124" s="272"/>
      <c r="E124" s="272"/>
      <c r="F124" s="272"/>
      <c r="G124" s="272"/>
      <c r="H124" s="272"/>
      <c r="I124" s="272"/>
      <c r="J124" s="272"/>
      <c r="K124" s="272"/>
      <c r="L124" s="272"/>
      <c r="M124" s="272"/>
      <c r="N124" s="272"/>
      <c r="O124" s="272"/>
      <c r="P124" s="272"/>
      <c r="Q124" s="272"/>
      <c r="R124" s="317">
        <v>0</v>
      </c>
      <c r="S124" s="317"/>
      <c r="T124" s="318"/>
      <c r="U124" s="275"/>
      <c r="V124" s="5"/>
    </row>
    <row r="125" spans="1:22" ht="15.6" x14ac:dyDescent="0.3">
      <c r="A125" s="302"/>
      <c r="B125" s="272" t="s">
        <v>237</v>
      </c>
      <c r="C125" s="272"/>
      <c r="D125" s="272"/>
      <c r="E125" s="272"/>
      <c r="F125" s="272"/>
      <c r="G125" s="272"/>
      <c r="H125" s="272"/>
      <c r="I125" s="272"/>
      <c r="J125" s="272"/>
      <c r="K125" s="272"/>
      <c r="L125" s="272"/>
      <c r="M125" s="272"/>
      <c r="N125" s="272"/>
      <c r="O125" s="272"/>
      <c r="P125" s="272"/>
      <c r="Q125" s="272"/>
      <c r="R125" s="317">
        <v>-282</v>
      </c>
      <c r="S125" s="317"/>
      <c r="T125" s="318"/>
      <c r="U125" s="275"/>
      <c r="V125" s="5"/>
    </row>
    <row r="126" spans="1:22" ht="15.6" x14ac:dyDescent="0.3">
      <c r="A126" s="302"/>
      <c r="B126" s="272" t="s">
        <v>238</v>
      </c>
      <c r="C126" s="272"/>
      <c r="D126" s="272"/>
      <c r="E126" s="272"/>
      <c r="F126" s="272"/>
      <c r="G126" s="272"/>
      <c r="H126" s="272"/>
      <c r="I126" s="272"/>
      <c r="J126" s="272"/>
      <c r="K126" s="272"/>
      <c r="L126" s="272"/>
      <c r="M126" s="272"/>
      <c r="N126" s="272"/>
      <c r="O126" s="272"/>
      <c r="P126" s="272"/>
      <c r="Q126" s="272"/>
      <c r="R126" s="317">
        <v>-818</v>
      </c>
      <c r="S126" s="317"/>
      <c r="T126" s="318"/>
      <c r="U126" s="275"/>
      <c r="V126" s="5"/>
    </row>
    <row r="127" spans="1:22" ht="15.6" x14ac:dyDescent="0.3">
      <c r="A127" s="302"/>
      <c r="B127" s="272" t="s">
        <v>239</v>
      </c>
      <c r="C127" s="272"/>
      <c r="D127" s="272"/>
      <c r="E127" s="272"/>
      <c r="F127" s="272"/>
      <c r="G127" s="272"/>
      <c r="H127" s="272"/>
      <c r="I127" s="272"/>
      <c r="J127" s="272"/>
      <c r="K127" s="272"/>
      <c r="L127" s="272"/>
      <c r="M127" s="272"/>
      <c r="N127" s="272"/>
      <c r="O127" s="272"/>
      <c r="P127" s="272"/>
      <c r="Q127" s="272"/>
      <c r="R127" s="317">
        <v>-121</v>
      </c>
      <c r="S127" s="317"/>
      <c r="T127" s="318"/>
      <c r="U127" s="275"/>
      <c r="V127" s="5"/>
    </row>
    <row r="128" spans="1:22" ht="15.6" x14ac:dyDescent="0.3">
      <c r="A128" s="302"/>
      <c r="B128" s="272" t="s">
        <v>240</v>
      </c>
      <c r="C128" s="272"/>
      <c r="D128" s="272"/>
      <c r="E128" s="272"/>
      <c r="F128" s="272"/>
      <c r="G128" s="272"/>
      <c r="H128" s="272"/>
      <c r="I128" s="272"/>
      <c r="J128" s="272"/>
      <c r="K128" s="272"/>
      <c r="L128" s="272"/>
      <c r="M128" s="272"/>
      <c r="N128" s="272"/>
      <c r="O128" s="272"/>
      <c r="P128" s="272"/>
      <c r="Q128" s="272"/>
      <c r="R128" s="317">
        <v>-1825</v>
      </c>
      <c r="S128" s="317"/>
      <c r="T128" s="318"/>
      <c r="U128" s="275"/>
      <c r="V128" s="5"/>
    </row>
    <row r="129" spans="1:22" ht="15.6" x14ac:dyDescent="0.3">
      <c r="A129" s="302"/>
      <c r="B129" s="272" t="s">
        <v>43</v>
      </c>
      <c r="C129" s="272"/>
      <c r="D129" s="272"/>
      <c r="E129" s="272"/>
      <c r="F129" s="272"/>
      <c r="G129" s="272"/>
      <c r="H129" s="272"/>
      <c r="I129" s="272"/>
      <c r="J129" s="272"/>
      <c r="K129" s="272"/>
      <c r="L129" s="272"/>
      <c r="M129" s="272"/>
      <c r="N129" s="272"/>
      <c r="O129" s="272"/>
      <c r="P129" s="272"/>
      <c r="Q129" s="272"/>
      <c r="R129" s="317">
        <f>SUM(R119:R128)</f>
        <v>-3332</v>
      </c>
      <c r="S129" s="317"/>
      <c r="T129" s="317">
        <f>SUM(T98:T127)</f>
        <v>-2623</v>
      </c>
      <c r="U129" s="275"/>
      <c r="V129" s="5"/>
    </row>
    <row r="130" spans="1:22" ht="15.6" x14ac:dyDescent="0.3">
      <c r="A130" s="302"/>
      <c r="B130" s="272" t="s">
        <v>44</v>
      </c>
      <c r="C130" s="272"/>
      <c r="D130" s="272"/>
      <c r="E130" s="272"/>
      <c r="F130" s="272"/>
      <c r="G130" s="272"/>
      <c r="H130" s="272"/>
      <c r="I130" s="272"/>
      <c r="J130" s="272"/>
      <c r="K130" s="272"/>
      <c r="L130" s="272"/>
      <c r="M130" s="272"/>
      <c r="N130" s="272"/>
      <c r="O130" s="272"/>
      <c r="P130" s="272"/>
      <c r="Q130" s="272"/>
      <c r="R130" s="317">
        <f>R97+R129+R112</f>
        <v>0</v>
      </c>
      <c r="S130" s="317"/>
      <c r="T130" s="317">
        <f>T97+T129</f>
        <v>0</v>
      </c>
      <c r="U130" s="275"/>
      <c r="V130" s="5"/>
    </row>
    <row r="131" spans="1:22" ht="15.6" x14ac:dyDescent="0.3">
      <c r="A131" s="233"/>
      <c r="B131" s="268"/>
      <c r="C131" s="268"/>
      <c r="D131" s="268"/>
      <c r="E131" s="268"/>
      <c r="F131" s="268"/>
      <c r="G131" s="268"/>
      <c r="H131" s="268"/>
      <c r="I131" s="268"/>
      <c r="J131" s="268"/>
      <c r="K131" s="268"/>
      <c r="L131" s="268"/>
      <c r="M131" s="268"/>
      <c r="N131" s="268"/>
      <c r="O131" s="268"/>
      <c r="P131" s="268"/>
      <c r="Q131" s="268"/>
      <c r="R131" s="333"/>
      <c r="S131" s="333"/>
      <c r="T131" s="333"/>
      <c r="U131" s="268"/>
      <c r="V131" s="5"/>
    </row>
    <row r="132" spans="1:22" ht="15.6" x14ac:dyDescent="0.3">
      <c r="A132" s="233"/>
      <c r="B132" s="234"/>
      <c r="C132" s="234"/>
      <c r="D132" s="234"/>
      <c r="E132" s="234"/>
      <c r="F132" s="234"/>
      <c r="G132" s="234"/>
      <c r="H132" s="234"/>
      <c r="I132" s="234"/>
      <c r="J132" s="234"/>
      <c r="K132" s="234"/>
      <c r="L132" s="234"/>
      <c r="M132" s="234"/>
      <c r="N132" s="234"/>
      <c r="O132" s="234"/>
      <c r="P132" s="234"/>
      <c r="Q132" s="234"/>
      <c r="R132" s="234"/>
      <c r="S132" s="234"/>
      <c r="T132" s="243"/>
      <c r="U132" s="234"/>
      <c r="V132" s="5"/>
    </row>
    <row r="133" spans="1:22" ht="18" thickBot="1" x14ac:dyDescent="0.35">
      <c r="A133" s="237"/>
      <c r="B133" s="238" t="str">
        <f>B61</f>
        <v>PM9 INVESTOR REPORT QUARTER ENDING JULY 2010</v>
      </c>
      <c r="C133" s="239"/>
      <c r="D133" s="239"/>
      <c r="E133" s="239"/>
      <c r="F133" s="239"/>
      <c r="G133" s="239"/>
      <c r="H133" s="239"/>
      <c r="I133" s="239"/>
      <c r="J133" s="239"/>
      <c r="K133" s="239"/>
      <c r="L133" s="239"/>
      <c r="M133" s="239"/>
      <c r="N133" s="239"/>
      <c r="O133" s="239"/>
      <c r="P133" s="239"/>
      <c r="Q133" s="239"/>
      <c r="R133" s="239"/>
      <c r="S133" s="239"/>
      <c r="T133" s="244"/>
      <c r="U133" s="241"/>
      <c r="V133" s="5"/>
    </row>
    <row r="134" spans="1:22" ht="15.6" x14ac:dyDescent="0.3">
      <c r="A134" s="321"/>
      <c r="B134" s="324" t="s">
        <v>45</v>
      </c>
      <c r="C134" s="322"/>
      <c r="D134" s="322"/>
      <c r="E134" s="322"/>
      <c r="F134" s="322"/>
      <c r="G134" s="322"/>
      <c r="H134" s="322"/>
      <c r="I134" s="322"/>
      <c r="J134" s="322"/>
      <c r="K134" s="322"/>
      <c r="L134" s="322"/>
      <c r="M134" s="322"/>
      <c r="N134" s="322"/>
      <c r="O134" s="322"/>
      <c r="P134" s="322"/>
      <c r="Q134" s="322"/>
      <c r="R134" s="322"/>
      <c r="S134" s="322"/>
      <c r="T134" s="323"/>
      <c r="U134" s="322"/>
      <c r="V134" s="5"/>
    </row>
    <row r="135" spans="1:22" ht="15.6" x14ac:dyDescent="0.3">
      <c r="A135" s="177"/>
      <c r="B135" s="191"/>
      <c r="C135" s="179"/>
      <c r="D135" s="179"/>
      <c r="E135" s="179"/>
      <c r="F135" s="179"/>
      <c r="G135" s="179"/>
      <c r="H135" s="179"/>
      <c r="I135" s="179"/>
      <c r="J135" s="179"/>
      <c r="K135" s="179"/>
      <c r="L135" s="179"/>
      <c r="M135" s="179"/>
      <c r="N135" s="179"/>
      <c r="O135" s="179"/>
      <c r="P135" s="179"/>
      <c r="Q135" s="179"/>
      <c r="R135" s="179"/>
      <c r="S135" s="179"/>
      <c r="T135" s="197"/>
      <c r="U135" s="179"/>
      <c r="V135" s="5"/>
    </row>
    <row r="136" spans="1:22" ht="15.6" x14ac:dyDescent="0.3">
      <c r="A136" s="177"/>
      <c r="B136" s="204" t="s">
        <v>46</v>
      </c>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271"/>
      <c r="B137" s="272" t="s">
        <v>47</v>
      </c>
      <c r="C137" s="272"/>
      <c r="D137" s="272"/>
      <c r="E137" s="272"/>
      <c r="F137" s="272"/>
      <c r="G137" s="272"/>
      <c r="H137" s="272"/>
      <c r="I137" s="272"/>
      <c r="J137" s="272"/>
      <c r="K137" s="272"/>
      <c r="L137" s="272"/>
      <c r="M137" s="272"/>
      <c r="N137" s="272"/>
      <c r="O137" s="272"/>
      <c r="P137" s="272"/>
      <c r="Q137" s="272"/>
      <c r="R137" s="272"/>
      <c r="S137" s="272"/>
      <c r="T137" s="318">
        <f>+T32*0.0176</f>
        <v>12320</v>
      </c>
      <c r="U137" s="275"/>
      <c r="V137" s="5"/>
    </row>
    <row r="138" spans="1:22" ht="15.6" x14ac:dyDescent="0.3">
      <c r="A138" s="271"/>
      <c r="B138" s="272" t="s">
        <v>48</v>
      </c>
      <c r="C138" s="272"/>
      <c r="D138" s="272"/>
      <c r="E138" s="272"/>
      <c r="F138" s="272"/>
      <c r="G138" s="272"/>
      <c r="H138" s="272"/>
      <c r="I138" s="272"/>
      <c r="J138" s="272"/>
      <c r="K138" s="272"/>
      <c r="L138" s="272"/>
      <c r="M138" s="272"/>
      <c r="N138" s="272"/>
      <c r="O138" s="272"/>
      <c r="P138" s="272"/>
      <c r="Q138" s="272"/>
      <c r="R138" s="272"/>
      <c r="S138" s="272"/>
      <c r="T138" s="318">
        <v>12320</v>
      </c>
      <c r="U138" s="275"/>
      <c r="V138" s="5"/>
    </row>
    <row r="139" spans="1:22" ht="15.6" x14ac:dyDescent="0.3">
      <c r="A139" s="271"/>
      <c r="B139" s="272" t="s">
        <v>145</v>
      </c>
      <c r="C139" s="272"/>
      <c r="D139" s="272"/>
      <c r="E139" s="272"/>
      <c r="F139" s="272"/>
      <c r="G139" s="272"/>
      <c r="H139" s="272"/>
      <c r="I139" s="272"/>
      <c r="J139" s="272"/>
      <c r="K139" s="272"/>
      <c r="L139" s="272"/>
      <c r="M139" s="272"/>
      <c r="N139" s="272"/>
      <c r="O139" s="272"/>
      <c r="P139" s="272"/>
      <c r="Q139" s="272"/>
      <c r="R139" s="272"/>
      <c r="S139" s="272"/>
      <c r="T139" s="318">
        <v>0</v>
      </c>
      <c r="U139" s="275"/>
      <c r="V139" s="5"/>
    </row>
    <row r="140" spans="1:22" ht="15.6" x14ac:dyDescent="0.3">
      <c r="A140" s="271"/>
      <c r="B140" s="272" t="s">
        <v>132</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133</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232</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49</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138</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231</v>
      </c>
      <c r="C145" s="272"/>
      <c r="D145" s="272"/>
      <c r="E145" s="272"/>
      <c r="F145" s="272"/>
      <c r="G145" s="272"/>
      <c r="H145" s="272"/>
      <c r="I145" s="272"/>
      <c r="J145" s="272"/>
      <c r="K145" s="272"/>
      <c r="L145" s="272"/>
      <c r="M145" s="272"/>
      <c r="N145" s="272"/>
      <c r="O145" s="272"/>
      <c r="P145" s="272"/>
      <c r="Q145" s="272"/>
      <c r="R145" s="272"/>
      <c r="S145" s="272"/>
      <c r="T145" s="318">
        <v>0</v>
      </c>
      <c r="U145" s="275"/>
      <c r="V145" s="5"/>
      <c r="W145" s="110"/>
    </row>
    <row r="146" spans="1:23" ht="15.6" x14ac:dyDescent="0.3">
      <c r="A146" s="271"/>
      <c r="B146" s="272" t="s">
        <v>50</v>
      </c>
      <c r="C146" s="272"/>
      <c r="D146" s="272"/>
      <c r="E146" s="272"/>
      <c r="F146" s="272"/>
      <c r="G146" s="272"/>
      <c r="H146" s="272"/>
      <c r="I146" s="272"/>
      <c r="J146" s="272"/>
      <c r="K146" s="272"/>
      <c r="L146" s="272"/>
      <c r="M146" s="272"/>
      <c r="N146" s="272"/>
      <c r="O146" s="272"/>
      <c r="P146" s="272"/>
      <c r="Q146" s="272"/>
      <c r="R146" s="272"/>
      <c r="S146" s="272"/>
      <c r="T146" s="318">
        <f>SUM(T138:T145)</f>
        <v>12320</v>
      </c>
      <c r="U146" s="275"/>
      <c r="V146" s="5"/>
    </row>
    <row r="147" spans="1:23" ht="15.6" x14ac:dyDescent="0.3">
      <c r="A147" s="271"/>
      <c r="B147" s="337"/>
      <c r="C147" s="337"/>
      <c r="D147" s="337"/>
      <c r="E147" s="337"/>
      <c r="F147" s="337"/>
      <c r="G147" s="337"/>
      <c r="H147" s="337"/>
      <c r="I147" s="337"/>
      <c r="J147" s="337"/>
      <c r="K147" s="337"/>
      <c r="L147" s="337"/>
      <c r="M147" s="337"/>
      <c r="N147" s="337"/>
      <c r="O147" s="337"/>
      <c r="P147" s="337"/>
      <c r="Q147" s="337"/>
      <c r="R147" s="337"/>
      <c r="S147" s="337"/>
      <c r="T147" s="339"/>
      <c r="U147" s="340"/>
      <c r="V147" s="5"/>
    </row>
    <row r="148" spans="1:23" ht="15.6" x14ac:dyDescent="0.3">
      <c r="A148" s="271"/>
      <c r="B148" s="336" t="s">
        <v>264</v>
      </c>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272" t="s">
        <v>170</v>
      </c>
      <c r="C149" s="272"/>
      <c r="D149" s="272"/>
      <c r="E149" s="272"/>
      <c r="F149" s="272"/>
      <c r="G149" s="272"/>
      <c r="H149" s="272"/>
      <c r="I149" s="272"/>
      <c r="J149" s="272"/>
      <c r="K149" s="272"/>
      <c r="L149" s="272"/>
      <c r="M149" s="272"/>
      <c r="N149" s="272"/>
      <c r="O149" s="272"/>
      <c r="P149" s="272"/>
      <c r="Q149" s="272"/>
      <c r="R149" s="272"/>
      <c r="S149" s="272"/>
      <c r="T149" s="318">
        <v>10000</v>
      </c>
      <c r="U149" s="275"/>
      <c r="V149" s="5"/>
    </row>
    <row r="150" spans="1:23" ht="15.6" x14ac:dyDescent="0.3">
      <c r="A150" s="271"/>
      <c r="B150" s="272" t="s">
        <v>260</v>
      </c>
      <c r="C150" s="272"/>
      <c r="D150" s="272"/>
      <c r="E150" s="272"/>
      <c r="F150" s="272"/>
      <c r="G150" s="272"/>
      <c r="H150" s="272"/>
      <c r="I150" s="272"/>
      <c r="J150" s="272"/>
      <c r="K150" s="272"/>
      <c r="L150" s="272"/>
      <c r="M150" s="272"/>
      <c r="N150" s="272"/>
      <c r="O150" s="272"/>
      <c r="P150" s="272"/>
      <c r="Q150" s="272"/>
      <c r="R150" s="272"/>
      <c r="S150" s="272"/>
      <c r="T150" s="318">
        <v>1819</v>
      </c>
      <c r="U150" s="275"/>
      <c r="V150" s="5"/>
    </row>
    <row r="151" spans="1:23" ht="15.6" x14ac:dyDescent="0.3">
      <c r="A151" s="271"/>
      <c r="B151" s="272" t="s">
        <v>228</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300</v>
      </c>
      <c r="C152" s="272"/>
      <c r="D152" s="272"/>
      <c r="E152" s="272"/>
      <c r="F152" s="272"/>
      <c r="G152" s="272"/>
      <c r="H152" s="272"/>
      <c r="I152" s="272"/>
      <c r="J152" s="272"/>
      <c r="K152" s="272"/>
      <c r="L152" s="272"/>
      <c r="M152" s="272"/>
      <c r="N152" s="272"/>
      <c r="O152" s="272"/>
      <c r="P152" s="272"/>
      <c r="Q152" s="272"/>
      <c r="R152" s="272"/>
      <c r="S152" s="272"/>
      <c r="T152" s="318">
        <v>1819</v>
      </c>
      <c r="U152" s="275"/>
      <c r="V152" s="5"/>
    </row>
    <row r="153" spans="1:23" ht="15.6" x14ac:dyDescent="0.3">
      <c r="A153" s="271"/>
      <c r="B153" s="337"/>
      <c r="C153" s="337"/>
      <c r="D153" s="337"/>
      <c r="E153" s="337"/>
      <c r="F153" s="337"/>
      <c r="G153" s="337"/>
      <c r="H153" s="337"/>
      <c r="I153" s="337"/>
      <c r="J153" s="337"/>
      <c r="K153" s="337"/>
      <c r="L153" s="337"/>
      <c r="M153" s="337"/>
      <c r="N153" s="337"/>
      <c r="O153" s="337"/>
      <c r="P153" s="337"/>
      <c r="Q153" s="337"/>
      <c r="R153" s="337"/>
      <c r="S153" s="337"/>
      <c r="T153" s="339"/>
      <c r="U153" s="340"/>
      <c r="V153" s="5"/>
    </row>
    <row r="154" spans="1:23" ht="15.6" x14ac:dyDescent="0.3">
      <c r="A154" s="177"/>
      <c r="B154" s="314"/>
      <c r="C154" s="314"/>
      <c r="D154" s="314"/>
      <c r="E154" s="314"/>
      <c r="F154" s="314"/>
      <c r="G154" s="314"/>
      <c r="H154" s="314"/>
      <c r="I154" s="314"/>
      <c r="J154" s="314"/>
      <c r="K154" s="314"/>
      <c r="L154" s="314"/>
      <c r="M154" s="314"/>
      <c r="N154" s="314"/>
      <c r="O154" s="314"/>
      <c r="P154" s="314"/>
      <c r="Q154" s="314"/>
      <c r="R154" s="314"/>
      <c r="S154" s="314"/>
      <c r="T154" s="342"/>
      <c r="U154" s="314"/>
      <c r="V154" s="5"/>
    </row>
    <row r="155" spans="1:23" ht="15.6" x14ac:dyDescent="0.3">
      <c r="A155" s="177"/>
      <c r="B155" s="204" t="s">
        <v>25</v>
      </c>
      <c r="C155" s="179"/>
      <c r="D155" s="179"/>
      <c r="E155" s="179"/>
      <c r="F155" s="179"/>
      <c r="G155" s="179"/>
      <c r="H155" s="179"/>
      <c r="I155" s="179"/>
      <c r="J155" s="179"/>
      <c r="K155" s="179"/>
      <c r="L155" s="179"/>
      <c r="M155" s="179"/>
      <c r="N155" s="179"/>
      <c r="O155" s="179"/>
      <c r="P155" s="179"/>
      <c r="Q155" s="179"/>
      <c r="R155" s="179"/>
      <c r="S155" s="179"/>
      <c r="T155" s="197"/>
      <c r="U155" s="179"/>
      <c r="V155" s="5"/>
    </row>
    <row r="156" spans="1:23" ht="15.6" x14ac:dyDescent="0.3">
      <c r="A156" s="271"/>
      <c r="B156" s="272" t="s">
        <v>51</v>
      </c>
      <c r="C156" s="272"/>
      <c r="D156" s="272"/>
      <c r="E156" s="272"/>
      <c r="F156" s="272"/>
      <c r="G156" s="272"/>
      <c r="H156" s="272"/>
      <c r="I156" s="272"/>
      <c r="J156" s="272"/>
      <c r="K156" s="272"/>
      <c r="L156" s="272"/>
      <c r="M156" s="272"/>
      <c r="N156" s="272"/>
      <c r="O156" s="272"/>
      <c r="P156" s="272"/>
      <c r="Q156" s="272"/>
      <c r="R156" s="272"/>
      <c r="S156" s="272"/>
      <c r="T156" s="343" t="s">
        <v>127</v>
      </c>
      <c r="U156" s="340"/>
      <c r="V156" s="5"/>
    </row>
    <row r="157" spans="1:23" ht="15.6" x14ac:dyDescent="0.3">
      <c r="A157" s="271"/>
      <c r="B157" s="272" t="s">
        <v>52</v>
      </c>
      <c r="C157" s="274"/>
      <c r="D157" s="274"/>
      <c r="E157" s="274"/>
      <c r="F157" s="274"/>
      <c r="G157" s="274"/>
      <c r="H157" s="274"/>
      <c r="I157" s="274"/>
      <c r="J157" s="274"/>
      <c r="K157" s="274"/>
      <c r="L157" s="274"/>
      <c r="M157" s="274"/>
      <c r="N157" s="274"/>
      <c r="O157" s="274"/>
      <c r="P157" s="274"/>
      <c r="Q157" s="274"/>
      <c r="R157" s="274"/>
      <c r="S157" s="274"/>
      <c r="T157" s="343" t="s">
        <v>127</v>
      </c>
      <c r="U157" s="340"/>
      <c r="V157" s="5"/>
    </row>
    <row r="158" spans="1:23" ht="15.6" x14ac:dyDescent="0.3">
      <c r="A158" s="271"/>
      <c r="B158" s="272" t="s">
        <v>53</v>
      </c>
      <c r="C158" s="272"/>
      <c r="D158" s="272"/>
      <c r="E158" s="272"/>
      <c r="F158" s="272"/>
      <c r="G158" s="272"/>
      <c r="H158" s="272"/>
      <c r="I158" s="272"/>
      <c r="J158" s="272"/>
      <c r="K158" s="272"/>
      <c r="L158" s="272"/>
      <c r="M158" s="272"/>
      <c r="N158" s="272"/>
      <c r="O158" s="272"/>
      <c r="P158" s="272"/>
      <c r="Q158" s="272"/>
      <c r="R158" s="272"/>
      <c r="S158" s="272"/>
      <c r="T158" s="343" t="s">
        <v>127</v>
      </c>
      <c r="U158" s="340"/>
      <c r="V158" s="5"/>
    </row>
    <row r="159" spans="1:23" ht="15.6" x14ac:dyDescent="0.3">
      <c r="A159" s="271"/>
      <c r="B159" s="272" t="s">
        <v>54</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177"/>
      <c r="B160" s="314"/>
      <c r="C160" s="314"/>
      <c r="D160" s="314"/>
      <c r="E160" s="314"/>
      <c r="F160" s="314"/>
      <c r="G160" s="314"/>
      <c r="H160" s="314"/>
      <c r="I160" s="314"/>
      <c r="J160" s="314"/>
      <c r="K160" s="314"/>
      <c r="L160" s="314"/>
      <c r="M160" s="314"/>
      <c r="N160" s="314"/>
      <c r="O160" s="314"/>
      <c r="P160" s="314"/>
      <c r="Q160" s="314"/>
      <c r="R160" s="314"/>
      <c r="S160" s="314"/>
      <c r="T160" s="342"/>
      <c r="U160" s="314"/>
      <c r="V160" s="5"/>
    </row>
    <row r="161" spans="1:22" ht="15.6" x14ac:dyDescent="0.3">
      <c r="A161" s="177"/>
      <c r="B161" s="204" t="s">
        <v>55</v>
      </c>
      <c r="C161" s="179"/>
      <c r="D161" s="179"/>
      <c r="E161" s="179"/>
      <c r="F161" s="179"/>
      <c r="G161" s="179"/>
      <c r="H161" s="179"/>
      <c r="I161" s="179"/>
      <c r="J161" s="179"/>
      <c r="K161" s="179"/>
      <c r="L161" s="179"/>
      <c r="M161" s="179"/>
      <c r="N161" s="179"/>
      <c r="O161" s="179"/>
      <c r="P161" s="179"/>
      <c r="Q161" s="179"/>
      <c r="R161" s="179"/>
      <c r="S161" s="179"/>
      <c r="T161" s="205"/>
      <c r="U161" s="179"/>
      <c r="V161" s="5"/>
    </row>
    <row r="162" spans="1:22" ht="15.6" x14ac:dyDescent="0.3">
      <c r="A162" s="271"/>
      <c r="B162" s="272" t="s">
        <v>56</v>
      </c>
      <c r="C162" s="272"/>
      <c r="D162" s="272"/>
      <c r="E162" s="272"/>
      <c r="F162" s="272"/>
      <c r="G162" s="272"/>
      <c r="H162" s="272"/>
      <c r="I162" s="272"/>
      <c r="J162" s="272"/>
      <c r="K162" s="272"/>
      <c r="L162" s="272"/>
      <c r="M162" s="272"/>
      <c r="N162" s="272"/>
      <c r="O162" s="272"/>
      <c r="P162" s="272"/>
      <c r="Q162" s="272"/>
      <c r="R162" s="272"/>
      <c r="S162" s="272"/>
      <c r="T162" s="318">
        <v>0</v>
      </c>
      <c r="U162" s="340"/>
      <c r="V162" s="5"/>
    </row>
    <row r="163" spans="1:22" ht="15.6" x14ac:dyDescent="0.3">
      <c r="A163" s="271"/>
      <c r="B163" s="272" t="s">
        <v>57</v>
      </c>
      <c r="C163" s="272"/>
      <c r="D163" s="272"/>
      <c r="E163" s="272"/>
      <c r="F163" s="272"/>
      <c r="G163" s="272"/>
      <c r="H163" s="272"/>
      <c r="I163" s="272"/>
      <c r="J163" s="272"/>
      <c r="K163" s="272"/>
      <c r="L163" s="272"/>
      <c r="M163" s="272"/>
      <c r="N163" s="272"/>
      <c r="O163" s="272"/>
      <c r="P163" s="272"/>
      <c r="Q163" s="272"/>
      <c r="R163" s="272"/>
      <c r="S163" s="272"/>
      <c r="T163" s="318">
        <f>-T112</f>
        <v>840</v>
      </c>
      <c r="U163" s="340"/>
      <c r="V163" s="5"/>
    </row>
    <row r="164" spans="1:22" ht="15.6" x14ac:dyDescent="0.3">
      <c r="A164" s="271"/>
      <c r="B164" s="272" t="s">
        <v>58</v>
      </c>
      <c r="C164" s="272"/>
      <c r="D164" s="272"/>
      <c r="E164" s="272"/>
      <c r="F164" s="272"/>
      <c r="G164" s="272"/>
      <c r="H164" s="272"/>
      <c r="I164" s="272"/>
      <c r="J164" s="272"/>
      <c r="K164" s="272"/>
      <c r="L164" s="272"/>
      <c r="M164" s="272"/>
      <c r="N164" s="272"/>
      <c r="O164" s="272"/>
      <c r="P164" s="272"/>
      <c r="Q164" s="272"/>
      <c r="R164" s="272"/>
      <c r="S164" s="272"/>
      <c r="T164" s="318">
        <f>T163+T162</f>
        <v>840</v>
      </c>
      <c r="U164" s="340"/>
      <c r="V164" s="5"/>
    </row>
    <row r="165" spans="1:22" ht="15.6" x14ac:dyDescent="0.3">
      <c r="A165" s="271"/>
      <c r="B165" s="400" t="s">
        <v>309</v>
      </c>
      <c r="C165" s="272"/>
      <c r="D165" s="272"/>
      <c r="E165" s="272"/>
      <c r="F165" s="272"/>
      <c r="G165" s="272"/>
      <c r="H165" s="272"/>
      <c r="I165" s="272"/>
      <c r="J165" s="272"/>
      <c r="K165" s="272"/>
      <c r="L165" s="272"/>
      <c r="M165" s="272"/>
      <c r="N165" s="272"/>
      <c r="O165" s="272"/>
      <c r="P165" s="272"/>
      <c r="Q165" s="272"/>
      <c r="R165" s="272"/>
      <c r="S165" s="272"/>
      <c r="T165" s="318">
        <f>T112</f>
        <v>-840</v>
      </c>
      <c r="U165" s="340"/>
      <c r="V165" s="5"/>
    </row>
    <row r="166" spans="1:22" ht="15.6" x14ac:dyDescent="0.3">
      <c r="A166" s="271"/>
      <c r="B166" s="272" t="s">
        <v>59</v>
      </c>
      <c r="C166" s="272"/>
      <c r="D166" s="272"/>
      <c r="E166" s="272"/>
      <c r="F166" s="272"/>
      <c r="G166" s="272"/>
      <c r="H166" s="272"/>
      <c r="I166" s="272"/>
      <c r="J166" s="272"/>
      <c r="K166" s="272"/>
      <c r="L166" s="272"/>
      <c r="M166" s="272"/>
      <c r="N166" s="272"/>
      <c r="O166" s="272"/>
      <c r="P166" s="272"/>
      <c r="Q166" s="272"/>
      <c r="R166" s="272"/>
      <c r="S166" s="272"/>
      <c r="T166" s="318">
        <f>T164+T165</f>
        <v>0</v>
      </c>
      <c r="U166" s="340"/>
      <c r="V166" s="5"/>
    </row>
    <row r="167" spans="1:22" ht="15.6" x14ac:dyDescent="0.3">
      <c r="A167" s="271"/>
      <c r="B167" s="272" t="s">
        <v>278</v>
      </c>
      <c r="C167" s="272"/>
      <c r="D167" s="272"/>
      <c r="E167" s="272"/>
      <c r="F167" s="272"/>
      <c r="G167" s="272"/>
      <c r="H167" s="272"/>
      <c r="I167" s="272"/>
      <c r="J167" s="272"/>
      <c r="K167" s="272"/>
      <c r="L167" s="272"/>
      <c r="M167" s="272"/>
      <c r="N167" s="272"/>
      <c r="O167" s="272"/>
      <c r="P167" s="272"/>
      <c r="Q167" s="272"/>
      <c r="R167" s="272"/>
      <c r="S167" s="272"/>
      <c r="T167" s="318">
        <v>0</v>
      </c>
      <c r="U167" s="340"/>
      <c r="V167" s="5"/>
    </row>
    <row r="168" spans="1:22" ht="16.2" thickBot="1" x14ac:dyDescent="0.35">
      <c r="A168" s="177"/>
      <c r="B168" s="268"/>
      <c r="C168" s="268"/>
      <c r="D168" s="268"/>
      <c r="E168" s="268"/>
      <c r="F168" s="268"/>
      <c r="G168" s="268"/>
      <c r="H168" s="268"/>
      <c r="I168" s="268"/>
      <c r="J168" s="268"/>
      <c r="K168" s="268"/>
      <c r="L168" s="268"/>
      <c r="M168" s="268"/>
      <c r="N168" s="268"/>
      <c r="O168" s="268"/>
      <c r="P168" s="268"/>
      <c r="Q168" s="268"/>
      <c r="R168" s="268"/>
      <c r="S168" s="268"/>
      <c r="T168" s="344"/>
      <c r="U168" s="314"/>
      <c r="V168" s="5"/>
    </row>
    <row r="169" spans="1:22" ht="15.6" x14ac:dyDescent="0.3">
      <c r="A169" s="175"/>
      <c r="B169" s="176"/>
      <c r="C169" s="176"/>
      <c r="D169" s="176"/>
      <c r="E169" s="176"/>
      <c r="F169" s="176"/>
      <c r="G169" s="176"/>
      <c r="H169" s="176"/>
      <c r="I169" s="176"/>
      <c r="J169" s="176"/>
      <c r="K169" s="176"/>
      <c r="L169" s="176"/>
      <c r="M169" s="176"/>
      <c r="N169" s="176"/>
      <c r="O169" s="176"/>
      <c r="P169" s="176"/>
      <c r="Q169" s="176"/>
      <c r="R169" s="176"/>
      <c r="S169" s="176"/>
      <c r="T169" s="196"/>
      <c r="U169" s="176"/>
      <c r="V169" s="5"/>
    </row>
    <row r="170" spans="1:22" ht="15.6" x14ac:dyDescent="0.3">
      <c r="A170" s="177"/>
      <c r="B170" s="204" t="s">
        <v>60</v>
      </c>
      <c r="C170" s="179"/>
      <c r="D170" s="179"/>
      <c r="E170" s="179"/>
      <c r="F170" s="179"/>
      <c r="G170" s="179"/>
      <c r="H170" s="179"/>
      <c r="I170" s="179"/>
      <c r="J170" s="179"/>
      <c r="K170" s="179"/>
      <c r="L170" s="179"/>
      <c r="M170" s="179"/>
      <c r="N170" s="179"/>
      <c r="O170" s="179"/>
      <c r="P170" s="179"/>
      <c r="Q170" s="179"/>
      <c r="R170" s="179"/>
      <c r="S170" s="179"/>
      <c r="T170" s="197"/>
      <c r="U170" s="179"/>
      <c r="V170" s="5"/>
    </row>
    <row r="171" spans="1:22" ht="15.6" x14ac:dyDescent="0.3">
      <c r="A171" s="177"/>
      <c r="B171" s="191"/>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271"/>
      <c r="B172" s="272" t="s">
        <v>61</v>
      </c>
      <c r="C172" s="272"/>
      <c r="D172" s="272"/>
      <c r="E172" s="272"/>
      <c r="F172" s="272"/>
      <c r="G172" s="272"/>
      <c r="H172" s="272"/>
      <c r="I172" s="272"/>
      <c r="J172" s="272"/>
      <c r="K172" s="272"/>
      <c r="L172" s="272"/>
      <c r="M172" s="272"/>
      <c r="N172" s="272"/>
      <c r="O172" s="272"/>
      <c r="P172" s="272"/>
      <c r="Q172" s="272"/>
      <c r="R172" s="272"/>
      <c r="S172" s="272"/>
      <c r="T172" s="318">
        <f>T68</f>
        <v>325788</v>
      </c>
      <c r="U172" s="340"/>
      <c r="V172" s="5"/>
    </row>
    <row r="173" spans="1:22" ht="15.6" x14ac:dyDescent="0.3">
      <c r="A173" s="271"/>
      <c r="B173" s="272" t="s">
        <v>62</v>
      </c>
      <c r="C173" s="272"/>
      <c r="D173" s="272"/>
      <c r="E173" s="272"/>
      <c r="F173" s="272"/>
      <c r="G173" s="272"/>
      <c r="H173" s="272"/>
      <c r="I173" s="272"/>
      <c r="J173" s="272"/>
      <c r="K173" s="272"/>
      <c r="L173" s="272"/>
      <c r="M173" s="272"/>
      <c r="N173" s="272"/>
      <c r="O173" s="272"/>
      <c r="P173" s="272"/>
      <c r="Q173" s="272"/>
      <c r="R173" s="272"/>
      <c r="S173" s="272"/>
      <c r="T173" s="318">
        <f>T81</f>
        <v>325788</v>
      </c>
      <c r="U173" s="340"/>
      <c r="V173" s="5"/>
    </row>
    <row r="174" spans="1:22" ht="16.2" thickBot="1" x14ac:dyDescent="0.35">
      <c r="A174" s="177"/>
      <c r="B174" s="314"/>
      <c r="C174" s="314"/>
      <c r="D174" s="314"/>
      <c r="E174" s="314"/>
      <c r="F174" s="314"/>
      <c r="G174" s="314"/>
      <c r="H174" s="314"/>
      <c r="I174" s="314"/>
      <c r="J174" s="314"/>
      <c r="K174" s="314"/>
      <c r="L174" s="314"/>
      <c r="M174" s="314"/>
      <c r="N174" s="314"/>
      <c r="O174" s="314"/>
      <c r="P174" s="314"/>
      <c r="Q174" s="314"/>
      <c r="R174" s="314"/>
      <c r="S174" s="314"/>
      <c r="T174" s="342"/>
      <c r="U174" s="314"/>
      <c r="V174" s="5"/>
    </row>
    <row r="175" spans="1:22" ht="15.6" x14ac:dyDescent="0.3">
      <c r="A175" s="175"/>
      <c r="B175" s="176"/>
      <c r="C175" s="176"/>
      <c r="D175" s="176"/>
      <c r="E175" s="176"/>
      <c r="F175" s="176"/>
      <c r="G175" s="176"/>
      <c r="H175" s="176"/>
      <c r="I175" s="176"/>
      <c r="J175" s="176"/>
      <c r="K175" s="176"/>
      <c r="L175" s="176"/>
      <c r="M175" s="176"/>
      <c r="N175" s="176"/>
      <c r="O175" s="176"/>
      <c r="P175" s="176"/>
      <c r="Q175" s="176"/>
      <c r="R175" s="176"/>
      <c r="S175" s="176"/>
      <c r="T175" s="196"/>
      <c r="U175" s="176"/>
      <c r="V175" s="5"/>
    </row>
    <row r="176" spans="1:22" ht="15.6" x14ac:dyDescent="0.3">
      <c r="A176" s="177"/>
      <c r="B176" s="204" t="s">
        <v>63</v>
      </c>
      <c r="C176" s="201"/>
      <c r="D176" s="201"/>
      <c r="E176" s="201"/>
      <c r="F176" s="201"/>
      <c r="G176" s="201"/>
      <c r="H176" s="206"/>
      <c r="I176" s="206"/>
      <c r="J176" s="206"/>
      <c r="K176" s="206"/>
      <c r="L176" s="206"/>
      <c r="M176" s="206"/>
      <c r="N176" s="206"/>
      <c r="O176" s="206"/>
      <c r="P176" s="206"/>
      <c r="Q176" s="206" t="s">
        <v>107</v>
      </c>
      <c r="R176" s="206" t="s">
        <v>234</v>
      </c>
      <c r="S176" s="181"/>
      <c r="T176" s="207" t="s">
        <v>123</v>
      </c>
      <c r="U176" s="208"/>
      <c r="V176" s="5"/>
    </row>
    <row r="177" spans="1:22" ht="15.6" x14ac:dyDescent="0.3">
      <c r="A177" s="271"/>
      <c r="B177" s="272" t="s">
        <v>64</v>
      </c>
      <c r="C177" s="272"/>
      <c r="D177" s="272"/>
      <c r="E177" s="272"/>
      <c r="F177" s="272"/>
      <c r="G177" s="272"/>
      <c r="H177" s="272"/>
      <c r="I177" s="272"/>
      <c r="J177" s="272"/>
      <c r="K177" s="272"/>
      <c r="L177" s="272"/>
      <c r="M177" s="272"/>
      <c r="N177" s="272"/>
      <c r="O177" s="272"/>
      <c r="P177" s="272"/>
      <c r="Q177" s="318">
        <v>112000</v>
      </c>
      <c r="R177" s="306"/>
      <c r="S177" s="272"/>
      <c r="T177" s="318"/>
      <c r="U177" s="275"/>
      <c r="V177" s="5"/>
    </row>
    <row r="178" spans="1:22" ht="15.6" x14ac:dyDescent="0.3">
      <c r="A178" s="271"/>
      <c r="B178" s="272" t="s">
        <v>65</v>
      </c>
      <c r="C178" s="272"/>
      <c r="D178" s="272"/>
      <c r="E178" s="272"/>
      <c r="F178" s="272"/>
      <c r="G178" s="272"/>
      <c r="H178" s="272"/>
      <c r="I178" s="272"/>
      <c r="J178" s="272"/>
      <c r="K178" s="272"/>
      <c r="L178" s="272"/>
      <c r="M178" s="272"/>
      <c r="N178" s="272"/>
      <c r="O178" s="272"/>
      <c r="P178" s="272"/>
      <c r="Q178" s="318">
        <f>'April 10'!Q181</f>
        <v>45544</v>
      </c>
      <c r="R178" s="318">
        <f>'April 10'!R181</f>
        <v>2435</v>
      </c>
      <c r="S178" s="272"/>
      <c r="T178" s="318">
        <f>Q178+R178</f>
        <v>47979</v>
      </c>
      <c r="U178" s="275"/>
      <c r="V178" s="5"/>
    </row>
    <row r="179" spans="1:22" ht="15.6" x14ac:dyDescent="0.3">
      <c r="A179" s="271"/>
      <c r="B179" s="272" t="s">
        <v>66</v>
      </c>
      <c r="C179" s="272"/>
      <c r="D179" s="272"/>
      <c r="E179" s="272"/>
      <c r="F179" s="272"/>
      <c r="G179" s="272"/>
      <c r="H179" s="272"/>
      <c r="I179" s="272"/>
      <c r="J179" s="272"/>
      <c r="K179" s="272"/>
      <c r="L179" s="272"/>
      <c r="M179" s="272"/>
      <c r="N179" s="272"/>
      <c r="O179" s="272"/>
      <c r="P179" s="272"/>
      <c r="Q179" s="317">
        <v>212</v>
      </c>
      <c r="R179" s="317">
        <v>0</v>
      </c>
      <c r="S179" s="272"/>
      <c r="T179" s="318">
        <f>Q179+R179</f>
        <v>212</v>
      </c>
      <c r="U179" s="275"/>
      <c r="V179" s="5"/>
    </row>
    <row r="180" spans="1:22" ht="15.6" x14ac:dyDescent="0.3">
      <c r="A180" s="271"/>
      <c r="B180" s="272" t="s">
        <v>67</v>
      </c>
      <c r="C180" s="272"/>
      <c r="D180" s="272"/>
      <c r="E180" s="272"/>
      <c r="F180" s="272"/>
      <c r="G180" s="272"/>
      <c r="H180" s="272"/>
      <c r="I180" s="272"/>
      <c r="J180" s="272"/>
      <c r="K180" s="272"/>
      <c r="L180" s="272"/>
      <c r="M180" s="272"/>
      <c r="N180" s="272"/>
      <c r="O180" s="272"/>
      <c r="P180" s="272"/>
      <c r="Q180" s="318">
        <f>Q178+Q179</f>
        <v>45756</v>
      </c>
      <c r="R180" s="318">
        <f>R179+R178</f>
        <v>2435</v>
      </c>
      <c r="S180" s="272"/>
      <c r="T180" s="318">
        <f>Q180+R180</f>
        <v>48191</v>
      </c>
      <c r="U180" s="275"/>
      <c r="V180" s="5"/>
    </row>
    <row r="181" spans="1:22" ht="15.6" x14ac:dyDescent="0.3">
      <c r="A181" s="271"/>
      <c r="B181" s="272" t="s">
        <v>68</v>
      </c>
      <c r="C181" s="272"/>
      <c r="D181" s="272"/>
      <c r="E181" s="272"/>
      <c r="F181" s="272"/>
      <c r="G181" s="272"/>
      <c r="H181" s="272"/>
      <c r="I181" s="272"/>
      <c r="J181" s="272"/>
      <c r="K181" s="272"/>
      <c r="L181" s="272"/>
      <c r="M181" s="272"/>
      <c r="N181" s="272"/>
      <c r="O181" s="272"/>
      <c r="P181" s="272"/>
      <c r="Q181" s="318">
        <f>Q177-Q180-R180</f>
        <v>63809</v>
      </c>
      <c r="R181" s="306"/>
      <c r="S181" s="272"/>
      <c r="T181" s="318"/>
      <c r="U181" s="275"/>
      <c r="V181" s="5"/>
    </row>
    <row r="182" spans="1:22" ht="16.2" thickBot="1" x14ac:dyDescent="0.35">
      <c r="A182" s="177"/>
      <c r="B182" s="314"/>
      <c r="C182" s="314"/>
      <c r="D182" s="314"/>
      <c r="E182" s="314"/>
      <c r="F182" s="314"/>
      <c r="G182" s="314"/>
      <c r="H182" s="314"/>
      <c r="I182" s="314"/>
      <c r="J182" s="314"/>
      <c r="K182" s="314"/>
      <c r="L182" s="314"/>
      <c r="M182" s="314"/>
      <c r="N182" s="314"/>
      <c r="O182" s="314"/>
      <c r="P182" s="314"/>
      <c r="Q182" s="314"/>
      <c r="R182" s="314"/>
      <c r="S182" s="314"/>
      <c r="T182" s="342"/>
      <c r="U182" s="314"/>
      <c r="V182" s="5"/>
    </row>
    <row r="183" spans="1:22" ht="15.6" x14ac:dyDescent="0.3">
      <c r="A183" s="175"/>
      <c r="B183" s="176"/>
      <c r="C183" s="176"/>
      <c r="D183" s="176"/>
      <c r="E183" s="176"/>
      <c r="F183" s="176"/>
      <c r="G183" s="176"/>
      <c r="H183" s="176"/>
      <c r="I183" s="176"/>
      <c r="J183" s="176"/>
      <c r="K183" s="176"/>
      <c r="L183" s="176"/>
      <c r="M183" s="176"/>
      <c r="N183" s="176"/>
      <c r="O183" s="176"/>
      <c r="P183" s="176"/>
      <c r="Q183" s="176"/>
      <c r="R183" s="176"/>
      <c r="S183" s="176"/>
      <c r="T183" s="196"/>
      <c r="U183" s="176"/>
      <c r="V183" s="5"/>
    </row>
    <row r="184" spans="1:22" ht="15.6" x14ac:dyDescent="0.3">
      <c r="A184" s="177"/>
      <c r="B184" s="204" t="s">
        <v>69</v>
      </c>
      <c r="C184" s="179"/>
      <c r="D184" s="179"/>
      <c r="E184" s="179"/>
      <c r="F184" s="179"/>
      <c r="G184" s="179"/>
      <c r="H184" s="179"/>
      <c r="I184" s="179"/>
      <c r="J184" s="179"/>
      <c r="K184" s="179"/>
      <c r="L184" s="179"/>
      <c r="M184" s="179"/>
      <c r="N184" s="179"/>
      <c r="O184" s="179"/>
      <c r="P184" s="179"/>
      <c r="Q184" s="179"/>
      <c r="R184" s="179"/>
      <c r="S184" s="179"/>
      <c r="T184" s="209"/>
      <c r="U184" s="179"/>
      <c r="V184" s="5"/>
    </row>
    <row r="185" spans="1:22" ht="15.6" x14ac:dyDescent="0.3">
      <c r="A185" s="271"/>
      <c r="B185" s="272" t="s">
        <v>70</v>
      </c>
      <c r="C185" s="272"/>
      <c r="D185" s="272"/>
      <c r="E185" s="272"/>
      <c r="F185" s="272"/>
      <c r="G185" s="272"/>
      <c r="H185" s="272"/>
      <c r="I185" s="272"/>
      <c r="J185" s="272"/>
      <c r="K185" s="272"/>
      <c r="L185" s="272"/>
      <c r="M185" s="272"/>
      <c r="N185" s="272"/>
      <c r="O185" s="272"/>
      <c r="P185" s="272"/>
      <c r="Q185" s="272"/>
      <c r="R185" s="272"/>
      <c r="S185" s="272"/>
      <c r="T185" s="343">
        <f>(T97+T99+T100+T101+T102+T103)/-(T104+T105+T106)</f>
        <v>3.1931649331352157</v>
      </c>
      <c r="U185" s="275" t="s">
        <v>124</v>
      </c>
      <c r="V185" s="5"/>
    </row>
    <row r="186" spans="1:22" ht="15.6" x14ac:dyDescent="0.3">
      <c r="A186" s="271"/>
      <c r="B186" s="272" t="s">
        <v>71</v>
      </c>
      <c r="C186" s="272"/>
      <c r="D186" s="272"/>
      <c r="E186" s="272"/>
      <c r="F186" s="272"/>
      <c r="G186" s="272"/>
      <c r="H186" s="272"/>
      <c r="I186" s="272"/>
      <c r="J186" s="272"/>
      <c r="K186" s="272"/>
      <c r="L186" s="272"/>
      <c r="M186" s="272"/>
      <c r="N186" s="272"/>
      <c r="O186" s="272"/>
      <c r="P186" s="272"/>
      <c r="Q186" s="272"/>
      <c r="R186" s="272"/>
      <c r="S186" s="272"/>
      <c r="T186" s="345">
        <v>1.47</v>
      </c>
      <c r="U186" s="275" t="s">
        <v>124</v>
      </c>
      <c r="V186" s="5"/>
    </row>
    <row r="187" spans="1:22" ht="15.6" x14ac:dyDescent="0.3">
      <c r="A187" s="271"/>
      <c r="B187" s="272" t="s">
        <v>72</v>
      </c>
      <c r="C187" s="272"/>
      <c r="D187" s="272"/>
      <c r="E187" s="272"/>
      <c r="F187" s="272"/>
      <c r="G187" s="272"/>
      <c r="H187" s="272"/>
      <c r="I187" s="272"/>
      <c r="J187" s="272"/>
      <c r="K187" s="272"/>
      <c r="L187" s="272"/>
      <c r="M187" s="272"/>
      <c r="N187" s="272"/>
      <c r="O187" s="272"/>
      <c r="P187" s="272"/>
      <c r="Q187" s="272"/>
      <c r="R187" s="272"/>
      <c r="S187" s="272"/>
      <c r="T187" s="343">
        <f>(T97+T99+T100+T101+T102+T103+T104+T105+T106)/-(T107+T108)</f>
        <v>16.399999999999999</v>
      </c>
      <c r="U187" s="275" t="s">
        <v>124</v>
      </c>
      <c r="V187" s="5"/>
    </row>
    <row r="188" spans="1:22" ht="15.6" x14ac:dyDescent="0.3">
      <c r="A188" s="271"/>
      <c r="B188" s="272" t="s">
        <v>73</v>
      </c>
      <c r="C188" s="272"/>
      <c r="D188" s="272"/>
      <c r="E188" s="272"/>
      <c r="F188" s="272"/>
      <c r="G188" s="272"/>
      <c r="H188" s="272"/>
      <c r="I188" s="272"/>
      <c r="J188" s="272"/>
      <c r="K188" s="272"/>
      <c r="L188" s="272"/>
      <c r="M188" s="272"/>
      <c r="N188" s="272"/>
      <c r="O188" s="272"/>
      <c r="P188" s="272"/>
      <c r="Q188" s="272"/>
      <c r="R188" s="272"/>
      <c r="S188" s="272"/>
      <c r="T188" s="346">
        <v>7.33</v>
      </c>
      <c r="U188" s="275" t="s">
        <v>124</v>
      </c>
      <c r="V188" s="5"/>
    </row>
    <row r="189" spans="1:22" ht="15.6" x14ac:dyDescent="0.3">
      <c r="A189" s="271"/>
      <c r="B189" s="272" t="s">
        <v>243</v>
      </c>
      <c r="C189" s="272"/>
      <c r="D189" s="272"/>
      <c r="E189" s="272"/>
      <c r="F189" s="272"/>
      <c r="G189" s="272"/>
      <c r="H189" s="272"/>
      <c r="I189" s="272"/>
      <c r="J189" s="272"/>
      <c r="K189" s="272"/>
      <c r="L189" s="272"/>
      <c r="M189" s="272"/>
      <c r="N189" s="272"/>
      <c r="O189" s="272"/>
      <c r="P189" s="272"/>
      <c r="Q189" s="272"/>
      <c r="R189" s="272"/>
      <c r="S189" s="272"/>
      <c r="T189" s="343">
        <f>(T97+T99+T100+T101+T102+T103+T104+T105+T106+T107+T108)/-(T109+T110)</f>
        <v>6.3287671232876717</v>
      </c>
      <c r="U189" s="275" t="s">
        <v>124</v>
      </c>
      <c r="V189" s="5"/>
    </row>
    <row r="190" spans="1:22" ht="15.6" x14ac:dyDescent="0.3">
      <c r="A190" s="271"/>
      <c r="B190" s="272" t="s">
        <v>244</v>
      </c>
      <c r="C190" s="272"/>
      <c r="D190" s="272"/>
      <c r="E190" s="272"/>
      <c r="F190" s="272"/>
      <c r="G190" s="272"/>
      <c r="H190" s="272"/>
      <c r="I190" s="272"/>
      <c r="J190" s="272"/>
      <c r="K190" s="272"/>
      <c r="L190" s="272"/>
      <c r="M190" s="272"/>
      <c r="N190" s="272"/>
      <c r="O190" s="272"/>
      <c r="P190" s="272"/>
      <c r="Q190" s="272"/>
      <c r="R190" s="272"/>
      <c r="S190" s="272"/>
      <c r="T190" s="346">
        <v>3.37</v>
      </c>
      <c r="U190" s="275" t="s">
        <v>124</v>
      </c>
      <c r="V190" s="5"/>
    </row>
    <row r="191" spans="1:22" ht="15.6" x14ac:dyDescent="0.3">
      <c r="A191" s="271"/>
      <c r="B191" s="272"/>
      <c r="C191" s="272"/>
      <c r="D191" s="272"/>
      <c r="E191" s="272"/>
      <c r="F191" s="272"/>
      <c r="G191" s="272"/>
      <c r="H191" s="272"/>
      <c r="I191" s="272"/>
      <c r="J191" s="272"/>
      <c r="K191" s="272"/>
      <c r="L191" s="272"/>
      <c r="M191" s="272"/>
      <c r="N191" s="272"/>
      <c r="O191" s="272"/>
      <c r="P191" s="272"/>
      <c r="Q191" s="272"/>
      <c r="R191" s="272"/>
      <c r="S191" s="272"/>
      <c r="T191" s="272"/>
      <c r="U191" s="275"/>
      <c r="V191" s="5"/>
    </row>
    <row r="192" spans="1:22" ht="15.6" x14ac:dyDescent="0.3">
      <c r="A192" s="177"/>
      <c r="B192" s="268"/>
      <c r="C192" s="268"/>
      <c r="D192" s="268"/>
      <c r="E192" s="268"/>
      <c r="F192" s="268"/>
      <c r="G192" s="268"/>
      <c r="H192" s="268"/>
      <c r="I192" s="268"/>
      <c r="J192" s="268"/>
      <c r="K192" s="268"/>
      <c r="L192" s="268"/>
      <c r="M192" s="268"/>
      <c r="N192" s="268"/>
      <c r="O192" s="268"/>
      <c r="P192" s="268"/>
      <c r="Q192" s="268"/>
      <c r="R192" s="268"/>
      <c r="S192" s="268"/>
      <c r="T192" s="268"/>
      <c r="U192" s="268"/>
      <c r="V192" s="5"/>
    </row>
    <row r="193" spans="1:22" ht="15.6" x14ac:dyDescent="0.3">
      <c r="A193" s="177"/>
      <c r="B193" s="234"/>
      <c r="C193" s="234"/>
      <c r="D193" s="234"/>
      <c r="E193" s="234"/>
      <c r="F193" s="234"/>
      <c r="G193" s="234"/>
      <c r="H193" s="234"/>
      <c r="I193" s="234"/>
      <c r="J193" s="234"/>
      <c r="K193" s="234"/>
      <c r="L193" s="234"/>
      <c r="M193" s="234"/>
      <c r="N193" s="234"/>
      <c r="O193" s="234"/>
      <c r="P193" s="234"/>
      <c r="Q193" s="234"/>
      <c r="R193" s="234"/>
      <c r="S193" s="234"/>
      <c r="T193" s="234"/>
      <c r="U193" s="234"/>
      <c r="V193" s="5"/>
    </row>
    <row r="194" spans="1:22" ht="18" thickBot="1" x14ac:dyDescent="0.35">
      <c r="A194" s="195"/>
      <c r="B194" s="238" t="str">
        <f>B133</f>
        <v>PM9 INVESTOR REPORT QUARTER ENDING JULY 2010</v>
      </c>
      <c r="C194" s="245"/>
      <c r="D194" s="245"/>
      <c r="E194" s="245"/>
      <c r="F194" s="245"/>
      <c r="G194" s="245"/>
      <c r="H194" s="245"/>
      <c r="I194" s="245"/>
      <c r="J194" s="245"/>
      <c r="K194" s="245"/>
      <c r="L194" s="245"/>
      <c r="M194" s="245"/>
      <c r="N194" s="245"/>
      <c r="O194" s="245"/>
      <c r="P194" s="245"/>
      <c r="Q194" s="245"/>
      <c r="R194" s="245"/>
      <c r="S194" s="245"/>
      <c r="T194" s="245"/>
      <c r="U194" s="246"/>
      <c r="V194" s="5"/>
    </row>
    <row r="195" spans="1:22" ht="15.6" x14ac:dyDescent="0.3">
      <c r="A195" s="321"/>
      <c r="B195" s="324" t="s">
        <v>74</v>
      </c>
      <c r="C195" s="325"/>
      <c r="D195" s="325"/>
      <c r="E195" s="325"/>
      <c r="F195" s="325"/>
      <c r="G195" s="326"/>
      <c r="H195" s="326"/>
      <c r="I195" s="326"/>
      <c r="J195" s="326"/>
      <c r="K195" s="326"/>
      <c r="L195" s="326"/>
      <c r="M195" s="326"/>
      <c r="N195" s="326"/>
      <c r="O195" s="326"/>
      <c r="P195" s="326"/>
      <c r="Q195" s="326"/>
      <c r="R195" s="326">
        <v>40389</v>
      </c>
      <c r="S195" s="322"/>
      <c r="T195" s="322"/>
      <c r="U195" s="322"/>
      <c r="V195" s="5"/>
    </row>
    <row r="196" spans="1:22" ht="15.6" x14ac:dyDescent="0.3">
      <c r="A196" s="210"/>
      <c r="B196" s="211"/>
      <c r="C196" s="212"/>
      <c r="D196" s="212"/>
      <c r="E196" s="212"/>
      <c r="F196" s="212"/>
      <c r="G196" s="213"/>
      <c r="H196" s="213"/>
      <c r="I196" s="213"/>
      <c r="J196" s="213"/>
      <c r="K196" s="213"/>
      <c r="L196" s="213"/>
      <c r="M196" s="213"/>
      <c r="N196" s="213"/>
      <c r="O196" s="213"/>
      <c r="P196" s="213"/>
      <c r="Q196" s="213"/>
      <c r="R196" s="213"/>
      <c r="S196" s="179"/>
      <c r="T196" s="179"/>
      <c r="U196" s="179"/>
      <c r="V196" s="5"/>
    </row>
    <row r="197" spans="1:22" ht="15.6" x14ac:dyDescent="0.3">
      <c r="A197" s="348"/>
      <c r="B197" s="272" t="s">
        <v>75</v>
      </c>
      <c r="C197" s="349"/>
      <c r="D197" s="349"/>
      <c r="E197" s="349"/>
      <c r="F197" s="349"/>
      <c r="G197" s="309"/>
      <c r="H197" s="309"/>
      <c r="I197" s="309"/>
      <c r="J197" s="309"/>
      <c r="K197" s="309"/>
      <c r="L197" s="309"/>
      <c r="M197" s="309"/>
      <c r="N197" s="309"/>
      <c r="O197" s="309"/>
      <c r="P197" s="309"/>
      <c r="Q197" s="309"/>
      <c r="R197" s="304">
        <v>5.8209999999999998E-2</v>
      </c>
      <c r="S197" s="272"/>
      <c r="T197" s="272"/>
      <c r="U197" s="340"/>
      <c r="V197" s="5"/>
    </row>
    <row r="198" spans="1:22" ht="15.6" x14ac:dyDescent="0.3">
      <c r="A198" s="348"/>
      <c r="B198" s="272" t="s">
        <v>164</v>
      </c>
      <c r="C198" s="349"/>
      <c r="D198" s="349"/>
      <c r="E198" s="349"/>
      <c r="F198" s="349"/>
      <c r="G198" s="309"/>
      <c r="H198" s="309"/>
      <c r="I198" s="309"/>
      <c r="J198" s="309"/>
      <c r="K198" s="309"/>
      <c r="L198" s="309"/>
      <c r="M198" s="309"/>
      <c r="N198" s="309"/>
      <c r="O198" s="309"/>
      <c r="P198" s="309"/>
      <c r="Q198" s="309"/>
      <c r="R198" s="304">
        <f>'Oct 05'!R193</f>
        <v>4.8438496428571419E-2</v>
      </c>
      <c r="S198" s="272"/>
      <c r="T198" s="272"/>
      <c r="U198" s="340"/>
      <c r="V198" s="5"/>
    </row>
    <row r="199" spans="1:22" ht="15.6" x14ac:dyDescent="0.3">
      <c r="A199" s="348"/>
      <c r="B199" s="272" t="s">
        <v>76</v>
      </c>
      <c r="C199" s="349"/>
      <c r="D199" s="349"/>
      <c r="E199" s="349"/>
      <c r="F199" s="349"/>
      <c r="G199" s="309"/>
      <c r="H199" s="309"/>
      <c r="I199" s="309"/>
      <c r="J199" s="309"/>
      <c r="K199" s="309"/>
      <c r="L199" s="309"/>
      <c r="M199" s="309"/>
      <c r="N199" s="309"/>
      <c r="O199" s="309"/>
      <c r="P199" s="309"/>
      <c r="Q199" s="309"/>
      <c r="R199" s="304">
        <f>R197-R198</f>
        <v>9.7715035714285789E-3</v>
      </c>
      <c r="S199" s="272"/>
      <c r="T199" s="272"/>
      <c r="U199" s="340"/>
      <c r="V199" s="5"/>
    </row>
    <row r="200" spans="1:22" ht="15.6" x14ac:dyDescent="0.3">
      <c r="A200" s="348"/>
      <c r="B200" s="272" t="s">
        <v>77</v>
      </c>
      <c r="C200" s="349"/>
      <c r="D200" s="349"/>
      <c r="E200" s="349"/>
      <c r="F200" s="349"/>
      <c r="G200" s="309"/>
      <c r="H200" s="309"/>
      <c r="I200" s="309"/>
      <c r="J200" s="309"/>
      <c r="K200" s="309"/>
      <c r="L200" s="309"/>
      <c r="M200" s="309"/>
      <c r="N200" s="309"/>
      <c r="O200" s="309"/>
      <c r="P200" s="309"/>
      <c r="Q200" s="309"/>
      <c r="R200" s="304">
        <v>2.7300000000000001E-2</v>
      </c>
      <c r="S200" s="272"/>
      <c r="T200" s="272"/>
      <c r="U200" s="340"/>
      <c r="V200" s="5"/>
    </row>
    <row r="201" spans="1:22" ht="15.6" x14ac:dyDescent="0.3">
      <c r="A201" s="348"/>
      <c r="B201" s="272" t="s">
        <v>257</v>
      </c>
      <c r="C201" s="349"/>
      <c r="D201" s="349"/>
      <c r="E201" s="349"/>
      <c r="F201" s="349"/>
      <c r="G201" s="309"/>
      <c r="H201" s="309"/>
      <c r="I201" s="309"/>
      <c r="J201" s="309"/>
      <c r="K201" s="309"/>
      <c r="L201" s="309"/>
      <c r="M201" s="309"/>
      <c r="N201" s="309"/>
      <c r="O201" s="309"/>
      <c r="P201" s="309"/>
      <c r="Q201" s="309"/>
      <c r="R201" s="304">
        <f>+T41</f>
        <v>1.1981141533065912E-2</v>
      </c>
      <c r="S201" s="272"/>
      <c r="T201" s="272"/>
      <c r="U201" s="340"/>
      <c r="V201" s="5"/>
    </row>
    <row r="202" spans="1:22" ht="15.6" x14ac:dyDescent="0.3">
      <c r="A202" s="348"/>
      <c r="B202" s="272" t="s">
        <v>78</v>
      </c>
      <c r="C202" s="349"/>
      <c r="D202" s="349"/>
      <c r="E202" s="349"/>
      <c r="F202" s="349"/>
      <c r="G202" s="309"/>
      <c r="H202" s="309"/>
      <c r="I202" s="309"/>
      <c r="J202" s="309"/>
      <c r="K202" s="309"/>
      <c r="L202" s="309"/>
      <c r="M202" s="309"/>
      <c r="N202" s="309"/>
      <c r="O202" s="309"/>
      <c r="P202" s="309"/>
      <c r="Q202" s="309"/>
      <c r="R202" s="304">
        <f>R200-R201</f>
        <v>1.531885846693409E-2</v>
      </c>
      <c r="S202" s="272"/>
      <c r="T202" s="272"/>
      <c r="U202" s="340"/>
      <c r="V202" s="5"/>
    </row>
    <row r="203" spans="1:22" ht="15.6" x14ac:dyDescent="0.3">
      <c r="A203" s="348"/>
      <c r="B203" s="272" t="s">
        <v>268</v>
      </c>
      <c r="C203" s="349"/>
      <c r="D203" s="349"/>
      <c r="E203" s="349"/>
      <c r="F203" s="349"/>
      <c r="G203" s="309"/>
      <c r="H203" s="309"/>
      <c r="I203" s="309"/>
      <c r="J203" s="309"/>
      <c r="K203" s="309"/>
      <c r="L203" s="309"/>
      <c r="M203" s="309"/>
      <c r="N203" s="309"/>
      <c r="O203" s="309"/>
      <c r="P203" s="309"/>
      <c r="Q203" s="309"/>
      <c r="R203" s="304">
        <f>+T97/L68</f>
        <v>7.9766690792314656E-3</v>
      </c>
      <c r="S203" s="272"/>
      <c r="T203" s="272"/>
      <c r="U203" s="340"/>
      <c r="V203" s="5"/>
    </row>
    <row r="204" spans="1:22" ht="15.6" x14ac:dyDescent="0.3">
      <c r="A204" s="348"/>
      <c r="B204" s="272" t="s">
        <v>249</v>
      </c>
      <c r="C204" s="349"/>
      <c r="D204" s="349"/>
      <c r="E204" s="349"/>
      <c r="F204" s="349"/>
      <c r="G204" s="309"/>
      <c r="H204" s="309"/>
      <c r="I204" s="309"/>
      <c r="J204" s="309"/>
      <c r="K204" s="309"/>
      <c r="L204" s="309"/>
      <c r="M204" s="309"/>
      <c r="N204" s="309"/>
      <c r="O204" s="309"/>
      <c r="P204" s="309"/>
      <c r="Q204" s="309"/>
      <c r="R204" s="350">
        <v>51622</v>
      </c>
      <c r="S204" s="272"/>
      <c r="T204" s="272"/>
      <c r="U204" s="340"/>
      <c r="V204" s="5"/>
    </row>
    <row r="205" spans="1:22" ht="15.6" x14ac:dyDescent="0.3">
      <c r="A205" s="348"/>
      <c r="B205" s="272" t="s">
        <v>250</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251</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79</v>
      </c>
      <c r="C207" s="349"/>
      <c r="D207" s="349"/>
      <c r="E207" s="349"/>
      <c r="F207" s="349"/>
      <c r="G207" s="309"/>
      <c r="H207" s="309"/>
      <c r="I207" s="309"/>
      <c r="J207" s="309"/>
      <c r="K207" s="309"/>
      <c r="L207" s="309"/>
      <c r="M207" s="309"/>
      <c r="N207" s="309"/>
      <c r="O207" s="309"/>
      <c r="P207" s="309"/>
      <c r="Q207" s="309"/>
      <c r="R207" s="308">
        <v>20.95</v>
      </c>
      <c r="S207" s="272" t="s">
        <v>119</v>
      </c>
      <c r="T207" s="272"/>
      <c r="U207" s="340"/>
      <c r="V207" s="5"/>
    </row>
    <row r="208" spans="1:22" ht="15.6" x14ac:dyDescent="0.3">
      <c r="A208" s="348"/>
      <c r="B208" s="272" t="s">
        <v>80</v>
      </c>
      <c r="C208" s="349"/>
      <c r="D208" s="349"/>
      <c r="E208" s="349"/>
      <c r="F208" s="349"/>
      <c r="G208" s="309"/>
      <c r="H208" s="309"/>
      <c r="I208" s="309"/>
      <c r="J208" s="309"/>
      <c r="K208" s="309"/>
      <c r="L208" s="309"/>
      <c r="M208" s="309"/>
      <c r="N208" s="309"/>
      <c r="O208" s="309"/>
      <c r="P208" s="309"/>
      <c r="Q208" s="309"/>
      <c r="R208" s="308">
        <v>16.12</v>
      </c>
      <c r="S208" s="272" t="s">
        <v>119</v>
      </c>
      <c r="T208" s="272"/>
      <c r="U208" s="340"/>
      <c r="V208" s="5"/>
    </row>
    <row r="209" spans="1:22" ht="15.6" x14ac:dyDescent="0.3">
      <c r="A209" s="348"/>
      <c r="B209" s="272" t="s">
        <v>81</v>
      </c>
      <c r="C209" s="349"/>
      <c r="D209" s="349"/>
      <c r="E209" s="349"/>
      <c r="F209" s="349"/>
      <c r="G209" s="309"/>
      <c r="H209" s="309"/>
      <c r="I209" s="309"/>
      <c r="J209" s="309"/>
      <c r="K209" s="309"/>
      <c r="L209" s="309"/>
      <c r="M209" s="309"/>
      <c r="N209" s="309"/>
      <c r="O209" s="309"/>
      <c r="P209" s="309"/>
      <c r="Q209" s="309"/>
      <c r="R209" s="304">
        <f>N65/L65</f>
        <v>1.0157100543131185E-2</v>
      </c>
      <c r="S209" s="272"/>
      <c r="T209" s="272"/>
      <c r="U209" s="340"/>
      <c r="V209" s="5"/>
    </row>
    <row r="210" spans="1:22" ht="15.6" x14ac:dyDescent="0.3">
      <c r="A210" s="348"/>
      <c r="B210" s="272" t="s">
        <v>82</v>
      </c>
      <c r="C210" s="349"/>
      <c r="D210" s="349"/>
      <c r="E210" s="349"/>
      <c r="F210" s="349"/>
      <c r="G210" s="309"/>
      <c r="H210" s="309"/>
      <c r="I210" s="309"/>
      <c r="J210" s="309"/>
      <c r="K210" s="309"/>
      <c r="L210" s="309"/>
      <c r="M210" s="309"/>
      <c r="N210" s="309"/>
      <c r="O210" s="309"/>
      <c r="P210" s="309"/>
      <c r="Q210" s="309"/>
      <c r="R210" s="304">
        <v>0.15559999999999999</v>
      </c>
      <c r="S210" s="272"/>
      <c r="T210" s="272"/>
      <c r="U210" s="340"/>
      <c r="V210" s="5"/>
    </row>
    <row r="211" spans="1:22" ht="15.6" x14ac:dyDescent="0.3">
      <c r="A211" s="210"/>
      <c r="B211" s="268"/>
      <c r="C211" s="268"/>
      <c r="D211" s="268"/>
      <c r="E211" s="268"/>
      <c r="F211" s="268"/>
      <c r="G211" s="268"/>
      <c r="H211" s="268"/>
      <c r="I211" s="268"/>
      <c r="J211" s="268"/>
      <c r="K211" s="268"/>
      <c r="L211" s="268"/>
      <c r="M211" s="268"/>
      <c r="N211" s="268"/>
      <c r="O211" s="268"/>
      <c r="P211" s="268"/>
      <c r="Q211" s="268"/>
      <c r="R211" s="344"/>
      <c r="S211" s="268"/>
      <c r="T211" s="347"/>
      <c r="U211" s="314"/>
      <c r="V211" s="5"/>
    </row>
    <row r="212" spans="1:22" ht="15.6" x14ac:dyDescent="0.3">
      <c r="A212" s="327"/>
      <c r="B212" s="259" t="s">
        <v>83</v>
      </c>
      <c r="C212" s="260"/>
      <c r="D212" s="260"/>
      <c r="E212" s="260"/>
      <c r="F212" s="261"/>
      <c r="G212" s="260"/>
      <c r="H212" s="260"/>
      <c r="I212" s="260"/>
      <c r="J212" s="260"/>
      <c r="K212" s="260"/>
      <c r="L212" s="260"/>
      <c r="M212" s="260"/>
      <c r="N212" s="260"/>
      <c r="O212" s="260"/>
      <c r="P212" s="260"/>
      <c r="Q212" s="260" t="s">
        <v>108</v>
      </c>
      <c r="R212" s="261" t="s">
        <v>115</v>
      </c>
      <c r="S212" s="262"/>
      <c r="T212" s="262"/>
      <c r="U212" s="262"/>
      <c r="V212" s="5"/>
    </row>
    <row r="213" spans="1:22" ht="15.6" x14ac:dyDescent="0.3">
      <c r="A213" s="214"/>
      <c r="B213" s="228" t="s">
        <v>84</v>
      </c>
      <c r="C213" s="231"/>
      <c r="D213" s="231"/>
      <c r="E213" s="231"/>
      <c r="F213" s="228"/>
      <c r="G213" s="228"/>
      <c r="H213" s="230"/>
      <c r="I213" s="230"/>
      <c r="J213" s="230"/>
      <c r="K213" s="230"/>
      <c r="L213" s="230"/>
      <c r="M213" s="230"/>
      <c r="N213" s="230"/>
      <c r="O213" s="230"/>
      <c r="P213" s="230"/>
      <c r="Q213" s="230">
        <v>0</v>
      </c>
      <c r="R213" s="248">
        <v>0</v>
      </c>
      <c r="S213" s="228"/>
      <c r="T213" s="247"/>
      <c r="U213" s="215"/>
      <c r="V213" s="5"/>
    </row>
    <row r="214" spans="1:22" ht="15.6" x14ac:dyDescent="0.3">
      <c r="A214" s="358"/>
      <c r="B214" s="272" t="s">
        <v>156</v>
      </c>
      <c r="C214" s="317"/>
      <c r="D214" s="317"/>
      <c r="E214" s="317"/>
      <c r="F214" s="272"/>
      <c r="G214" s="272"/>
      <c r="H214" s="279"/>
      <c r="I214" s="279"/>
      <c r="J214" s="279"/>
      <c r="K214" s="279"/>
      <c r="L214" s="279"/>
      <c r="M214" s="279"/>
      <c r="N214" s="279"/>
      <c r="O214" s="279"/>
      <c r="P214" s="279"/>
      <c r="Q214" s="359">
        <f>+P265</f>
        <v>69</v>
      </c>
      <c r="R214" s="360">
        <f>+R265</f>
        <v>10443</v>
      </c>
      <c r="S214" s="272"/>
      <c r="T214" s="361"/>
      <c r="U214" s="362"/>
      <c r="V214" s="5"/>
    </row>
    <row r="215" spans="1:22" ht="15.6" x14ac:dyDescent="0.3">
      <c r="A215" s="358"/>
      <c r="B215" s="272" t="s">
        <v>85</v>
      </c>
      <c r="C215" s="317"/>
      <c r="D215" s="317"/>
      <c r="E215" s="317"/>
      <c r="F215" s="272"/>
      <c r="G215" s="272"/>
      <c r="H215" s="279"/>
      <c r="I215" s="279"/>
      <c r="J215" s="279"/>
      <c r="K215" s="279"/>
      <c r="L215" s="279"/>
      <c r="M215" s="279"/>
      <c r="N215" s="279"/>
      <c r="O215" s="279"/>
      <c r="P215" s="279"/>
      <c r="Q215" s="359">
        <f>+P277</f>
        <v>0</v>
      </c>
      <c r="R215" s="360">
        <f>+R277</f>
        <v>0</v>
      </c>
      <c r="S215" s="272"/>
      <c r="T215" s="361"/>
      <c r="U215" s="362"/>
      <c r="V215" s="5"/>
    </row>
    <row r="216" spans="1:22" ht="15.6" x14ac:dyDescent="0.3">
      <c r="A216" s="358"/>
      <c r="B216" s="293" t="s">
        <v>86</v>
      </c>
      <c r="C216" s="363"/>
      <c r="D216" s="363"/>
      <c r="E216" s="363"/>
      <c r="F216" s="337"/>
      <c r="G216" s="337"/>
      <c r="H216" s="337"/>
      <c r="I216" s="337"/>
      <c r="J216" s="337"/>
      <c r="K216" s="337"/>
      <c r="L216" s="337"/>
      <c r="M216" s="337"/>
      <c r="N216" s="337"/>
      <c r="O216" s="337"/>
      <c r="P216" s="337"/>
      <c r="Q216" s="337"/>
      <c r="R216" s="360">
        <v>0</v>
      </c>
      <c r="S216" s="337"/>
      <c r="T216" s="364"/>
      <c r="U216" s="362"/>
      <c r="V216" s="5"/>
    </row>
    <row r="217" spans="1:22" ht="15.6" x14ac:dyDescent="0.3">
      <c r="A217" s="358"/>
      <c r="B217" s="293" t="s">
        <v>87</v>
      </c>
      <c r="C217" s="363"/>
      <c r="D217" s="363"/>
      <c r="E217" s="363"/>
      <c r="F217" s="337"/>
      <c r="G217" s="337"/>
      <c r="H217" s="337"/>
      <c r="I217" s="337"/>
      <c r="J217" s="337"/>
      <c r="K217" s="337"/>
      <c r="L217" s="337"/>
      <c r="M217" s="337"/>
      <c r="N217" s="337"/>
      <c r="O217" s="337"/>
      <c r="P217" s="337"/>
      <c r="Q217" s="337"/>
      <c r="R217" s="365" t="s">
        <v>116</v>
      </c>
      <c r="S217" s="337"/>
      <c r="T217" s="364"/>
      <c r="U217" s="362"/>
      <c r="V217" s="5"/>
    </row>
    <row r="218" spans="1:22" ht="15.6" x14ac:dyDescent="0.3">
      <c r="A218" s="366"/>
      <c r="B218" s="293" t="s">
        <v>88</v>
      </c>
      <c r="C218" s="367"/>
      <c r="D218" s="367"/>
      <c r="E218" s="367"/>
      <c r="F218" s="367"/>
      <c r="G218" s="337"/>
      <c r="H218" s="337"/>
      <c r="I218" s="337"/>
      <c r="J218" s="337"/>
      <c r="K218" s="337"/>
      <c r="L218" s="337"/>
      <c r="M218" s="337"/>
      <c r="N218" s="337"/>
      <c r="O218" s="337"/>
      <c r="P218" s="337"/>
      <c r="Q218" s="337"/>
      <c r="R218" s="368"/>
      <c r="S218" s="337"/>
      <c r="T218" s="364"/>
      <c r="U218" s="369"/>
      <c r="V218" s="5"/>
    </row>
    <row r="219" spans="1:22" ht="15.6" x14ac:dyDescent="0.3">
      <c r="A219" s="366"/>
      <c r="B219" s="370" t="s">
        <v>89</v>
      </c>
      <c r="C219" s="370"/>
      <c r="D219" s="370"/>
      <c r="E219" s="370"/>
      <c r="F219" s="370"/>
      <c r="G219" s="370"/>
      <c r="H219" s="370"/>
      <c r="I219" s="370"/>
      <c r="J219" s="370"/>
      <c r="K219" s="370"/>
      <c r="L219" s="370"/>
      <c r="M219" s="370"/>
      <c r="N219" s="370"/>
      <c r="O219" s="370"/>
      <c r="P219" s="370"/>
      <c r="Q219" s="371"/>
      <c r="R219" s="372">
        <f>T163</f>
        <v>840</v>
      </c>
      <c r="S219" s="370"/>
      <c r="T219" s="364"/>
      <c r="U219" s="369"/>
      <c r="V219" s="5"/>
    </row>
    <row r="220" spans="1:22" ht="15.6" x14ac:dyDescent="0.3">
      <c r="A220" s="358"/>
      <c r="B220" s="370" t="s">
        <v>90</v>
      </c>
      <c r="C220" s="373"/>
      <c r="D220" s="373"/>
      <c r="E220" s="373"/>
      <c r="F220" s="373"/>
      <c r="G220" s="370"/>
      <c r="H220" s="370"/>
      <c r="I220" s="370"/>
      <c r="J220" s="370"/>
      <c r="K220" s="370"/>
      <c r="L220" s="370"/>
      <c r="M220" s="370"/>
      <c r="N220" s="370"/>
      <c r="O220" s="370"/>
      <c r="P220" s="370"/>
      <c r="Q220" s="371"/>
      <c r="R220" s="372">
        <f>'April 10'!R221+'July 10'!R219</f>
        <v>2818</v>
      </c>
      <c r="S220" s="370"/>
      <c r="T220" s="364"/>
      <c r="U220" s="369"/>
      <c r="V220" s="5"/>
    </row>
    <row r="221" spans="1:22" ht="15.6" x14ac:dyDescent="0.3">
      <c r="A221" s="366"/>
      <c r="B221" s="293" t="s">
        <v>288</v>
      </c>
      <c r="C221" s="367"/>
      <c r="D221" s="367"/>
      <c r="E221" s="367"/>
      <c r="F221" s="367"/>
      <c r="G221" s="337"/>
      <c r="H221" s="337"/>
      <c r="I221" s="337"/>
      <c r="J221" s="337"/>
      <c r="K221" s="337"/>
      <c r="L221" s="337"/>
      <c r="M221" s="337"/>
      <c r="N221" s="337"/>
      <c r="O221" s="337"/>
      <c r="P221" s="337"/>
      <c r="Q221" s="374"/>
      <c r="R221" s="368"/>
      <c r="S221" s="337"/>
      <c r="T221" s="364"/>
      <c r="U221" s="369"/>
      <c r="V221" s="5"/>
    </row>
    <row r="222" spans="1:22" ht="15.6" x14ac:dyDescent="0.3">
      <c r="A222" s="375"/>
      <c r="B222" s="272" t="s">
        <v>286</v>
      </c>
      <c r="C222" s="272"/>
      <c r="D222" s="272"/>
      <c r="E222" s="272"/>
      <c r="F222" s="272"/>
      <c r="G222" s="272"/>
      <c r="H222" s="272"/>
      <c r="I222" s="272"/>
      <c r="J222" s="272"/>
      <c r="K222" s="272"/>
      <c r="L222" s="272"/>
      <c r="M222" s="272"/>
      <c r="N222" s="272"/>
      <c r="O222" s="272"/>
      <c r="P222" s="272"/>
      <c r="Q222" s="279">
        <v>0</v>
      </c>
      <c r="R222" s="360">
        <v>0</v>
      </c>
      <c r="S222" s="272"/>
      <c r="T222" s="361"/>
      <c r="U222" s="369"/>
      <c r="V222" s="5"/>
    </row>
    <row r="223" spans="1:22" ht="15.6" x14ac:dyDescent="0.3">
      <c r="A223" s="376"/>
      <c r="B223" s="272" t="s">
        <v>92</v>
      </c>
      <c r="C223" s="306"/>
      <c r="D223" s="306"/>
      <c r="E223" s="306"/>
      <c r="F223" s="377"/>
      <c r="G223" s="272"/>
      <c r="H223" s="272"/>
      <c r="I223" s="272"/>
      <c r="J223" s="272"/>
      <c r="K223" s="272"/>
      <c r="L223" s="272"/>
      <c r="M223" s="272"/>
      <c r="N223" s="272"/>
      <c r="O223" s="272"/>
      <c r="P223" s="272"/>
      <c r="Q223" s="279"/>
      <c r="R223" s="365">
        <v>0</v>
      </c>
      <c r="S223" s="272"/>
      <c r="T223" s="361"/>
      <c r="U223" s="369"/>
      <c r="V223" s="5"/>
    </row>
    <row r="224" spans="1:22" ht="15.6" x14ac:dyDescent="0.3">
      <c r="A224" s="376"/>
      <c r="B224" s="272" t="s">
        <v>93</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58"/>
      <c r="B225" s="293" t="s">
        <v>258</v>
      </c>
      <c r="C225" s="378"/>
      <c r="D225" s="378"/>
      <c r="E225" s="378"/>
      <c r="F225" s="379"/>
      <c r="G225" s="337"/>
      <c r="H225" s="337"/>
      <c r="I225" s="337"/>
      <c r="J225" s="337"/>
      <c r="K225" s="337"/>
      <c r="L225" s="337"/>
      <c r="M225" s="337"/>
      <c r="N225" s="337"/>
      <c r="O225" s="337"/>
      <c r="P225" s="337"/>
      <c r="Q225" s="374"/>
      <c r="R225" s="380"/>
      <c r="S225" s="337"/>
      <c r="T225" s="364"/>
      <c r="U225" s="369"/>
      <c r="V225" s="5"/>
    </row>
    <row r="226" spans="1:23" ht="15.6" x14ac:dyDescent="0.3">
      <c r="A226" s="376"/>
      <c r="B226" s="272" t="s">
        <v>286</v>
      </c>
      <c r="C226" s="306"/>
      <c r="D226" s="306"/>
      <c r="E226" s="306"/>
      <c r="F226" s="377"/>
      <c r="G226" s="272"/>
      <c r="H226" s="272"/>
      <c r="I226" s="272"/>
      <c r="J226" s="272"/>
      <c r="K226" s="272"/>
      <c r="L226" s="272"/>
      <c r="M226" s="272"/>
      <c r="N226" s="272"/>
      <c r="O226" s="272"/>
      <c r="P226" s="272"/>
      <c r="Q226" s="279">
        <v>8</v>
      </c>
      <c r="R226" s="360">
        <v>1477</v>
      </c>
      <c r="S226" s="272"/>
      <c r="T226" s="364"/>
      <c r="U226" s="369"/>
      <c r="V226" s="5"/>
    </row>
    <row r="227" spans="1:23" ht="15.6" x14ac:dyDescent="0.3">
      <c r="A227" s="376"/>
      <c r="B227" s="272" t="s">
        <v>259</v>
      </c>
      <c r="C227" s="306"/>
      <c r="D227" s="306"/>
      <c r="E227" s="306"/>
      <c r="F227" s="377"/>
      <c r="G227" s="272"/>
      <c r="H227" s="272"/>
      <c r="I227" s="272"/>
      <c r="J227" s="272"/>
      <c r="K227" s="272"/>
      <c r="L227" s="272"/>
      <c r="M227" s="272"/>
      <c r="N227" s="272"/>
      <c r="O227" s="272"/>
      <c r="P227" s="272"/>
      <c r="Q227" s="272"/>
      <c r="R227" s="365">
        <v>15.65</v>
      </c>
      <c r="S227" s="272"/>
      <c r="T227" s="364"/>
      <c r="U227" s="369"/>
      <c r="V227" s="5"/>
    </row>
    <row r="228" spans="1:23" ht="15.6" x14ac:dyDescent="0.3">
      <c r="A228" s="358"/>
      <c r="B228" s="367"/>
      <c r="C228" s="378"/>
      <c r="D228" s="378"/>
      <c r="E228" s="378"/>
      <c r="F228" s="379"/>
      <c r="G228" s="337"/>
      <c r="H228" s="337"/>
      <c r="I228" s="337"/>
      <c r="J228" s="337"/>
      <c r="K228" s="337"/>
      <c r="L228" s="337"/>
      <c r="M228" s="337"/>
      <c r="N228" s="337"/>
      <c r="O228" s="337"/>
      <c r="P228" s="337"/>
      <c r="Q228" s="337"/>
      <c r="R228" s="381"/>
      <c r="S228" s="337"/>
      <c r="T228" s="364"/>
      <c r="U228" s="369"/>
      <c r="V228" s="5"/>
    </row>
    <row r="229" spans="1:23" ht="17.399999999999999" x14ac:dyDescent="0.3">
      <c r="A229" s="358"/>
      <c r="B229" s="382" t="s">
        <v>208</v>
      </c>
      <c r="C229" s="378"/>
      <c r="D229" s="378"/>
      <c r="E229" s="378"/>
      <c r="F229" s="379"/>
      <c r="G229" s="337"/>
      <c r="H229" s="337"/>
      <c r="I229" s="337"/>
      <c r="J229" s="337"/>
      <c r="K229" s="337"/>
      <c r="L229" s="337"/>
      <c r="M229" s="337"/>
      <c r="N229" s="383" t="s">
        <v>207</v>
      </c>
      <c r="O229" s="337"/>
      <c r="P229" s="337"/>
      <c r="Q229" s="337"/>
      <c r="R229" s="381"/>
      <c r="S229" s="337"/>
      <c r="T229" s="364"/>
      <c r="U229" s="369"/>
      <c r="V229" s="5"/>
    </row>
    <row r="230" spans="1:23" ht="15.6" x14ac:dyDescent="0.3">
      <c r="A230" s="351"/>
      <c r="B230" s="352"/>
      <c r="C230" s="353"/>
      <c r="D230" s="353"/>
      <c r="E230" s="353"/>
      <c r="F230" s="354"/>
      <c r="G230" s="314"/>
      <c r="H230" s="314"/>
      <c r="I230" s="314"/>
      <c r="J230" s="314"/>
      <c r="K230" s="314"/>
      <c r="L230" s="314"/>
      <c r="M230" s="314"/>
      <c r="N230" s="314"/>
      <c r="O230" s="314"/>
      <c r="P230" s="314"/>
      <c r="Q230" s="314"/>
      <c r="R230" s="355"/>
      <c r="S230" s="314"/>
      <c r="T230" s="356"/>
      <c r="U230" s="357"/>
      <c r="V230" s="5"/>
    </row>
    <row r="231" spans="1:23" ht="15.6" x14ac:dyDescent="0.3">
      <c r="A231" s="258"/>
      <c r="B231" s="259" t="s">
        <v>302</v>
      </c>
      <c r="C231" s="260"/>
      <c r="D231" s="260"/>
      <c r="E231" s="260"/>
      <c r="F231" s="261"/>
      <c r="G231" s="260"/>
      <c r="H231" s="260"/>
      <c r="I231" s="260"/>
      <c r="J231" s="260"/>
      <c r="K231" s="260"/>
      <c r="L231" s="260"/>
      <c r="M231" s="260"/>
      <c r="N231" s="260"/>
      <c r="O231" s="260"/>
      <c r="P231" s="261" t="s">
        <v>108</v>
      </c>
      <c r="Q231" s="260" t="s">
        <v>109</v>
      </c>
      <c r="R231" s="261" t="s">
        <v>117</v>
      </c>
      <c r="S231" s="260" t="s">
        <v>109</v>
      </c>
      <c r="T231" s="262"/>
      <c r="U231" s="259"/>
      <c r="V231" s="5"/>
    </row>
    <row r="232" spans="1:23" ht="15.6" x14ac:dyDescent="0.3">
      <c r="A232" s="232"/>
      <c r="B232" s="231" t="s">
        <v>94</v>
      </c>
      <c r="C232" s="249"/>
      <c r="D232" s="249"/>
      <c r="E232" s="249"/>
      <c r="F232" s="228"/>
      <c r="G232" s="249"/>
      <c r="H232" s="249"/>
      <c r="I232" s="249"/>
      <c r="J232" s="249"/>
      <c r="K232" s="249"/>
      <c r="L232" s="249"/>
      <c r="M232" s="249"/>
      <c r="N232" s="249"/>
      <c r="O232" s="249"/>
      <c r="P232" s="317">
        <f>+P244+P256+P268</f>
        <v>2686</v>
      </c>
      <c r="Q232" s="388">
        <f>P232/$P$241</f>
        <v>0.98641204553800954</v>
      </c>
      <c r="R232" s="318">
        <f>+R244+R256+R268</f>
        <v>319630</v>
      </c>
      <c r="S232" s="388">
        <f>R232/$R$241</f>
        <v>0.98109813743907082</v>
      </c>
      <c r="T232" s="247"/>
      <c r="U232" s="229"/>
      <c r="V232" s="5"/>
    </row>
    <row r="233" spans="1:23" ht="15.6" x14ac:dyDescent="0.3">
      <c r="A233" s="302"/>
      <c r="B233" s="317" t="s">
        <v>95</v>
      </c>
      <c r="C233" s="387"/>
      <c r="D233" s="387"/>
      <c r="E233" s="387"/>
      <c r="F233" s="272"/>
      <c r="G233" s="388"/>
      <c r="H233" s="387"/>
      <c r="I233" s="387"/>
      <c r="J233" s="387"/>
      <c r="K233" s="387"/>
      <c r="L233" s="387"/>
      <c r="M233" s="387"/>
      <c r="N233" s="387"/>
      <c r="O233" s="387"/>
      <c r="P233" s="317">
        <f t="shared" ref="P233:P239" si="1">+P245+P257+P269</f>
        <v>14</v>
      </c>
      <c r="Q233" s="388">
        <f t="shared" ref="Q233:Q239" si="2">P233/$P$241</f>
        <v>5.1413881748071976E-3</v>
      </c>
      <c r="R233" s="318">
        <f t="shared" ref="R233:R239" si="3">+R245+R257+R269</f>
        <v>2439</v>
      </c>
      <c r="S233" s="388">
        <f t="shared" ref="S233:S239" si="4">R233/$R$241</f>
        <v>7.4864635898191463E-3</v>
      </c>
      <c r="T233" s="361"/>
      <c r="U233" s="389"/>
      <c r="V233" s="5"/>
      <c r="W233" s="110"/>
    </row>
    <row r="234" spans="1:23" ht="15.6" x14ac:dyDescent="0.3">
      <c r="A234" s="302"/>
      <c r="B234" s="317" t="s">
        <v>96</v>
      </c>
      <c r="C234" s="387"/>
      <c r="D234" s="387"/>
      <c r="E234" s="387"/>
      <c r="F234" s="272"/>
      <c r="G234" s="388"/>
      <c r="H234" s="387"/>
      <c r="I234" s="387"/>
      <c r="J234" s="387"/>
      <c r="K234" s="387"/>
      <c r="L234" s="387"/>
      <c r="M234" s="387"/>
      <c r="N234" s="387"/>
      <c r="O234" s="387"/>
      <c r="P234" s="317">
        <f t="shared" si="1"/>
        <v>2</v>
      </c>
      <c r="Q234" s="388">
        <f t="shared" si="2"/>
        <v>7.3448402497245681E-4</v>
      </c>
      <c r="R234" s="318">
        <f t="shared" si="3"/>
        <v>385</v>
      </c>
      <c r="S234" s="388">
        <f t="shared" si="4"/>
        <v>1.1817500951539037E-3</v>
      </c>
      <c r="T234" s="361"/>
      <c r="U234" s="389"/>
      <c r="V234" s="5"/>
    </row>
    <row r="235" spans="1:23" ht="15.6" x14ac:dyDescent="0.3">
      <c r="A235" s="302"/>
      <c r="B235" s="317" t="s">
        <v>171</v>
      </c>
      <c r="C235" s="387"/>
      <c r="D235" s="387"/>
      <c r="E235" s="387"/>
      <c r="F235" s="272"/>
      <c r="G235" s="388"/>
      <c r="H235" s="387"/>
      <c r="I235" s="387"/>
      <c r="J235" s="387"/>
      <c r="K235" s="387"/>
      <c r="L235" s="387"/>
      <c r="M235" s="387"/>
      <c r="N235" s="387"/>
      <c r="O235" s="387"/>
      <c r="P235" s="317">
        <f t="shared" si="1"/>
        <v>4</v>
      </c>
      <c r="Q235" s="388">
        <f t="shared" si="2"/>
        <v>1.4689680499449136E-3</v>
      </c>
      <c r="R235" s="318">
        <f t="shared" si="3"/>
        <v>700</v>
      </c>
      <c r="S235" s="388">
        <f t="shared" si="4"/>
        <v>2.1486365366434612E-3</v>
      </c>
      <c r="T235" s="361"/>
      <c r="U235" s="389"/>
      <c r="V235" s="5"/>
      <c r="W235" s="110"/>
    </row>
    <row r="236" spans="1:23" ht="15.6" x14ac:dyDescent="0.3">
      <c r="A236" s="302"/>
      <c r="B236" s="317" t="s">
        <v>172</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row>
    <row r="237" spans="1:23" ht="15.6" x14ac:dyDescent="0.3">
      <c r="A237" s="302"/>
      <c r="B237" s="317" t="s">
        <v>173</v>
      </c>
      <c r="C237" s="387"/>
      <c r="D237" s="387"/>
      <c r="E237" s="387"/>
      <c r="F237" s="272"/>
      <c r="G237" s="388"/>
      <c r="H237" s="387"/>
      <c r="I237" s="387"/>
      <c r="J237" s="387"/>
      <c r="K237" s="387"/>
      <c r="L237" s="387"/>
      <c r="M237" s="387"/>
      <c r="N237" s="387"/>
      <c r="O237" s="387"/>
      <c r="P237" s="317">
        <f t="shared" si="1"/>
        <v>1</v>
      </c>
      <c r="Q237" s="388">
        <f t="shared" si="2"/>
        <v>3.6724201248622841E-4</v>
      </c>
      <c r="R237" s="318">
        <f t="shared" si="3"/>
        <v>71</v>
      </c>
      <c r="S237" s="388">
        <f t="shared" si="4"/>
        <v>2.1793313443097966E-4</v>
      </c>
      <c r="T237" s="361"/>
      <c r="U237" s="389"/>
      <c r="V237" s="5"/>
      <c r="W237" s="110"/>
    </row>
    <row r="238" spans="1:23" ht="15.6" x14ac:dyDescent="0.3">
      <c r="A238" s="302"/>
      <c r="B238" s="317" t="s">
        <v>174</v>
      </c>
      <c r="C238" s="387"/>
      <c r="D238" s="387"/>
      <c r="E238" s="387"/>
      <c r="F238" s="272"/>
      <c r="G238" s="388"/>
      <c r="H238" s="387"/>
      <c r="I238" s="387"/>
      <c r="J238" s="387"/>
      <c r="K238" s="387"/>
      <c r="L238" s="387"/>
      <c r="M238" s="387"/>
      <c r="N238" s="387"/>
      <c r="O238" s="387"/>
      <c r="P238" s="317">
        <f t="shared" si="1"/>
        <v>2</v>
      </c>
      <c r="Q238" s="388">
        <f t="shared" si="2"/>
        <v>7.3448402497245681E-4</v>
      </c>
      <c r="R238" s="318">
        <f t="shared" si="3"/>
        <v>203</v>
      </c>
      <c r="S238" s="388">
        <f t="shared" si="4"/>
        <v>6.2310459562660379E-4</v>
      </c>
      <c r="T238" s="361"/>
      <c r="U238" s="389"/>
      <c r="V238" s="5"/>
    </row>
    <row r="239" spans="1:23" ht="15.6" x14ac:dyDescent="0.3">
      <c r="A239" s="302"/>
      <c r="B239" s="317" t="s">
        <v>175</v>
      </c>
      <c r="C239" s="387"/>
      <c r="D239" s="387"/>
      <c r="E239" s="387"/>
      <c r="F239" s="272"/>
      <c r="G239" s="388"/>
      <c r="H239" s="387"/>
      <c r="I239" s="387"/>
      <c r="J239" s="387"/>
      <c r="K239" s="387"/>
      <c r="L239" s="387"/>
      <c r="M239" s="387"/>
      <c r="N239" s="387"/>
      <c r="O239" s="387"/>
      <c r="P239" s="317">
        <f t="shared" si="1"/>
        <v>14</v>
      </c>
      <c r="Q239" s="388">
        <f t="shared" si="2"/>
        <v>5.1413881748071976E-3</v>
      </c>
      <c r="R239" s="318">
        <f t="shared" si="3"/>
        <v>2360</v>
      </c>
      <c r="S239" s="388">
        <f t="shared" si="4"/>
        <v>7.243974609255098E-3</v>
      </c>
      <c r="T239" s="361"/>
      <c r="U239" s="389"/>
      <c r="V239" s="5"/>
      <c r="W239" s="110"/>
    </row>
    <row r="240" spans="1:23" ht="15.6" x14ac:dyDescent="0.3">
      <c r="A240" s="302"/>
      <c r="B240" s="317"/>
      <c r="C240" s="387"/>
      <c r="D240" s="387"/>
      <c r="E240" s="387"/>
      <c r="F240" s="272"/>
      <c r="G240" s="388"/>
      <c r="H240" s="387"/>
      <c r="I240" s="387"/>
      <c r="J240" s="387"/>
      <c r="K240" s="387"/>
      <c r="L240" s="387"/>
      <c r="M240" s="387"/>
      <c r="N240" s="387"/>
      <c r="O240" s="387"/>
      <c r="P240" s="317"/>
      <c r="Q240" s="388"/>
      <c r="R240" s="318"/>
      <c r="S240" s="388"/>
      <c r="T240" s="361"/>
      <c r="U240" s="389"/>
      <c r="V240" s="5"/>
    </row>
    <row r="241" spans="1:23" ht="15.6" x14ac:dyDescent="0.3">
      <c r="A241" s="302"/>
      <c r="B241" s="272"/>
      <c r="C241" s="272"/>
      <c r="D241" s="272"/>
      <c r="E241" s="272"/>
      <c r="F241" s="272"/>
      <c r="G241" s="272"/>
      <c r="H241" s="390"/>
      <c r="I241" s="390"/>
      <c r="J241" s="390"/>
      <c r="K241" s="390"/>
      <c r="L241" s="390"/>
      <c r="M241" s="390"/>
      <c r="N241" s="390"/>
      <c r="O241" s="390"/>
      <c r="P241" s="317">
        <f>SUM(P232:P240)</f>
        <v>2723</v>
      </c>
      <c r="Q241" s="388">
        <f>SUM(Q232:Q240)</f>
        <v>1</v>
      </c>
      <c r="R241" s="318">
        <f>SUM(R232:R240)</f>
        <v>325788</v>
      </c>
      <c r="S241" s="388">
        <f>SUM(S232:S240)</f>
        <v>1</v>
      </c>
      <c r="T241" s="272"/>
      <c r="U241" s="275"/>
      <c r="V241" s="5"/>
    </row>
    <row r="242" spans="1:23" ht="15.6" x14ac:dyDescent="0.3">
      <c r="A242" s="351"/>
      <c r="B242" s="352"/>
      <c r="C242" s="353"/>
      <c r="D242" s="353"/>
      <c r="E242" s="353"/>
      <c r="F242" s="354"/>
      <c r="G242" s="314"/>
      <c r="H242" s="314"/>
      <c r="I242" s="314"/>
      <c r="J242" s="314"/>
      <c r="K242" s="314"/>
      <c r="L242" s="314"/>
      <c r="M242" s="314"/>
      <c r="N242" s="314"/>
      <c r="O242" s="314"/>
      <c r="P242" s="314"/>
      <c r="Q242" s="314"/>
      <c r="R242" s="355"/>
      <c r="S242" s="314"/>
      <c r="T242" s="356"/>
      <c r="U242" s="357"/>
      <c r="V242" s="5"/>
    </row>
    <row r="243" spans="1:23" ht="15.6" x14ac:dyDescent="0.3">
      <c r="A243" s="258"/>
      <c r="B243" s="259" t="s">
        <v>177</v>
      </c>
      <c r="C243" s="260"/>
      <c r="D243" s="260"/>
      <c r="E243" s="260"/>
      <c r="F243" s="261"/>
      <c r="G243" s="260"/>
      <c r="H243" s="260"/>
      <c r="I243" s="260"/>
      <c r="J243" s="260"/>
      <c r="K243" s="260"/>
      <c r="L243" s="260"/>
      <c r="M243" s="260"/>
      <c r="N243" s="260"/>
      <c r="O243" s="260"/>
      <c r="P243" s="261" t="s">
        <v>108</v>
      </c>
      <c r="Q243" s="260" t="s">
        <v>109</v>
      </c>
      <c r="R243" s="261" t="s">
        <v>117</v>
      </c>
      <c r="S243" s="260" t="s">
        <v>109</v>
      </c>
      <c r="T243" s="262"/>
      <c r="U243" s="259"/>
      <c r="V243" s="5"/>
    </row>
    <row r="244" spans="1:23" ht="15.6" x14ac:dyDescent="0.3">
      <c r="A244" s="232"/>
      <c r="B244" s="231" t="s">
        <v>94</v>
      </c>
      <c r="C244" s="249"/>
      <c r="D244" s="249"/>
      <c r="E244" s="249"/>
      <c r="F244" s="228"/>
      <c r="G244" s="249"/>
      <c r="H244" s="249"/>
      <c r="I244" s="249"/>
      <c r="J244" s="249"/>
      <c r="K244" s="249"/>
      <c r="L244" s="249"/>
      <c r="M244" s="249"/>
      <c r="N244" s="249"/>
      <c r="O244" s="249"/>
      <c r="P244" s="231">
        <v>2638</v>
      </c>
      <c r="Q244" s="250">
        <f t="shared" ref="Q244:Q251" si="5">P244/$P$253</f>
        <v>0.99397136397889974</v>
      </c>
      <c r="R244" s="242">
        <v>312527</v>
      </c>
      <c r="S244" s="250">
        <f t="shared" ref="S244:S251" si="6">R244/$R$253</f>
        <v>0.99106375556929716</v>
      </c>
      <c r="T244" s="247"/>
      <c r="U244" s="229"/>
      <c r="V244" s="5"/>
    </row>
    <row r="245" spans="1:23" ht="15.6" x14ac:dyDescent="0.3">
      <c r="A245" s="302"/>
      <c r="B245" s="317" t="s">
        <v>95</v>
      </c>
      <c r="C245" s="387"/>
      <c r="D245" s="387"/>
      <c r="E245" s="387"/>
      <c r="F245" s="272"/>
      <c r="G245" s="388"/>
      <c r="H245" s="387"/>
      <c r="I245" s="387"/>
      <c r="J245" s="387"/>
      <c r="K245" s="387"/>
      <c r="L245" s="387"/>
      <c r="M245" s="387"/>
      <c r="N245" s="387"/>
      <c r="O245" s="387"/>
      <c r="P245" s="317">
        <v>12</v>
      </c>
      <c r="Q245" s="388">
        <f t="shared" si="5"/>
        <v>4.5214770158251696E-3</v>
      </c>
      <c r="R245" s="318">
        <v>2029</v>
      </c>
      <c r="S245" s="388">
        <f t="shared" si="6"/>
        <v>6.4342228353073622E-3</v>
      </c>
      <c r="T245" s="361"/>
      <c r="U245" s="389"/>
      <c r="V245" s="5"/>
      <c r="W245" s="110"/>
    </row>
    <row r="246" spans="1:23" ht="15.6" x14ac:dyDescent="0.3">
      <c r="A246" s="302"/>
      <c r="B246" s="317" t="s">
        <v>96</v>
      </c>
      <c r="C246" s="387"/>
      <c r="D246" s="387"/>
      <c r="E246" s="387"/>
      <c r="F246" s="272"/>
      <c r="G246" s="388"/>
      <c r="H246" s="387"/>
      <c r="I246" s="387"/>
      <c r="J246" s="387"/>
      <c r="K246" s="387"/>
      <c r="L246" s="387"/>
      <c r="M246" s="387"/>
      <c r="N246" s="387"/>
      <c r="O246" s="387"/>
      <c r="P246" s="317">
        <v>0</v>
      </c>
      <c r="Q246" s="388">
        <f t="shared" si="5"/>
        <v>0</v>
      </c>
      <c r="R246" s="318">
        <v>0</v>
      </c>
      <c r="S246" s="388">
        <f t="shared" si="6"/>
        <v>0</v>
      </c>
      <c r="T246" s="361"/>
      <c r="U246" s="389"/>
      <c r="V246" s="5"/>
    </row>
    <row r="247" spans="1:23" ht="15.6" x14ac:dyDescent="0.3">
      <c r="A247" s="302"/>
      <c r="B247" s="317" t="s">
        <v>171</v>
      </c>
      <c r="C247" s="387"/>
      <c r="D247" s="387"/>
      <c r="E247" s="387"/>
      <c r="F247" s="272"/>
      <c r="G247" s="388"/>
      <c r="H247" s="387"/>
      <c r="I247" s="387"/>
      <c r="J247" s="387"/>
      <c r="K247" s="387"/>
      <c r="L247" s="387"/>
      <c r="M247" s="387"/>
      <c r="N247" s="387"/>
      <c r="O247" s="387"/>
      <c r="P247" s="317">
        <v>2</v>
      </c>
      <c r="Q247" s="388">
        <f t="shared" si="5"/>
        <v>7.5357950263752827E-4</v>
      </c>
      <c r="R247" s="318">
        <v>418</v>
      </c>
      <c r="S247" s="388">
        <f t="shared" si="6"/>
        <v>1.3255323534541535E-3</v>
      </c>
      <c r="T247" s="361"/>
      <c r="U247" s="389"/>
      <c r="V247" s="5"/>
      <c r="W247" s="110"/>
    </row>
    <row r="248" spans="1:23" ht="15.6" x14ac:dyDescent="0.3">
      <c r="A248" s="302"/>
      <c r="B248" s="317" t="s">
        <v>172</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row>
    <row r="249" spans="1:23" ht="15.6" x14ac:dyDescent="0.3">
      <c r="A249" s="302"/>
      <c r="B249" s="317" t="s">
        <v>173</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c r="W249" s="110"/>
    </row>
    <row r="250" spans="1:23" ht="15.6" x14ac:dyDescent="0.3">
      <c r="A250" s="302"/>
      <c r="B250" s="317" t="s">
        <v>174</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row>
    <row r="251" spans="1:23" ht="15.6" x14ac:dyDescent="0.3">
      <c r="A251" s="302"/>
      <c r="B251" s="317" t="s">
        <v>175</v>
      </c>
      <c r="C251" s="387"/>
      <c r="D251" s="387"/>
      <c r="E251" s="387"/>
      <c r="F251" s="272"/>
      <c r="G251" s="388"/>
      <c r="H251" s="387"/>
      <c r="I251" s="387"/>
      <c r="J251" s="387"/>
      <c r="K251" s="387"/>
      <c r="L251" s="387"/>
      <c r="M251" s="387"/>
      <c r="N251" s="387"/>
      <c r="O251" s="387"/>
      <c r="P251" s="317">
        <v>2</v>
      </c>
      <c r="Q251" s="388">
        <f t="shared" si="5"/>
        <v>7.5357950263752827E-4</v>
      </c>
      <c r="R251" s="318">
        <v>371</v>
      </c>
      <c r="S251" s="388">
        <f t="shared" si="6"/>
        <v>1.1764892419413658E-3</v>
      </c>
      <c r="T251" s="361"/>
      <c r="U251" s="389"/>
      <c r="V251" s="5"/>
      <c r="W251" s="110"/>
    </row>
    <row r="252" spans="1:23" ht="15.6" x14ac:dyDescent="0.3">
      <c r="A252" s="302"/>
      <c r="B252" s="317"/>
      <c r="C252" s="387"/>
      <c r="D252" s="387"/>
      <c r="E252" s="387"/>
      <c r="F252" s="272"/>
      <c r="G252" s="388"/>
      <c r="H252" s="387"/>
      <c r="I252" s="387"/>
      <c r="J252" s="387"/>
      <c r="K252" s="387"/>
      <c r="L252" s="387"/>
      <c r="M252" s="387"/>
      <c r="N252" s="387"/>
      <c r="O252" s="387"/>
      <c r="P252" s="317"/>
      <c r="Q252" s="388"/>
      <c r="R252" s="318"/>
      <c r="S252" s="388"/>
      <c r="T252" s="361"/>
      <c r="U252" s="389"/>
      <c r="V252" s="5"/>
    </row>
    <row r="253" spans="1:23" ht="15.6" x14ac:dyDescent="0.3">
      <c r="A253" s="302"/>
      <c r="B253" s="272"/>
      <c r="C253" s="272"/>
      <c r="D253" s="272"/>
      <c r="E253" s="272"/>
      <c r="F253" s="272"/>
      <c r="G253" s="272"/>
      <c r="H253" s="390"/>
      <c r="I253" s="390"/>
      <c r="J253" s="390"/>
      <c r="K253" s="390"/>
      <c r="L253" s="390"/>
      <c r="M253" s="390"/>
      <c r="N253" s="390"/>
      <c r="O253" s="390"/>
      <c r="P253" s="317">
        <f>SUM(P244:P252)</f>
        <v>2654</v>
      </c>
      <c r="Q253" s="388">
        <f>SUM(Q244:Q252)</f>
        <v>1</v>
      </c>
      <c r="R253" s="318">
        <f>SUM(R244:R252)</f>
        <v>315345</v>
      </c>
      <c r="S253" s="388">
        <f>SUM(S244:S252)</f>
        <v>1</v>
      </c>
      <c r="T253" s="272"/>
      <c r="U253" s="275"/>
      <c r="V253" s="5"/>
    </row>
    <row r="254" spans="1:23" ht="15.6" x14ac:dyDescent="0.3">
      <c r="A254" s="177"/>
      <c r="B254" s="314"/>
      <c r="C254" s="314"/>
      <c r="D254" s="314"/>
      <c r="E254" s="314"/>
      <c r="F254" s="314"/>
      <c r="G254" s="314"/>
      <c r="H254" s="384"/>
      <c r="I254" s="384"/>
      <c r="J254" s="384"/>
      <c r="K254" s="384"/>
      <c r="L254" s="384"/>
      <c r="M254" s="384"/>
      <c r="N254" s="384"/>
      <c r="O254" s="384"/>
      <c r="P254" s="315"/>
      <c r="Q254" s="385"/>
      <c r="R254" s="386"/>
      <c r="S254" s="385"/>
      <c r="T254" s="314"/>
      <c r="U254" s="314"/>
      <c r="V254" s="5"/>
    </row>
    <row r="255" spans="1:23" ht="15.6" x14ac:dyDescent="0.3">
      <c r="A255" s="263"/>
      <c r="B255" s="259" t="s">
        <v>279</v>
      </c>
      <c r="C255" s="260"/>
      <c r="D255" s="260"/>
      <c r="E255" s="260"/>
      <c r="F255" s="261"/>
      <c r="G255" s="260"/>
      <c r="H255" s="260"/>
      <c r="I255" s="260"/>
      <c r="J255" s="260"/>
      <c r="K255" s="260"/>
      <c r="L255" s="260"/>
      <c r="M255" s="260"/>
      <c r="N255" s="260"/>
      <c r="O255" s="260"/>
      <c r="P255" s="261" t="s">
        <v>108</v>
      </c>
      <c r="Q255" s="260" t="s">
        <v>109</v>
      </c>
      <c r="R255" s="261" t="s">
        <v>117</v>
      </c>
      <c r="S255" s="260" t="s">
        <v>109</v>
      </c>
      <c r="T255" s="264"/>
      <c r="U255" s="265"/>
      <c r="V255" s="5"/>
    </row>
    <row r="256" spans="1:23" ht="15.6" x14ac:dyDescent="0.3">
      <c r="A256" s="232"/>
      <c r="B256" s="231" t="s">
        <v>94</v>
      </c>
      <c r="C256" s="249"/>
      <c r="D256" s="249"/>
      <c r="E256" s="249"/>
      <c r="F256" s="228"/>
      <c r="G256" s="249"/>
      <c r="H256" s="249"/>
      <c r="I256" s="249"/>
      <c r="J256" s="249"/>
      <c r="K256" s="249"/>
      <c r="L256" s="249"/>
      <c r="M256" s="249"/>
      <c r="N256" s="249"/>
      <c r="O256" s="249"/>
      <c r="P256" s="231">
        <v>48</v>
      </c>
      <c r="Q256" s="250">
        <f t="shared" ref="Q256:Q263" si="7">P256/$P$265</f>
        <v>0.69565217391304346</v>
      </c>
      <c r="R256" s="242">
        <v>7103</v>
      </c>
      <c r="S256" s="250">
        <f t="shared" ref="S256:S263" si="8">R256/$R$265</f>
        <v>0.68016853394618404</v>
      </c>
      <c r="T256" s="228"/>
      <c r="U256" s="194"/>
      <c r="V256" s="5"/>
    </row>
    <row r="257" spans="1:22" ht="15.6" x14ac:dyDescent="0.3">
      <c r="A257" s="302"/>
      <c r="B257" s="317" t="s">
        <v>95</v>
      </c>
      <c r="C257" s="387"/>
      <c r="D257" s="387"/>
      <c r="E257" s="387"/>
      <c r="F257" s="272"/>
      <c r="G257" s="388"/>
      <c r="H257" s="387"/>
      <c r="I257" s="387"/>
      <c r="J257" s="387"/>
      <c r="K257" s="387"/>
      <c r="L257" s="387"/>
      <c r="M257" s="387"/>
      <c r="N257" s="387"/>
      <c r="O257" s="387"/>
      <c r="P257" s="317">
        <v>2</v>
      </c>
      <c r="Q257" s="388">
        <f t="shared" si="7"/>
        <v>2.8985507246376812E-2</v>
      </c>
      <c r="R257" s="318">
        <v>410</v>
      </c>
      <c r="S257" s="388">
        <f t="shared" si="8"/>
        <v>3.9260748826965432E-2</v>
      </c>
      <c r="T257" s="272"/>
      <c r="U257" s="340"/>
      <c r="V257" s="5"/>
    </row>
    <row r="258" spans="1:22" ht="15.6" x14ac:dyDescent="0.3">
      <c r="A258" s="302"/>
      <c r="B258" s="317" t="s">
        <v>96</v>
      </c>
      <c r="C258" s="387"/>
      <c r="D258" s="387"/>
      <c r="E258" s="387"/>
      <c r="F258" s="272"/>
      <c r="G258" s="388"/>
      <c r="H258" s="387"/>
      <c r="I258" s="387"/>
      <c r="J258" s="387"/>
      <c r="K258" s="387"/>
      <c r="L258" s="387"/>
      <c r="M258" s="387"/>
      <c r="N258" s="387"/>
      <c r="O258" s="387"/>
      <c r="P258" s="317">
        <v>2</v>
      </c>
      <c r="Q258" s="388">
        <f t="shared" si="7"/>
        <v>2.8985507246376812E-2</v>
      </c>
      <c r="R258" s="318">
        <v>385</v>
      </c>
      <c r="S258" s="388">
        <f t="shared" si="8"/>
        <v>3.6866800727760225E-2</v>
      </c>
      <c r="T258" s="272"/>
      <c r="U258" s="340"/>
      <c r="V258" s="5"/>
    </row>
    <row r="259" spans="1:22" ht="15.6" x14ac:dyDescent="0.3">
      <c r="A259" s="302"/>
      <c r="B259" s="317" t="s">
        <v>171</v>
      </c>
      <c r="C259" s="387"/>
      <c r="D259" s="387"/>
      <c r="E259" s="387"/>
      <c r="F259" s="272"/>
      <c r="G259" s="388"/>
      <c r="H259" s="387"/>
      <c r="I259" s="387"/>
      <c r="J259" s="387"/>
      <c r="K259" s="387"/>
      <c r="L259" s="387"/>
      <c r="M259" s="387"/>
      <c r="N259" s="387"/>
      <c r="O259" s="387"/>
      <c r="P259" s="317">
        <v>2</v>
      </c>
      <c r="Q259" s="388">
        <f t="shared" si="7"/>
        <v>2.8985507246376812E-2</v>
      </c>
      <c r="R259" s="318">
        <v>282</v>
      </c>
      <c r="S259" s="388">
        <f t="shared" si="8"/>
        <v>2.7003734559034761E-2</v>
      </c>
      <c r="T259" s="272"/>
      <c r="U259" s="340"/>
      <c r="V259" s="5"/>
    </row>
    <row r="260" spans="1:22" ht="15.6" x14ac:dyDescent="0.3">
      <c r="A260" s="302"/>
      <c r="B260" s="317" t="s">
        <v>172</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173</v>
      </c>
      <c r="C261" s="387"/>
      <c r="D261" s="387"/>
      <c r="E261" s="387"/>
      <c r="F261" s="272"/>
      <c r="G261" s="388"/>
      <c r="H261" s="387"/>
      <c r="I261" s="387"/>
      <c r="J261" s="387"/>
      <c r="K261" s="387"/>
      <c r="L261" s="387"/>
      <c r="M261" s="387"/>
      <c r="N261" s="387"/>
      <c r="O261" s="387"/>
      <c r="P261" s="317">
        <v>1</v>
      </c>
      <c r="Q261" s="388">
        <f t="shared" si="7"/>
        <v>1.4492753623188406E-2</v>
      </c>
      <c r="R261" s="318">
        <v>71</v>
      </c>
      <c r="S261" s="388">
        <f t="shared" si="8"/>
        <v>6.798812601742794E-3</v>
      </c>
      <c r="T261" s="272"/>
      <c r="U261" s="340"/>
      <c r="V261" s="5"/>
    </row>
    <row r="262" spans="1:22" ht="15.6" x14ac:dyDescent="0.3">
      <c r="A262" s="302"/>
      <c r="B262" s="317" t="s">
        <v>174</v>
      </c>
      <c r="C262" s="387"/>
      <c r="D262" s="387"/>
      <c r="E262" s="387"/>
      <c r="F262" s="272"/>
      <c r="G262" s="388"/>
      <c r="H262" s="387"/>
      <c r="I262" s="387"/>
      <c r="J262" s="387"/>
      <c r="K262" s="387"/>
      <c r="L262" s="387"/>
      <c r="M262" s="387"/>
      <c r="N262" s="387"/>
      <c r="O262" s="387"/>
      <c r="P262" s="317">
        <v>2</v>
      </c>
      <c r="Q262" s="388">
        <f t="shared" si="7"/>
        <v>2.8985507246376812E-2</v>
      </c>
      <c r="R262" s="318">
        <v>203</v>
      </c>
      <c r="S262" s="388">
        <f t="shared" si="8"/>
        <v>1.9438858565546301E-2</v>
      </c>
      <c r="T262" s="272"/>
      <c r="U262" s="340"/>
      <c r="V262" s="5"/>
    </row>
    <row r="263" spans="1:22" ht="15.6" x14ac:dyDescent="0.3">
      <c r="A263" s="302"/>
      <c r="B263" s="317" t="s">
        <v>175</v>
      </c>
      <c r="C263" s="387"/>
      <c r="D263" s="387"/>
      <c r="E263" s="387"/>
      <c r="F263" s="272"/>
      <c r="G263" s="388"/>
      <c r="H263" s="387"/>
      <c r="I263" s="387"/>
      <c r="J263" s="387"/>
      <c r="K263" s="387"/>
      <c r="L263" s="387"/>
      <c r="M263" s="387"/>
      <c r="N263" s="387"/>
      <c r="O263" s="387"/>
      <c r="P263" s="317">
        <v>12</v>
      </c>
      <c r="Q263" s="388">
        <f t="shared" si="7"/>
        <v>0.17391304347826086</v>
      </c>
      <c r="R263" s="318">
        <v>1989</v>
      </c>
      <c r="S263" s="388">
        <f t="shared" si="8"/>
        <v>0.19046251077276644</v>
      </c>
      <c r="T263" s="272"/>
      <c r="U263" s="340"/>
      <c r="V263" s="5"/>
    </row>
    <row r="264" spans="1:22" ht="15.6" x14ac:dyDescent="0.3">
      <c r="A264" s="302"/>
      <c r="B264" s="317"/>
      <c r="C264" s="387"/>
      <c r="D264" s="387"/>
      <c r="E264" s="387"/>
      <c r="F264" s="272"/>
      <c r="G264" s="388"/>
      <c r="H264" s="387"/>
      <c r="I264" s="387"/>
      <c r="J264" s="387"/>
      <c r="K264" s="387"/>
      <c r="L264" s="387"/>
      <c r="M264" s="387"/>
      <c r="N264" s="387"/>
      <c r="O264" s="387"/>
      <c r="P264" s="317"/>
      <c r="Q264" s="388"/>
      <c r="R264" s="318"/>
      <c r="S264" s="388"/>
      <c r="T264" s="272"/>
      <c r="U264" s="340"/>
      <c r="V264" s="5"/>
    </row>
    <row r="265" spans="1:22" ht="15.6" x14ac:dyDescent="0.3">
      <c r="A265" s="302"/>
      <c r="B265" s="272"/>
      <c r="C265" s="272"/>
      <c r="D265" s="272"/>
      <c r="E265" s="272"/>
      <c r="F265" s="272"/>
      <c r="G265" s="272"/>
      <c r="H265" s="390"/>
      <c r="I265" s="390"/>
      <c r="J265" s="390"/>
      <c r="K265" s="390"/>
      <c r="L265" s="390"/>
      <c r="M265" s="390"/>
      <c r="N265" s="390"/>
      <c r="O265" s="390"/>
      <c r="P265" s="317">
        <f>SUM(P256:P264)</f>
        <v>69</v>
      </c>
      <c r="Q265" s="388">
        <f>SUM(Q256:Q264)</f>
        <v>1</v>
      </c>
      <c r="R265" s="318">
        <f>SUM(R256:R264)</f>
        <v>10443</v>
      </c>
      <c r="S265" s="388">
        <f>SUM(S256:S264)</f>
        <v>0.99999999999999989</v>
      </c>
      <c r="T265" s="272"/>
      <c r="U265" s="340"/>
      <c r="V265" s="5"/>
    </row>
    <row r="266" spans="1:22" ht="15.6" x14ac:dyDescent="0.3">
      <c r="A266" s="233"/>
      <c r="B266" s="268"/>
      <c r="C266" s="268"/>
      <c r="D266" s="268"/>
      <c r="E266" s="268"/>
      <c r="F266" s="268"/>
      <c r="G266" s="268"/>
      <c r="H266" s="391"/>
      <c r="I266" s="391"/>
      <c r="J266" s="391"/>
      <c r="K266" s="391"/>
      <c r="L266" s="391"/>
      <c r="M266" s="391"/>
      <c r="N266" s="391"/>
      <c r="O266" s="391"/>
      <c r="P266" s="333"/>
      <c r="Q266" s="392"/>
      <c r="R266" s="393"/>
      <c r="S266" s="392"/>
      <c r="T266" s="268"/>
      <c r="U266" s="314"/>
      <c r="V266" s="5"/>
    </row>
    <row r="267" spans="1:22" ht="15.6" x14ac:dyDescent="0.3">
      <c r="A267" s="263"/>
      <c r="B267" s="259" t="s">
        <v>179</v>
      </c>
      <c r="C267" s="264"/>
      <c r="D267" s="264"/>
      <c r="E267" s="264"/>
      <c r="F267" s="264"/>
      <c r="G267" s="264"/>
      <c r="H267" s="266"/>
      <c r="I267" s="266"/>
      <c r="J267" s="266"/>
      <c r="K267" s="266"/>
      <c r="L267" s="266"/>
      <c r="M267" s="266"/>
      <c r="N267" s="266"/>
      <c r="O267" s="266"/>
      <c r="P267" s="261" t="s">
        <v>108</v>
      </c>
      <c r="Q267" s="260" t="s">
        <v>109</v>
      </c>
      <c r="R267" s="261" t="s">
        <v>117</v>
      </c>
      <c r="S267" s="260" t="s">
        <v>109</v>
      </c>
      <c r="T267" s="264"/>
      <c r="U267" s="265"/>
      <c r="V267" s="5"/>
    </row>
    <row r="268" spans="1:22" ht="15.6" x14ac:dyDescent="0.3">
      <c r="A268" s="232"/>
      <c r="B268" s="231" t="s">
        <v>94</v>
      </c>
      <c r="C268" s="228"/>
      <c r="D268" s="228"/>
      <c r="E268" s="228"/>
      <c r="F268" s="228"/>
      <c r="G268" s="228"/>
      <c r="H268" s="251"/>
      <c r="I268" s="251"/>
      <c r="J268" s="251"/>
      <c r="K268" s="251"/>
      <c r="L268" s="251"/>
      <c r="M268" s="251"/>
      <c r="N268" s="251"/>
      <c r="O268" s="251"/>
      <c r="P268" s="231">
        <v>0</v>
      </c>
      <c r="Q268" s="250">
        <v>0</v>
      </c>
      <c r="R268" s="242">
        <v>0</v>
      </c>
      <c r="S268" s="250">
        <v>0</v>
      </c>
      <c r="T268" s="228"/>
      <c r="U268" s="194"/>
      <c r="V268" s="5"/>
    </row>
    <row r="269" spans="1:22" ht="15.6" x14ac:dyDescent="0.3">
      <c r="A269" s="302"/>
      <c r="B269" s="317" t="s">
        <v>95</v>
      </c>
      <c r="C269" s="272"/>
      <c r="D269" s="272"/>
      <c r="E269" s="272"/>
      <c r="F269" s="272"/>
      <c r="G269" s="272"/>
      <c r="H269" s="390"/>
      <c r="I269" s="390"/>
      <c r="J269" s="390"/>
      <c r="K269" s="390"/>
      <c r="L269" s="390"/>
      <c r="M269" s="390"/>
      <c r="N269" s="390"/>
      <c r="O269" s="390"/>
      <c r="P269" s="317">
        <v>0</v>
      </c>
      <c r="Q269" s="388">
        <v>0</v>
      </c>
      <c r="R269" s="318">
        <v>0</v>
      </c>
      <c r="S269" s="388">
        <v>0</v>
      </c>
      <c r="T269" s="272"/>
      <c r="U269" s="340"/>
      <c r="V269" s="5"/>
    </row>
    <row r="270" spans="1:22" ht="15.6" x14ac:dyDescent="0.3">
      <c r="A270" s="302"/>
      <c r="B270" s="317" t="s">
        <v>96</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171</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172</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173</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174</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175</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c r="C276" s="272"/>
      <c r="D276" s="272"/>
      <c r="E276" s="272"/>
      <c r="F276" s="272"/>
      <c r="G276" s="272"/>
      <c r="H276" s="390"/>
      <c r="I276" s="390"/>
      <c r="J276" s="390"/>
      <c r="K276" s="390"/>
      <c r="L276" s="390"/>
      <c r="M276" s="390"/>
      <c r="N276" s="390"/>
      <c r="O276" s="390"/>
      <c r="P276" s="317"/>
      <c r="Q276" s="388"/>
      <c r="R276" s="318"/>
      <c r="S276" s="388"/>
      <c r="T276" s="272"/>
      <c r="U276" s="340"/>
      <c r="V276" s="5"/>
    </row>
    <row r="277" spans="1:22" ht="15.6" x14ac:dyDescent="0.3">
      <c r="A277" s="302"/>
      <c r="B277" s="272" t="s">
        <v>123</v>
      </c>
      <c r="C277" s="272"/>
      <c r="D277" s="272"/>
      <c r="E277" s="272"/>
      <c r="F277" s="272"/>
      <c r="G277" s="272"/>
      <c r="H277" s="390"/>
      <c r="I277" s="390"/>
      <c r="J277" s="390"/>
      <c r="K277" s="390"/>
      <c r="L277" s="390"/>
      <c r="M277" s="390"/>
      <c r="N277" s="390"/>
      <c r="O277" s="390"/>
      <c r="P277" s="317">
        <f>SUM(P268:P275)</f>
        <v>0</v>
      </c>
      <c r="Q277" s="388">
        <f>SUM(Q268:Q275)</f>
        <v>0</v>
      </c>
      <c r="R277" s="318">
        <f>SUM(R268:R275)</f>
        <v>0</v>
      </c>
      <c r="S277" s="388">
        <f>SUM(S268:S275)</f>
        <v>0</v>
      </c>
      <c r="T277" s="272"/>
      <c r="U277" s="340"/>
      <c r="V277" s="5"/>
    </row>
    <row r="278" spans="1:22" ht="15.6" x14ac:dyDescent="0.3">
      <c r="A278" s="302"/>
      <c r="B278" s="272"/>
      <c r="C278" s="272"/>
      <c r="D278" s="272"/>
      <c r="E278" s="272"/>
      <c r="F278" s="272"/>
      <c r="G278" s="272"/>
      <c r="H278" s="390"/>
      <c r="I278" s="390"/>
      <c r="J278" s="390"/>
      <c r="K278" s="390"/>
      <c r="L278" s="390"/>
      <c r="M278" s="390"/>
      <c r="N278" s="390"/>
      <c r="O278" s="390"/>
      <c r="P278" s="317"/>
      <c r="Q278" s="388"/>
      <c r="R278" s="318"/>
      <c r="S278" s="388"/>
      <c r="T278" s="272"/>
      <c r="U278" s="340"/>
      <c r="V278" s="5"/>
    </row>
    <row r="279" spans="1:22" ht="15.6" x14ac:dyDescent="0.3">
      <c r="A279" s="302"/>
      <c r="B279" s="394" t="s">
        <v>180</v>
      </c>
      <c r="C279" s="272"/>
      <c r="D279" s="272"/>
      <c r="E279" s="272"/>
      <c r="F279" s="272"/>
      <c r="G279" s="272"/>
      <c r="H279" s="390"/>
      <c r="I279" s="390"/>
      <c r="J279" s="390"/>
      <c r="K279" s="390"/>
      <c r="L279" s="390"/>
      <c r="M279" s="390"/>
      <c r="N279" s="390"/>
      <c r="O279" s="390"/>
      <c r="P279" s="395">
        <f>+P253+P265+P277</f>
        <v>2723</v>
      </c>
      <c r="Q279" s="388"/>
      <c r="R279" s="396">
        <f>+R277+R265+R253</f>
        <v>325788</v>
      </c>
      <c r="S279" s="388"/>
      <c r="T279" s="272"/>
      <c r="U279" s="340"/>
      <c r="V279" s="5"/>
    </row>
    <row r="280" spans="1:22" ht="15.6" x14ac:dyDescent="0.3">
      <c r="A280" s="233"/>
      <c r="B280" s="268"/>
      <c r="C280" s="268"/>
      <c r="D280" s="268"/>
      <c r="E280" s="268"/>
      <c r="F280" s="268"/>
      <c r="G280" s="268"/>
      <c r="H280" s="391"/>
      <c r="I280" s="391"/>
      <c r="J280" s="391"/>
      <c r="K280" s="391"/>
      <c r="L280" s="391"/>
      <c r="M280" s="391"/>
      <c r="N280" s="391"/>
      <c r="O280" s="391"/>
      <c r="P280" s="391"/>
      <c r="Q280" s="391"/>
      <c r="R280" s="393"/>
      <c r="S280" s="391"/>
      <c r="T280" s="268"/>
      <c r="U280" s="314"/>
      <c r="V280" s="5"/>
    </row>
    <row r="281" spans="1:22" ht="15.6" x14ac:dyDescent="0.3">
      <c r="A281" s="233"/>
      <c r="B281" s="234"/>
      <c r="C281" s="234"/>
      <c r="D281" s="234"/>
      <c r="E281" s="234"/>
      <c r="F281" s="234"/>
      <c r="G281" s="234"/>
      <c r="H281" s="252"/>
      <c r="I281" s="252"/>
      <c r="J281" s="252"/>
      <c r="K281" s="252"/>
      <c r="L281" s="252"/>
      <c r="M281" s="252"/>
      <c r="N281" s="252"/>
      <c r="O281" s="252"/>
      <c r="P281" s="252"/>
      <c r="Q281" s="252"/>
      <c r="R281" s="253"/>
      <c r="S281" s="252"/>
      <c r="T281" s="234"/>
      <c r="U281" s="179"/>
      <c r="V281" s="5"/>
    </row>
    <row r="282" spans="1:22" ht="15.6" x14ac:dyDescent="0.3">
      <c r="A282" s="254"/>
      <c r="B282" s="220" t="s">
        <v>97</v>
      </c>
      <c r="C282" s="234"/>
      <c r="D282" s="234"/>
      <c r="E282" s="234"/>
      <c r="F282" s="225" t="s">
        <v>103</v>
      </c>
      <c r="G282" s="234"/>
      <c r="H282" s="220" t="s">
        <v>105</v>
      </c>
      <c r="I282" s="255"/>
      <c r="J282" s="255"/>
      <c r="K282" s="255"/>
      <c r="L282" s="255"/>
      <c r="M282" s="255"/>
      <c r="N282" s="255"/>
      <c r="O282" s="255"/>
      <c r="P282" s="255"/>
      <c r="Q282" s="255"/>
      <c r="R282" s="255"/>
      <c r="S282" s="255"/>
      <c r="T282" s="255"/>
      <c r="U282" s="192"/>
      <c r="V282" s="5"/>
    </row>
    <row r="283" spans="1:22" ht="15.6" x14ac:dyDescent="0.3">
      <c r="A283" s="254"/>
      <c r="B283" s="255"/>
      <c r="C283" s="234"/>
      <c r="D283" s="234"/>
      <c r="E283" s="234"/>
      <c r="F283" s="234"/>
      <c r="G283" s="234"/>
      <c r="H283" s="234"/>
      <c r="I283" s="255"/>
      <c r="J283" s="255"/>
      <c r="K283" s="255"/>
      <c r="L283" s="255"/>
      <c r="M283" s="255"/>
      <c r="N283" s="255"/>
      <c r="O283" s="255"/>
      <c r="P283" s="255"/>
      <c r="Q283" s="255"/>
      <c r="R283" s="255"/>
      <c r="S283" s="255"/>
      <c r="T283" s="255"/>
      <c r="U283" s="192"/>
      <c r="V283" s="5"/>
    </row>
    <row r="284" spans="1:22" ht="15.6" x14ac:dyDescent="0.3">
      <c r="A284" s="254"/>
      <c r="B284" s="220" t="s">
        <v>98</v>
      </c>
      <c r="C284" s="220"/>
      <c r="D284" s="220"/>
      <c r="E284" s="220"/>
      <c r="F284" s="256" t="s">
        <v>159</v>
      </c>
      <c r="G284" s="220"/>
      <c r="H284" s="220" t="s">
        <v>167</v>
      </c>
      <c r="I284" s="255"/>
      <c r="J284" s="255"/>
      <c r="K284" s="255"/>
      <c r="L284" s="255"/>
      <c r="M284" s="255"/>
      <c r="N284" s="255"/>
      <c r="O284" s="255"/>
      <c r="P284" s="255"/>
      <c r="Q284" s="255"/>
      <c r="R284" s="255"/>
      <c r="S284" s="255"/>
      <c r="T284" s="255"/>
      <c r="U284" s="192"/>
      <c r="V284" s="5"/>
    </row>
    <row r="285" spans="1:22" ht="15.6" x14ac:dyDescent="0.3">
      <c r="A285" s="254"/>
      <c r="B285" s="220" t="s">
        <v>273</v>
      </c>
      <c r="C285" s="220"/>
      <c r="D285" s="220"/>
      <c r="E285" s="220"/>
      <c r="F285" s="256" t="s">
        <v>274</v>
      </c>
      <c r="G285" s="220"/>
      <c r="H285" s="220" t="s">
        <v>275</v>
      </c>
      <c r="I285" s="255"/>
      <c r="J285" s="255"/>
      <c r="K285" s="255"/>
      <c r="L285" s="255"/>
      <c r="M285" s="255"/>
      <c r="N285" s="255"/>
      <c r="O285" s="255"/>
      <c r="P285" s="255"/>
      <c r="Q285" s="255"/>
      <c r="R285" s="255"/>
      <c r="S285" s="255"/>
      <c r="T285" s="255"/>
      <c r="U285" s="192"/>
      <c r="V285" s="5"/>
    </row>
    <row r="286" spans="1:22" ht="15.6" x14ac:dyDescent="0.3">
      <c r="A286" s="254"/>
      <c r="B286" s="220" t="s">
        <v>99</v>
      </c>
      <c r="C286" s="220"/>
      <c r="D286" s="220"/>
      <c r="E286" s="220"/>
      <c r="F286" s="256" t="s">
        <v>158</v>
      </c>
      <c r="G286" s="220"/>
      <c r="H286" s="220" t="s">
        <v>168</v>
      </c>
      <c r="I286" s="255"/>
      <c r="J286" s="255"/>
      <c r="K286" s="255"/>
      <c r="L286" s="255"/>
      <c r="M286" s="255"/>
      <c r="N286" s="255"/>
      <c r="O286" s="255"/>
      <c r="P286" s="255"/>
      <c r="Q286" s="255"/>
      <c r="R286" s="255"/>
      <c r="S286" s="255"/>
      <c r="T286" s="255"/>
      <c r="U286" s="192"/>
      <c r="V286" s="5"/>
    </row>
    <row r="287" spans="1:22" ht="15.6" x14ac:dyDescent="0.3">
      <c r="A287" s="254"/>
      <c r="B287" s="220"/>
      <c r="C287" s="220"/>
      <c r="D287" s="220"/>
      <c r="E287" s="220"/>
      <c r="F287" s="220"/>
      <c r="G287" s="257"/>
      <c r="H287" s="255"/>
      <c r="I287" s="255"/>
      <c r="J287" s="255"/>
      <c r="K287" s="255"/>
      <c r="L287" s="255"/>
      <c r="M287" s="255"/>
      <c r="N287" s="255"/>
      <c r="O287" s="255"/>
      <c r="P287" s="255"/>
      <c r="Q287" s="255"/>
      <c r="R287" s="255"/>
      <c r="S287" s="255"/>
      <c r="T287" s="255"/>
      <c r="U287" s="192"/>
      <c r="V287" s="5"/>
    </row>
    <row r="288" spans="1:22" ht="15.6" x14ac:dyDescent="0.3">
      <c r="A288" s="216"/>
      <c r="B288" s="185"/>
      <c r="C288" s="185"/>
      <c r="D288" s="185"/>
      <c r="E288" s="185"/>
      <c r="F288" s="185"/>
      <c r="G288" s="217"/>
      <c r="H288" s="192"/>
      <c r="I288" s="192"/>
      <c r="J288" s="192"/>
      <c r="K288" s="192"/>
      <c r="L288" s="192"/>
      <c r="M288" s="192"/>
      <c r="N288" s="192"/>
      <c r="O288" s="192"/>
      <c r="P288" s="192"/>
      <c r="Q288" s="192"/>
      <c r="R288" s="192"/>
      <c r="S288" s="192"/>
      <c r="T288" s="192"/>
      <c r="U288" s="192"/>
      <c r="V288" s="5"/>
    </row>
    <row r="289" spans="1:22" ht="18" thickBot="1" x14ac:dyDescent="0.35">
      <c r="A289" s="216"/>
      <c r="B289" s="267" t="str">
        <f>B194</f>
        <v>PM9 INVESTOR REPORT QUARTER ENDING JULY 2010</v>
      </c>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x14ac:dyDescent="0.25">
      <c r="A290" s="101"/>
      <c r="B290" s="101"/>
      <c r="C290" s="101"/>
      <c r="D290" s="101"/>
      <c r="E290" s="101"/>
      <c r="F290" s="101"/>
      <c r="G290" s="101"/>
      <c r="H290" s="101"/>
      <c r="I290" s="101"/>
      <c r="J290" s="101"/>
      <c r="K290" s="101"/>
      <c r="L290" s="101"/>
      <c r="M290" s="101"/>
      <c r="N290" s="101"/>
      <c r="O290" s="101"/>
      <c r="P290" s="101"/>
      <c r="Q290" s="101"/>
      <c r="R290" s="101"/>
      <c r="S290" s="101"/>
      <c r="T290" s="101"/>
      <c r="U290" s="101"/>
    </row>
  </sheetData>
  <phoneticPr fontId="0" type="noConversion"/>
  <hyperlinks>
    <hyperlink ref="J9" r:id="rId1" xr:uid="{00000000-0004-0000-1300-000000000000}"/>
    <hyperlink ref="N229" r:id="rId2" xr:uid="{00000000-0004-0000-13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1" man="1"/>
    <brk id="133" max="14" man="1"/>
    <brk id="194" max="14"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89CB31"/>
  </sheetPr>
  <dimension ref="A1:W290"/>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0.71760000000000002</v>
      </c>
      <c r="R16" s="225" t="s">
        <v>149</v>
      </c>
      <c r="S16" s="224">
        <v>0.28239999999999998</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40500</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28"/>
      <c r="D22" s="328" t="s">
        <v>185</v>
      </c>
      <c r="E22" s="328"/>
      <c r="F22" s="328" t="s">
        <v>186</v>
      </c>
      <c r="G22" s="328"/>
      <c r="H22" s="328" t="s">
        <v>187</v>
      </c>
      <c r="I22" s="328"/>
      <c r="J22" s="328" t="s">
        <v>188</v>
      </c>
      <c r="K22" s="328"/>
      <c r="L22" s="328" t="s">
        <v>189</v>
      </c>
      <c r="M22" s="328"/>
      <c r="N22" s="328" t="s">
        <v>190</v>
      </c>
      <c r="O22" s="328"/>
      <c r="P22" s="328" t="s">
        <v>191</v>
      </c>
      <c r="Q22" s="329"/>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278"/>
      <c r="D25" s="278" t="s">
        <v>150</v>
      </c>
      <c r="E25" s="278"/>
      <c r="F25" s="278" t="s">
        <v>150</v>
      </c>
      <c r="G25" s="278"/>
      <c r="H25" s="278" t="s">
        <v>150</v>
      </c>
      <c r="I25" s="278"/>
      <c r="J25" s="278" t="s">
        <v>192</v>
      </c>
      <c r="K25" s="278"/>
      <c r="L25" s="278" t="s">
        <v>192</v>
      </c>
      <c r="M25" s="278"/>
      <c r="N25" s="278" t="s">
        <v>151</v>
      </c>
      <c r="O25" s="278"/>
      <c r="P25" s="278" t="s">
        <v>151</v>
      </c>
      <c r="Q25" s="278"/>
      <c r="R25" s="273"/>
      <c r="S25" s="274"/>
      <c r="T25" s="274"/>
      <c r="U25" s="275"/>
      <c r="V25" s="5"/>
    </row>
    <row r="26" spans="1:22" ht="15.6" x14ac:dyDescent="0.3">
      <c r="A26" s="276"/>
      <c r="B26" s="277" t="s">
        <v>10</v>
      </c>
      <c r="C26" s="278"/>
      <c r="D26" s="278" t="s">
        <v>152</v>
      </c>
      <c r="E26" s="278"/>
      <c r="F26" s="278" t="s">
        <v>152</v>
      </c>
      <c r="G26" s="278"/>
      <c r="H26" s="278" t="s">
        <v>152</v>
      </c>
      <c r="I26" s="278"/>
      <c r="J26" s="278" t="s">
        <v>193</v>
      </c>
      <c r="K26" s="278"/>
      <c r="L26" s="278" t="s">
        <v>193</v>
      </c>
      <c r="M26" s="278"/>
      <c r="N26" s="278" t="s">
        <v>153</v>
      </c>
      <c r="O26" s="278"/>
      <c r="P26" s="278" t="s">
        <v>153</v>
      </c>
      <c r="Q26" s="27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140325.0056</v>
      </c>
      <c r="E30" s="280"/>
      <c r="F30" s="282">
        <f>F29*F36</f>
        <v>143975.07800000001</v>
      </c>
      <c r="G30" s="281"/>
      <c r="H30" s="283">
        <f>H29*H36</f>
        <v>24333.768</v>
      </c>
      <c r="I30" s="281"/>
      <c r="J30" s="281">
        <f>J29*J36</f>
        <v>6718.0105999999996</v>
      </c>
      <c r="K30" s="281"/>
      <c r="L30" s="282">
        <f>L29*L36</f>
        <v>28311.616099999999</v>
      </c>
      <c r="M30" s="281"/>
      <c r="N30" s="284">
        <f>N29*N36</f>
        <v>2879.1473999999998</v>
      </c>
      <c r="O30" s="281"/>
      <c r="P30" s="282">
        <f>P29*P36</f>
        <v>63341.2428</v>
      </c>
      <c r="Q30" s="281"/>
      <c r="R30" s="281"/>
      <c r="S30" s="285"/>
      <c r="T30" s="281"/>
      <c r="U30" s="286"/>
      <c r="V30" s="5"/>
    </row>
    <row r="31" spans="1:22" ht="15.6" x14ac:dyDescent="0.3">
      <c r="A31" s="276"/>
      <c r="B31" s="277" t="s">
        <v>143</v>
      </c>
      <c r="C31" s="287"/>
      <c r="D31" s="288">
        <f>D35*D29</f>
        <v>139785.66080000001</v>
      </c>
      <c r="E31" s="287"/>
      <c r="F31" s="289">
        <f>F35*F29</f>
        <v>143421.704</v>
      </c>
      <c r="G31" s="288"/>
      <c r="H31" s="290">
        <f>H35*H29</f>
        <v>24240.239999999998</v>
      </c>
      <c r="I31" s="288"/>
      <c r="J31" s="288">
        <f>J35*J29</f>
        <v>6435.2190000000001</v>
      </c>
      <c r="K31" s="288"/>
      <c r="L31" s="289">
        <f>L35*L29</f>
        <v>27119.851500000001</v>
      </c>
      <c r="M31" s="288"/>
      <c r="N31" s="291">
        <f>N35*N29</f>
        <v>2757.951</v>
      </c>
      <c r="O31" s="288"/>
      <c r="P31" s="289">
        <f>P35*P29</f>
        <v>60674.922000000006</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140325.0056</v>
      </c>
      <c r="E33" s="280"/>
      <c r="F33" s="281">
        <f>F32*F36</f>
        <v>99160.300200000012</v>
      </c>
      <c r="G33" s="281"/>
      <c r="H33" s="281">
        <f>H32*H36</f>
        <v>13748.57892</v>
      </c>
      <c r="I33" s="281"/>
      <c r="J33" s="281">
        <f>J32*J36</f>
        <v>6718.0105999999996</v>
      </c>
      <c r="K33" s="281"/>
      <c r="L33" s="281">
        <f>L32*L36</f>
        <v>19482.230739999999</v>
      </c>
      <c r="M33" s="281"/>
      <c r="N33" s="281">
        <f>N32*N36</f>
        <v>2879.1473999999998</v>
      </c>
      <c r="O33" s="281"/>
      <c r="P33" s="281">
        <f>P32*P36</f>
        <v>43475.125740000003</v>
      </c>
      <c r="Q33" s="281"/>
      <c r="R33" s="281"/>
      <c r="S33" s="285"/>
      <c r="T33" s="281">
        <f>SUM(C33:P33)</f>
        <v>325788.39920000004</v>
      </c>
      <c r="U33" s="286"/>
      <c r="V33" s="5"/>
    </row>
    <row r="34" spans="1:22" ht="15.6" x14ac:dyDescent="0.3">
      <c r="A34" s="276"/>
      <c r="B34" s="277" t="s">
        <v>291</v>
      </c>
      <c r="C34" s="287"/>
      <c r="D34" s="288">
        <f>D35*D32</f>
        <v>139785.66080000001</v>
      </c>
      <c r="E34" s="287"/>
      <c r="F34" s="288">
        <f>F35*F32</f>
        <v>98779.173599999995</v>
      </c>
      <c r="G34" s="288"/>
      <c r="H34" s="288">
        <f>H35*H32</f>
        <v>13695.7356</v>
      </c>
      <c r="I34" s="288"/>
      <c r="J34" s="288">
        <f>J35*J32</f>
        <v>6435.2190000000001</v>
      </c>
      <c r="K34" s="288"/>
      <c r="L34" s="288">
        <f>L35*L32</f>
        <v>18662.1351</v>
      </c>
      <c r="M34" s="288"/>
      <c r="N34" s="288">
        <f>N35*N32</f>
        <v>2757.951</v>
      </c>
      <c r="O34" s="288"/>
      <c r="P34" s="288">
        <f>P35*P32</f>
        <v>41645.060100000002</v>
      </c>
      <c r="Q34" s="288"/>
      <c r="R34" s="288"/>
      <c r="S34" s="292"/>
      <c r="T34" s="288">
        <f>SUM(C34:P34)</f>
        <v>321760.93520000001</v>
      </c>
      <c r="U34" s="286"/>
      <c r="V34" s="5"/>
    </row>
    <row r="35" spans="1:22" ht="15.6" x14ac:dyDescent="0.3">
      <c r="A35" s="276"/>
      <c r="B35" s="293" t="s">
        <v>139</v>
      </c>
      <c r="C35" s="294"/>
      <c r="D35" s="295">
        <v>0.4040048</v>
      </c>
      <c r="E35" s="296"/>
      <c r="F35" s="295">
        <v>0.4040048</v>
      </c>
      <c r="G35" s="295"/>
      <c r="H35" s="295">
        <v>0.40400399999999997</v>
      </c>
      <c r="I35" s="297"/>
      <c r="J35" s="295">
        <v>0.91931700000000005</v>
      </c>
      <c r="K35" s="297"/>
      <c r="L35" s="295">
        <v>0.91931700000000005</v>
      </c>
      <c r="M35" s="297"/>
      <c r="N35" s="295">
        <v>0.91931700000000005</v>
      </c>
      <c r="O35" s="297"/>
      <c r="P35" s="295">
        <v>0.91931700000000005</v>
      </c>
      <c r="Q35" s="298"/>
      <c r="R35" s="298"/>
      <c r="S35" s="299"/>
      <c r="T35" s="298"/>
      <c r="U35" s="300"/>
      <c r="V35" s="5"/>
    </row>
    <row r="36" spans="1:22" ht="15.6" x14ac:dyDescent="0.3">
      <c r="A36" s="276"/>
      <c r="B36" s="293" t="s">
        <v>140</v>
      </c>
      <c r="C36" s="294"/>
      <c r="D36" s="295">
        <v>0.40556360000000002</v>
      </c>
      <c r="E36" s="296"/>
      <c r="F36" s="295">
        <v>0.40556360000000002</v>
      </c>
      <c r="G36" s="295"/>
      <c r="H36" s="295">
        <v>0.4055628</v>
      </c>
      <c r="I36" s="297"/>
      <c r="J36" s="295">
        <v>0.95971580000000001</v>
      </c>
      <c r="K36" s="297"/>
      <c r="L36" s="295">
        <v>0.95971580000000001</v>
      </c>
      <c r="M36" s="297"/>
      <c r="N36" s="295">
        <v>0.95971580000000001</v>
      </c>
      <c r="O36" s="297"/>
      <c r="P36" s="295">
        <v>0.95971580000000001</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1.09E-2</v>
      </c>
      <c r="E38" s="272"/>
      <c r="F38" s="303">
        <v>1.259E-2</v>
      </c>
      <c r="G38" s="304"/>
      <c r="H38" s="303">
        <v>7.3625000000000001E-3</v>
      </c>
      <c r="I38" s="304"/>
      <c r="J38" s="303">
        <v>1.3100000000000001E-2</v>
      </c>
      <c r="K38" s="304"/>
      <c r="L38" s="303">
        <v>1.4789999999999999E-2</v>
      </c>
      <c r="M38" s="304"/>
      <c r="N38" s="303">
        <v>1.77E-2</v>
      </c>
      <c r="O38" s="304"/>
      <c r="P38" s="303">
        <v>1.9390000000000001E-2</v>
      </c>
      <c r="Q38" s="304"/>
      <c r="R38" s="303"/>
      <c r="S38" s="274"/>
      <c r="T38" s="304"/>
      <c r="U38" s="275"/>
      <c r="V38" s="5"/>
    </row>
    <row r="39" spans="1:22" ht="15.6" x14ac:dyDescent="0.3">
      <c r="A39" s="302"/>
      <c r="B39" s="272" t="s">
        <v>14</v>
      </c>
      <c r="C39" s="272"/>
      <c r="D39" s="303">
        <v>1.0562500000000001E-2</v>
      </c>
      <c r="E39" s="272"/>
      <c r="F39" s="303">
        <v>1.043E-2</v>
      </c>
      <c r="G39" s="304"/>
      <c r="H39" s="303">
        <v>7.9588000000000002E-3</v>
      </c>
      <c r="I39" s="304"/>
      <c r="J39" s="303">
        <v>1.27625E-2</v>
      </c>
      <c r="K39" s="304"/>
      <c r="L39" s="303">
        <v>1.2630000000000001E-2</v>
      </c>
      <c r="M39" s="304"/>
      <c r="N39" s="303">
        <v>1.7362499999999999E-2</v>
      </c>
      <c r="O39" s="304"/>
      <c r="P39" s="303">
        <v>1.7229999999999999E-2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1.09E-2</v>
      </c>
      <c r="E41" s="272"/>
      <c r="F41" s="303">
        <v>1.11E-2</v>
      </c>
      <c r="G41" s="304"/>
      <c r="H41" s="303">
        <v>1.136E-2</v>
      </c>
      <c r="I41" s="304"/>
      <c r="J41" s="303">
        <f>+J38</f>
        <v>1.3100000000000001E-2</v>
      </c>
      <c r="K41" s="304"/>
      <c r="L41" s="303">
        <v>1.3690000000000001E-2</v>
      </c>
      <c r="M41" s="304"/>
      <c r="N41" s="303">
        <f>+N38</f>
        <v>1.77E-2</v>
      </c>
      <c r="O41" s="304"/>
      <c r="P41" s="303">
        <v>1.8579999999999999E-2</v>
      </c>
      <c r="Q41" s="304"/>
      <c r="R41" s="303"/>
      <c r="S41" s="274"/>
      <c r="T41" s="304">
        <f>SUMPRODUCT(D41:P41,D33:P33)/T33</f>
        <v>1.2277454269498125E-2</v>
      </c>
      <c r="U41" s="275"/>
      <c r="V41" s="5"/>
    </row>
    <row r="42" spans="1:22" ht="15.6" x14ac:dyDescent="0.3">
      <c r="A42" s="302"/>
      <c r="B42" s="272" t="s">
        <v>294</v>
      </c>
      <c r="C42" s="272"/>
      <c r="D42" s="303">
        <f>+D39</f>
        <v>1.0562500000000001E-2</v>
      </c>
      <c r="E42" s="272"/>
      <c r="F42" s="303">
        <v>1.0762499999999999E-2</v>
      </c>
      <c r="G42" s="304"/>
      <c r="H42" s="303">
        <v>1.1022499999999999E-2</v>
      </c>
      <c r="I42" s="304"/>
      <c r="J42" s="303">
        <f>+J39</f>
        <v>1.27625E-2</v>
      </c>
      <c r="K42" s="304"/>
      <c r="L42" s="303">
        <v>1.33525E-2</v>
      </c>
      <c r="M42" s="304"/>
      <c r="N42" s="303">
        <f>+N39</f>
        <v>1.7362499999999999E-2</v>
      </c>
      <c r="O42" s="304"/>
      <c r="P42" s="303">
        <v>1.8242499999999998E-2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0.2755102202456769</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40497</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91</v>
      </c>
      <c r="Q54" s="272"/>
      <c r="R54" s="312">
        <v>40315</v>
      </c>
      <c r="S54" s="313"/>
      <c r="T54" s="312">
        <v>40405</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91</v>
      </c>
      <c r="Q55" s="272"/>
      <c r="R55" s="312">
        <v>40406</v>
      </c>
      <c r="S55" s="313"/>
      <c r="T55" s="312">
        <v>40496</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40483</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303</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325788</v>
      </c>
      <c r="M65" s="317"/>
      <c r="N65" s="317">
        <f>4027+182+19</f>
        <v>4228</v>
      </c>
      <c r="O65" s="317"/>
      <c r="P65" s="317">
        <f>182+19</f>
        <v>201</v>
      </c>
      <c r="Q65" s="317"/>
      <c r="R65" s="317">
        <v>0</v>
      </c>
      <c r="S65" s="317"/>
      <c r="T65" s="318">
        <f>+L65-N65+P65-R65</f>
        <v>321761</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325788</v>
      </c>
      <c r="M68" s="317"/>
      <c r="N68" s="317">
        <f>SUM(N65:N67)</f>
        <v>4228</v>
      </c>
      <c r="O68" s="317"/>
      <c r="P68" s="317">
        <f>SUM(P65:P67)</f>
        <v>201</v>
      </c>
      <c r="Q68" s="317"/>
      <c r="R68" s="317">
        <f>SUM(R65:R67)</f>
        <v>0</v>
      </c>
      <c r="S68" s="317"/>
      <c r="T68" s="317">
        <f>SUM(T65:T67)</f>
        <v>321761</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325788</v>
      </c>
      <c r="M81" s="317"/>
      <c r="N81" s="317"/>
      <c r="O81" s="317"/>
      <c r="P81" s="317"/>
      <c r="Q81" s="317"/>
      <c r="R81" s="317"/>
      <c r="S81" s="317"/>
      <c r="T81" s="317">
        <f>SUM(T68:T80)</f>
        <v>321761</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+R195</f>
        <v>40480</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4228-60</f>
        <v>4168</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2233+775+63-629-172</f>
        <v>2270</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41+4</f>
        <v>45</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23</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149</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4168</v>
      </c>
      <c r="S93" s="272"/>
      <c r="T93" s="317">
        <f>SUM(T85:T92)</f>
        <v>2487</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-16</v>
      </c>
      <c r="S94" s="272"/>
      <c r="T94" s="317">
        <f>-R94</f>
        <v>16</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-38</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4152</v>
      </c>
      <c r="S97" s="272"/>
      <c r="T97" s="317">
        <f>T93+T95+T94+T96</f>
        <v>2465</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160</v>
      </c>
      <c r="C101" s="272"/>
      <c r="D101" s="272"/>
      <c r="E101" s="272"/>
      <c r="F101" s="272"/>
      <c r="G101" s="272"/>
      <c r="H101" s="272"/>
      <c r="I101" s="272"/>
      <c r="J101" s="272"/>
      <c r="K101" s="272"/>
      <c r="L101" s="272"/>
      <c r="M101" s="272"/>
      <c r="N101" s="272"/>
      <c r="O101" s="272"/>
      <c r="P101" s="272"/>
      <c r="Q101" s="272"/>
      <c r="R101" s="272"/>
      <c r="S101" s="272"/>
      <c r="T101" s="318">
        <f>-125-116-4</f>
        <v>-245</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-213</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-1</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-381</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-275</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-39</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-22</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-66</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-13</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-201</v>
      </c>
      <c r="U110" s="340"/>
      <c r="V110" s="5"/>
      <c r="W110" s="110"/>
    </row>
    <row r="111" spans="1:23" ht="15.6" x14ac:dyDescent="0.3">
      <c r="A111" s="302">
        <v>7</v>
      </c>
      <c r="B111" s="272" t="s">
        <v>38</v>
      </c>
      <c r="C111" s="272"/>
      <c r="D111" s="272"/>
      <c r="E111" s="272"/>
      <c r="F111" s="272"/>
      <c r="G111" s="272"/>
      <c r="H111" s="272"/>
      <c r="I111" s="272"/>
      <c r="J111" s="272"/>
      <c r="K111" s="272"/>
      <c r="L111" s="272"/>
      <c r="M111" s="272"/>
      <c r="N111" s="272"/>
      <c r="O111" s="272"/>
      <c r="P111" s="272"/>
      <c r="Q111" s="272"/>
      <c r="R111" s="272"/>
      <c r="S111" s="272"/>
      <c r="T111" s="318">
        <v>-8</v>
      </c>
      <c r="U111" s="340"/>
      <c r="V111" s="5"/>
    </row>
    <row r="112" spans="1:23" ht="15.6" x14ac:dyDescent="0.3">
      <c r="A112" s="302">
        <f t="shared" ref="A112:A117" si="0">+A111+1</f>
        <v>8</v>
      </c>
      <c r="B112" s="272" t="s">
        <v>49</v>
      </c>
      <c r="C112" s="272"/>
      <c r="D112" s="272"/>
      <c r="E112" s="272"/>
      <c r="F112" s="272"/>
      <c r="G112" s="272"/>
      <c r="H112" s="272"/>
      <c r="I112" s="272"/>
      <c r="J112" s="272"/>
      <c r="K112" s="272"/>
      <c r="L112" s="272"/>
      <c r="M112" s="272"/>
      <c r="N112" s="272"/>
      <c r="O112" s="272"/>
      <c r="P112" s="272"/>
      <c r="Q112" s="272"/>
      <c r="R112" s="317">
        <f>-T112</f>
        <v>60</v>
      </c>
      <c r="S112" s="272"/>
      <c r="T112" s="318">
        <v>-60</v>
      </c>
      <c r="U112" s="340"/>
      <c r="V112" s="5"/>
    </row>
    <row r="113" spans="1:22" ht="15.6" x14ac:dyDescent="0.3">
      <c r="A113" s="302">
        <f t="shared" si="0"/>
        <v>9</v>
      </c>
      <c r="B113" s="272" t="s">
        <v>134</v>
      </c>
      <c r="C113" s="272"/>
      <c r="D113" s="272"/>
      <c r="E113" s="272"/>
      <c r="F113" s="272"/>
      <c r="G113" s="272"/>
      <c r="H113" s="272"/>
      <c r="I113" s="272"/>
      <c r="J113" s="272"/>
      <c r="K113" s="272"/>
      <c r="L113" s="272"/>
      <c r="M113" s="272"/>
      <c r="N113" s="272"/>
      <c r="O113" s="272"/>
      <c r="P113" s="272"/>
      <c r="Q113" s="272"/>
      <c r="R113" s="272"/>
      <c r="S113" s="272"/>
      <c r="T113" s="318">
        <v>0</v>
      </c>
      <c r="U113" s="340"/>
      <c r="V113" s="5"/>
    </row>
    <row r="114" spans="1:22" ht="15.6" x14ac:dyDescent="0.3">
      <c r="A114" s="302">
        <f t="shared" si="0"/>
        <v>10</v>
      </c>
      <c r="B114" s="272" t="s">
        <v>39</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40</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161</v>
      </c>
      <c r="C116" s="272"/>
      <c r="D116" s="272"/>
      <c r="E116" s="272"/>
      <c r="F116" s="272"/>
      <c r="G116" s="272"/>
      <c r="H116" s="272"/>
      <c r="I116" s="272"/>
      <c r="J116" s="272"/>
      <c r="K116" s="272"/>
      <c r="L116" s="272"/>
      <c r="M116" s="272"/>
      <c r="N116" s="272"/>
      <c r="O116" s="272"/>
      <c r="P116" s="272"/>
      <c r="Q116" s="272"/>
      <c r="R116" s="272"/>
      <c r="S116" s="272"/>
      <c r="T116" s="318">
        <v>-124</v>
      </c>
      <c r="U116" s="340"/>
      <c r="V116" s="5"/>
    </row>
    <row r="117" spans="1:22" ht="15.6" x14ac:dyDescent="0.3">
      <c r="A117" s="302">
        <f t="shared" si="0"/>
        <v>13</v>
      </c>
      <c r="B117" s="272" t="s">
        <v>135</v>
      </c>
      <c r="C117" s="272"/>
      <c r="D117" s="272"/>
      <c r="E117" s="272"/>
      <c r="F117" s="272"/>
      <c r="G117" s="272"/>
      <c r="H117" s="272"/>
      <c r="I117" s="272"/>
      <c r="J117" s="272"/>
      <c r="K117" s="272"/>
      <c r="L117" s="272"/>
      <c r="M117" s="272"/>
      <c r="N117" s="272"/>
      <c r="O117" s="272"/>
      <c r="P117" s="272"/>
      <c r="Q117" s="272"/>
      <c r="R117" s="272"/>
      <c r="S117" s="272"/>
      <c r="T117" s="318">
        <f>-T97-SUM(T99:T116)</f>
        <v>-815</v>
      </c>
      <c r="U117" s="340"/>
      <c r="V117" s="5"/>
    </row>
    <row r="118" spans="1:22" ht="15.6" x14ac:dyDescent="0.3">
      <c r="A118" s="271"/>
      <c r="B118" s="336" t="s">
        <v>41</v>
      </c>
      <c r="C118" s="337"/>
      <c r="D118" s="337"/>
      <c r="E118" s="337"/>
      <c r="F118" s="337"/>
      <c r="G118" s="337"/>
      <c r="H118" s="337"/>
      <c r="I118" s="337"/>
      <c r="J118" s="337"/>
      <c r="K118" s="337"/>
      <c r="L118" s="337"/>
      <c r="M118" s="337"/>
      <c r="N118" s="337"/>
      <c r="O118" s="337"/>
      <c r="P118" s="337"/>
      <c r="Q118" s="337"/>
      <c r="R118" s="337"/>
      <c r="S118" s="337"/>
      <c r="T118" s="341"/>
      <c r="U118" s="340"/>
      <c r="V118" s="5"/>
    </row>
    <row r="119" spans="1:22" ht="15.6" x14ac:dyDescent="0.3">
      <c r="A119" s="302"/>
      <c r="B119" s="272" t="s">
        <v>229</v>
      </c>
      <c r="C119" s="272"/>
      <c r="D119" s="272"/>
      <c r="E119" s="272"/>
      <c r="F119" s="272"/>
      <c r="G119" s="272"/>
      <c r="H119" s="272"/>
      <c r="I119" s="272"/>
      <c r="J119" s="272"/>
      <c r="K119" s="272"/>
      <c r="L119" s="272"/>
      <c r="M119" s="272"/>
      <c r="N119" s="272"/>
      <c r="O119" s="272"/>
      <c r="P119" s="272"/>
      <c r="Q119" s="272"/>
      <c r="R119" s="317">
        <f>-R179</f>
        <v>0</v>
      </c>
      <c r="S119" s="317"/>
      <c r="T119" s="318"/>
      <c r="U119" s="275"/>
      <c r="V119" s="5"/>
    </row>
    <row r="120" spans="1:22" ht="15.6" x14ac:dyDescent="0.3">
      <c r="A120" s="302"/>
      <c r="B120" s="272" t="s">
        <v>230</v>
      </c>
      <c r="C120" s="272"/>
      <c r="D120" s="272"/>
      <c r="E120" s="272"/>
      <c r="F120" s="272"/>
      <c r="G120" s="272"/>
      <c r="H120" s="272"/>
      <c r="I120" s="272"/>
      <c r="J120" s="272"/>
      <c r="K120" s="272"/>
      <c r="L120" s="272"/>
      <c r="M120" s="272"/>
      <c r="N120" s="272"/>
      <c r="O120" s="272"/>
      <c r="P120" s="272"/>
      <c r="Q120" s="272"/>
      <c r="R120" s="317">
        <v>-3</v>
      </c>
      <c r="S120" s="317"/>
      <c r="T120" s="318"/>
      <c r="U120" s="275"/>
      <c r="V120" s="5"/>
    </row>
    <row r="121" spans="1:22" ht="15.6" x14ac:dyDescent="0.3">
      <c r="A121" s="302"/>
      <c r="B121" s="272" t="s">
        <v>42</v>
      </c>
      <c r="C121" s="272"/>
      <c r="D121" s="272"/>
      <c r="E121" s="272"/>
      <c r="F121" s="272"/>
      <c r="G121" s="272"/>
      <c r="H121" s="272"/>
      <c r="I121" s="272"/>
      <c r="J121" s="272"/>
      <c r="K121" s="272"/>
      <c r="L121" s="272"/>
      <c r="M121" s="272"/>
      <c r="N121" s="272"/>
      <c r="O121" s="272"/>
      <c r="P121" s="272"/>
      <c r="Q121" s="272"/>
      <c r="R121" s="317">
        <f>-Q179</f>
        <v>-182</v>
      </c>
      <c r="S121" s="317"/>
      <c r="T121" s="318"/>
      <c r="U121" s="275"/>
      <c r="V121" s="5"/>
    </row>
    <row r="122" spans="1:22" ht="15.6" x14ac:dyDescent="0.3">
      <c r="A122" s="302"/>
      <c r="B122" s="272" t="s">
        <v>235</v>
      </c>
      <c r="C122" s="272"/>
      <c r="D122" s="272"/>
      <c r="E122" s="272"/>
      <c r="F122" s="272"/>
      <c r="G122" s="272"/>
      <c r="H122" s="272"/>
      <c r="I122" s="272"/>
      <c r="J122" s="272"/>
      <c r="K122" s="272"/>
      <c r="L122" s="272"/>
      <c r="M122" s="272"/>
      <c r="N122" s="272"/>
      <c r="O122" s="272"/>
      <c r="P122" s="272"/>
      <c r="Q122" s="272"/>
      <c r="R122" s="317">
        <v>-539</v>
      </c>
      <c r="S122" s="317"/>
      <c r="T122" s="318"/>
      <c r="U122" s="275"/>
      <c r="V122" s="5"/>
    </row>
    <row r="123" spans="1:22" ht="15.6" x14ac:dyDescent="0.3">
      <c r="A123" s="302"/>
      <c r="B123" s="272" t="s">
        <v>236</v>
      </c>
      <c r="C123" s="272"/>
      <c r="D123" s="272"/>
      <c r="E123" s="272"/>
      <c r="F123" s="272"/>
      <c r="G123" s="272"/>
      <c r="H123" s="272"/>
      <c r="I123" s="272"/>
      <c r="J123" s="272"/>
      <c r="K123" s="272"/>
      <c r="L123" s="272"/>
      <c r="M123" s="272"/>
      <c r="N123" s="272"/>
      <c r="O123" s="272"/>
      <c r="P123" s="272"/>
      <c r="Q123" s="272"/>
      <c r="R123" s="317">
        <v>-381</v>
      </c>
      <c r="S123" s="317"/>
      <c r="T123" s="318"/>
      <c r="U123" s="275"/>
      <c r="V123" s="5"/>
    </row>
    <row r="124" spans="1:22" ht="15.6" x14ac:dyDescent="0.3">
      <c r="A124" s="302"/>
      <c r="B124" s="272" t="s">
        <v>241</v>
      </c>
      <c r="C124" s="272"/>
      <c r="D124" s="272"/>
      <c r="E124" s="272"/>
      <c r="F124" s="272"/>
      <c r="G124" s="272"/>
      <c r="H124" s="272"/>
      <c r="I124" s="272"/>
      <c r="J124" s="272"/>
      <c r="K124" s="272"/>
      <c r="L124" s="272"/>
      <c r="M124" s="272"/>
      <c r="N124" s="272"/>
      <c r="O124" s="272"/>
      <c r="P124" s="272"/>
      <c r="Q124" s="272"/>
      <c r="R124" s="317">
        <v>-53</v>
      </c>
      <c r="S124" s="317"/>
      <c r="T124" s="318"/>
      <c r="U124" s="275"/>
      <c r="V124" s="5"/>
    </row>
    <row r="125" spans="1:22" ht="15.6" x14ac:dyDescent="0.3">
      <c r="A125" s="302"/>
      <c r="B125" s="272" t="s">
        <v>237</v>
      </c>
      <c r="C125" s="272"/>
      <c r="D125" s="272"/>
      <c r="E125" s="272"/>
      <c r="F125" s="272"/>
      <c r="G125" s="272"/>
      <c r="H125" s="272"/>
      <c r="I125" s="272"/>
      <c r="J125" s="272"/>
      <c r="K125" s="272"/>
      <c r="L125" s="272"/>
      <c r="M125" s="272"/>
      <c r="N125" s="272"/>
      <c r="O125" s="272"/>
      <c r="P125" s="272"/>
      <c r="Q125" s="272"/>
      <c r="R125" s="317">
        <v>-283</v>
      </c>
      <c r="S125" s="317"/>
      <c r="T125" s="318"/>
      <c r="U125" s="275"/>
      <c r="V125" s="5"/>
    </row>
    <row r="126" spans="1:22" ht="15.6" x14ac:dyDescent="0.3">
      <c r="A126" s="302"/>
      <c r="B126" s="272" t="s">
        <v>238</v>
      </c>
      <c r="C126" s="272"/>
      <c r="D126" s="272"/>
      <c r="E126" s="272"/>
      <c r="F126" s="272"/>
      <c r="G126" s="272"/>
      <c r="H126" s="272"/>
      <c r="I126" s="272"/>
      <c r="J126" s="272"/>
      <c r="K126" s="272"/>
      <c r="L126" s="272"/>
      <c r="M126" s="272"/>
      <c r="N126" s="272"/>
      <c r="O126" s="272"/>
      <c r="P126" s="272"/>
      <c r="Q126" s="272"/>
      <c r="R126" s="317">
        <v>-820</v>
      </c>
      <c r="S126" s="317"/>
      <c r="T126" s="318"/>
      <c r="U126" s="275"/>
      <c r="V126" s="5"/>
    </row>
    <row r="127" spans="1:22" ht="15.6" x14ac:dyDescent="0.3">
      <c r="A127" s="302"/>
      <c r="B127" s="272" t="s">
        <v>239</v>
      </c>
      <c r="C127" s="272"/>
      <c r="D127" s="272"/>
      <c r="E127" s="272"/>
      <c r="F127" s="272"/>
      <c r="G127" s="272"/>
      <c r="H127" s="272"/>
      <c r="I127" s="272"/>
      <c r="J127" s="272"/>
      <c r="K127" s="272"/>
      <c r="L127" s="272"/>
      <c r="M127" s="272"/>
      <c r="N127" s="272"/>
      <c r="O127" s="272"/>
      <c r="P127" s="272"/>
      <c r="Q127" s="272"/>
      <c r="R127" s="317">
        <v>-121</v>
      </c>
      <c r="S127" s="317"/>
      <c r="T127" s="318"/>
      <c r="U127" s="275"/>
      <c r="V127" s="5"/>
    </row>
    <row r="128" spans="1:22" ht="15.6" x14ac:dyDescent="0.3">
      <c r="A128" s="302"/>
      <c r="B128" s="272" t="s">
        <v>240</v>
      </c>
      <c r="C128" s="272"/>
      <c r="D128" s="272"/>
      <c r="E128" s="272"/>
      <c r="F128" s="272"/>
      <c r="G128" s="272"/>
      <c r="H128" s="272"/>
      <c r="I128" s="272"/>
      <c r="J128" s="272"/>
      <c r="K128" s="272"/>
      <c r="L128" s="272"/>
      <c r="M128" s="272"/>
      <c r="N128" s="272"/>
      <c r="O128" s="272"/>
      <c r="P128" s="272"/>
      <c r="Q128" s="272"/>
      <c r="R128" s="317">
        <v>-1830</v>
      </c>
      <c r="S128" s="317"/>
      <c r="T128" s="318"/>
      <c r="U128" s="275"/>
      <c r="V128" s="5"/>
    </row>
    <row r="129" spans="1:22" ht="15.6" x14ac:dyDescent="0.3">
      <c r="A129" s="302"/>
      <c r="B129" s="272" t="s">
        <v>43</v>
      </c>
      <c r="C129" s="272"/>
      <c r="D129" s="272"/>
      <c r="E129" s="272"/>
      <c r="F129" s="272"/>
      <c r="G129" s="272"/>
      <c r="H129" s="272"/>
      <c r="I129" s="272"/>
      <c r="J129" s="272"/>
      <c r="K129" s="272"/>
      <c r="L129" s="272"/>
      <c r="M129" s="272"/>
      <c r="N129" s="272"/>
      <c r="O129" s="272"/>
      <c r="P129" s="272"/>
      <c r="Q129" s="272"/>
      <c r="R129" s="317">
        <f>SUM(R119:R128)</f>
        <v>-4212</v>
      </c>
      <c r="S129" s="317"/>
      <c r="T129" s="317">
        <f>SUM(T98:T127)</f>
        <v>-2465</v>
      </c>
      <c r="U129" s="275"/>
      <c r="V129" s="5"/>
    </row>
    <row r="130" spans="1:22" ht="15.6" x14ac:dyDescent="0.3">
      <c r="A130" s="302"/>
      <c r="B130" s="272" t="s">
        <v>44</v>
      </c>
      <c r="C130" s="272"/>
      <c r="D130" s="272"/>
      <c r="E130" s="272"/>
      <c r="F130" s="272"/>
      <c r="G130" s="272"/>
      <c r="H130" s="272"/>
      <c r="I130" s="272"/>
      <c r="J130" s="272"/>
      <c r="K130" s="272"/>
      <c r="L130" s="272"/>
      <c r="M130" s="272"/>
      <c r="N130" s="272"/>
      <c r="O130" s="272"/>
      <c r="P130" s="272"/>
      <c r="Q130" s="272"/>
      <c r="R130" s="317">
        <f>R97+R129+R112</f>
        <v>0</v>
      </c>
      <c r="S130" s="317"/>
      <c r="T130" s="317">
        <f>T97+T129</f>
        <v>0</v>
      </c>
      <c r="U130" s="275"/>
      <c r="V130" s="5"/>
    </row>
    <row r="131" spans="1:22" ht="15.6" x14ac:dyDescent="0.3">
      <c r="A131" s="233"/>
      <c r="B131" s="268"/>
      <c r="C131" s="268"/>
      <c r="D131" s="268"/>
      <c r="E131" s="268"/>
      <c r="F131" s="268"/>
      <c r="G131" s="268"/>
      <c r="H131" s="268"/>
      <c r="I131" s="268"/>
      <c r="J131" s="268"/>
      <c r="K131" s="268"/>
      <c r="L131" s="268"/>
      <c r="M131" s="268"/>
      <c r="N131" s="268"/>
      <c r="O131" s="268"/>
      <c r="P131" s="268"/>
      <c r="Q131" s="268"/>
      <c r="R131" s="333"/>
      <c r="S131" s="333"/>
      <c r="T131" s="333"/>
      <c r="U131" s="268"/>
      <c r="V131" s="5"/>
    </row>
    <row r="132" spans="1:22" ht="15.6" x14ac:dyDescent="0.3">
      <c r="A132" s="233"/>
      <c r="B132" s="234"/>
      <c r="C132" s="234"/>
      <c r="D132" s="234"/>
      <c r="E132" s="234"/>
      <c r="F132" s="234"/>
      <c r="G132" s="234"/>
      <c r="H132" s="234"/>
      <c r="I132" s="234"/>
      <c r="J132" s="234"/>
      <c r="K132" s="234"/>
      <c r="L132" s="234"/>
      <c r="M132" s="234"/>
      <c r="N132" s="234"/>
      <c r="O132" s="234"/>
      <c r="P132" s="234"/>
      <c r="Q132" s="234"/>
      <c r="R132" s="234"/>
      <c r="S132" s="234"/>
      <c r="T132" s="243"/>
      <c r="U132" s="234"/>
      <c r="V132" s="5"/>
    </row>
    <row r="133" spans="1:22" ht="18" thickBot="1" x14ac:dyDescent="0.35">
      <c r="A133" s="237"/>
      <c r="B133" s="238" t="str">
        <f>B61</f>
        <v>PM9 INVESTOR REPORT QUARTER ENDING OCTOBER 2010</v>
      </c>
      <c r="C133" s="239"/>
      <c r="D133" s="239"/>
      <c r="E133" s="239"/>
      <c r="F133" s="239"/>
      <c r="G133" s="239"/>
      <c r="H133" s="239"/>
      <c r="I133" s="239"/>
      <c r="J133" s="239"/>
      <c r="K133" s="239"/>
      <c r="L133" s="239"/>
      <c r="M133" s="239"/>
      <c r="N133" s="239"/>
      <c r="O133" s="239"/>
      <c r="P133" s="239"/>
      <c r="Q133" s="239"/>
      <c r="R133" s="239"/>
      <c r="S133" s="239"/>
      <c r="T133" s="244"/>
      <c r="U133" s="241"/>
      <c r="V133" s="5"/>
    </row>
    <row r="134" spans="1:22" ht="15.6" x14ac:dyDescent="0.3">
      <c r="A134" s="321"/>
      <c r="B134" s="324" t="s">
        <v>45</v>
      </c>
      <c r="C134" s="322"/>
      <c r="D134" s="322"/>
      <c r="E134" s="322"/>
      <c r="F134" s="322"/>
      <c r="G134" s="322"/>
      <c r="H134" s="322"/>
      <c r="I134" s="322"/>
      <c r="J134" s="322"/>
      <c r="K134" s="322"/>
      <c r="L134" s="322"/>
      <c r="M134" s="322"/>
      <c r="N134" s="322"/>
      <c r="O134" s="322"/>
      <c r="P134" s="322"/>
      <c r="Q134" s="322"/>
      <c r="R134" s="322"/>
      <c r="S134" s="322"/>
      <c r="T134" s="323"/>
      <c r="U134" s="322"/>
      <c r="V134" s="5"/>
    </row>
    <row r="135" spans="1:22" ht="15.6" x14ac:dyDescent="0.3">
      <c r="A135" s="177"/>
      <c r="B135" s="191"/>
      <c r="C135" s="179"/>
      <c r="D135" s="179"/>
      <c r="E135" s="179"/>
      <c r="F135" s="179"/>
      <c r="G135" s="179"/>
      <c r="H135" s="179"/>
      <c r="I135" s="179"/>
      <c r="J135" s="179"/>
      <c r="K135" s="179"/>
      <c r="L135" s="179"/>
      <c r="M135" s="179"/>
      <c r="N135" s="179"/>
      <c r="O135" s="179"/>
      <c r="P135" s="179"/>
      <c r="Q135" s="179"/>
      <c r="R135" s="179"/>
      <c r="S135" s="179"/>
      <c r="T135" s="197"/>
      <c r="U135" s="179"/>
      <c r="V135" s="5"/>
    </row>
    <row r="136" spans="1:22" ht="15.6" x14ac:dyDescent="0.3">
      <c r="A136" s="177"/>
      <c r="B136" s="204" t="s">
        <v>46</v>
      </c>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271"/>
      <c r="B137" s="272" t="s">
        <v>47</v>
      </c>
      <c r="C137" s="272"/>
      <c r="D137" s="272"/>
      <c r="E137" s="272"/>
      <c r="F137" s="272"/>
      <c r="G137" s="272"/>
      <c r="H137" s="272"/>
      <c r="I137" s="272"/>
      <c r="J137" s="272"/>
      <c r="K137" s="272"/>
      <c r="L137" s="272"/>
      <c r="M137" s="272"/>
      <c r="N137" s="272"/>
      <c r="O137" s="272"/>
      <c r="P137" s="272"/>
      <c r="Q137" s="272"/>
      <c r="R137" s="272"/>
      <c r="S137" s="272"/>
      <c r="T137" s="318">
        <f>+T32*0.0176</f>
        <v>12320</v>
      </c>
      <c r="U137" s="275"/>
      <c r="V137" s="5"/>
    </row>
    <row r="138" spans="1:22" ht="15.6" x14ac:dyDescent="0.3">
      <c r="A138" s="271"/>
      <c r="B138" s="272" t="s">
        <v>48</v>
      </c>
      <c r="C138" s="272"/>
      <c r="D138" s="272"/>
      <c r="E138" s="272"/>
      <c r="F138" s="272"/>
      <c r="G138" s="272"/>
      <c r="H138" s="272"/>
      <c r="I138" s="272"/>
      <c r="J138" s="272"/>
      <c r="K138" s="272"/>
      <c r="L138" s="272"/>
      <c r="M138" s="272"/>
      <c r="N138" s="272"/>
      <c r="O138" s="272"/>
      <c r="P138" s="272"/>
      <c r="Q138" s="272"/>
      <c r="R138" s="272"/>
      <c r="S138" s="272"/>
      <c r="T138" s="318">
        <v>12320</v>
      </c>
      <c r="U138" s="275"/>
      <c r="V138" s="5"/>
    </row>
    <row r="139" spans="1:22" ht="15.6" x14ac:dyDescent="0.3">
      <c r="A139" s="271"/>
      <c r="B139" s="272" t="s">
        <v>145</v>
      </c>
      <c r="C139" s="272"/>
      <c r="D139" s="272"/>
      <c r="E139" s="272"/>
      <c r="F139" s="272"/>
      <c r="G139" s="272"/>
      <c r="H139" s="272"/>
      <c r="I139" s="272"/>
      <c r="J139" s="272"/>
      <c r="K139" s="272"/>
      <c r="L139" s="272"/>
      <c r="M139" s="272"/>
      <c r="N139" s="272"/>
      <c r="O139" s="272"/>
      <c r="P139" s="272"/>
      <c r="Q139" s="272"/>
      <c r="R139" s="272"/>
      <c r="S139" s="272"/>
      <c r="T139" s="318">
        <v>0</v>
      </c>
      <c r="U139" s="275"/>
      <c r="V139" s="5"/>
    </row>
    <row r="140" spans="1:22" ht="15.6" x14ac:dyDescent="0.3">
      <c r="A140" s="271"/>
      <c r="B140" s="272" t="s">
        <v>132</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133</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232</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49</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138</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231</v>
      </c>
      <c r="C145" s="272"/>
      <c r="D145" s="272"/>
      <c r="E145" s="272"/>
      <c r="F145" s="272"/>
      <c r="G145" s="272"/>
      <c r="H145" s="272"/>
      <c r="I145" s="272"/>
      <c r="J145" s="272"/>
      <c r="K145" s="272"/>
      <c r="L145" s="272"/>
      <c r="M145" s="272"/>
      <c r="N145" s="272"/>
      <c r="O145" s="272"/>
      <c r="P145" s="272"/>
      <c r="Q145" s="272"/>
      <c r="R145" s="272"/>
      <c r="S145" s="272"/>
      <c r="T145" s="318">
        <v>0</v>
      </c>
      <c r="U145" s="275"/>
      <c r="V145" s="5"/>
      <c r="W145" s="110"/>
    </row>
    <row r="146" spans="1:23" ht="15.6" x14ac:dyDescent="0.3">
      <c r="A146" s="271"/>
      <c r="B146" s="272" t="s">
        <v>50</v>
      </c>
      <c r="C146" s="272"/>
      <c r="D146" s="272"/>
      <c r="E146" s="272"/>
      <c r="F146" s="272"/>
      <c r="G146" s="272"/>
      <c r="H146" s="272"/>
      <c r="I146" s="272"/>
      <c r="J146" s="272"/>
      <c r="K146" s="272"/>
      <c r="L146" s="272"/>
      <c r="M146" s="272"/>
      <c r="N146" s="272"/>
      <c r="O146" s="272"/>
      <c r="P146" s="272"/>
      <c r="Q146" s="272"/>
      <c r="R146" s="272"/>
      <c r="S146" s="272"/>
      <c r="T146" s="318">
        <f>SUM(T138:T145)</f>
        <v>12320</v>
      </c>
      <c r="U146" s="275"/>
      <c r="V146" s="5"/>
    </row>
    <row r="147" spans="1:23" ht="15.6" x14ac:dyDescent="0.3">
      <c r="A147" s="271"/>
      <c r="B147" s="337"/>
      <c r="C147" s="337"/>
      <c r="D147" s="337"/>
      <c r="E147" s="337"/>
      <c r="F147" s="337"/>
      <c r="G147" s="337"/>
      <c r="H147" s="337"/>
      <c r="I147" s="337"/>
      <c r="J147" s="337"/>
      <c r="K147" s="337"/>
      <c r="L147" s="337"/>
      <c r="M147" s="337"/>
      <c r="N147" s="337"/>
      <c r="O147" s="337"/>
      <c r="P147" s="337"/>
      <c r="Q147" s="337"/>
      <c r="R147" s="337"/>
      <c r="S147" s="337"/>
      <c r="T147" s="339"/>
      <c r="U147" s="340"/>
      <c r="V147" s="5"/>
    </row>
    <row r="148" spans="1:23" ht="15.6" x14ac:dyDescent="0.3">
      <c r="A148" s="271"/>
      <c r="B148" s="336" t="s">
        <v>264</v>
      </c>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272" t="s">
        <v>170</v>
      </c>
      <c r="C149" s="272"/>
      <c r="D149" s="272"/>
      <c r="E149" s="272"/>
      <c r="F149" s="272"/>
      <c r="G149" s="272"/>
      <c r="H149" s="272"/>
      <c r="I149" s="272"/>
      <c r="J149" s="272"/>
      <c r="K149" s="272"/>
      <c r="L149" s="272"/>
      <c r="M149" s="272"/>
      <c r="N149" s="272"/>
      <c r="O149" s="272"/>
      <c r="P149" s="272"/>
      <c r="Q149" s="272"/>
      <c r="R149" s="272"/>
      <c r="S149" s="272"/>
      <c r="T149" s="318">
        <v>10000</v>
      </c>
      <c r="U149" s="275"/>
      <c r="V149" s="5"/>
    </row>
    <row r="150" spans="1:23" ht="15.6" x14ac:dyDescent="0.3">
      <c r="A150" s="271"/>
      <c r="B150" s="272" t="s">
        <v>260</v>
      </c>
      <c r="C150" s="272"/>
      <c r="D150" s="272"/>
      <c r="E150" s="272"/>
      <c r="F150" s="272"/>
      <c r="G150" s="272"/>
      <c r="H150" s="272"/>
      <c r="I150" s="272"/>
      <c r="J150" s="272"/>
      <c r="K150" s="272"/>
      <c r="L150" s="272"/>
      <c r="M150" s="272"/>
      <c r="N150" s="272"/>
      <c r="O150" s="272"/>
      <c r="P150" s="272"/>
      <c r="Q150" s="272"/>
      <c r="R150" s="272"/>
      <c r="S150" s="272"/>
      <c r="T150" s="318">
        <v>1819</v>
      </c>
      <c r="U150" s="275"/>
      <c r="V150" s="5"/>
    </row>
    <row r="151" spans="1:23" ht="15.6" x14ac:dyDescent="0.3">
      <c r="A151" s="271"/>
      <c r="B151" s="272" t="s">
        <v>228</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300</v>
      </c>
      <c r="C152" s="272"/>
      <c r="D152" s="272"/>
      <c r="E152" s="272"/>
      <c r="F152" s="272"/>
      <c r="G152" s="272"/>
      <c r="H152" s="272"/>
      <c r="I152" s="272"/>
      <c r="J152" s="272"/>
      <c r="K152" s="272"/>
      <c r="L152" s="272"/>
      <c r="M152" s="272"/>
      <c r="N152" s="272"/>
      <c r="O152" s="272"/>
      <c r="P152" s="272"/>
      <c r="Q152" s="272"/>
      <c r="R152" s="272"/>
      <c r="S152" s="272"/>
      <c r="T152" s="318">
        <v>1819</v>
      </c>
      <c r="U152" s="275"/>
      <c r="V152" s="5"/>
    </row>
    <row r="153" spans="1:23" ht="15.6" x14ac:dyDescent="0.3">
      <c r="A153" s="271"/>
      <c r="B153" s="337"/>
      <c r="C153" s="337"/>
      <c r="D153" s="337"/>
      <c r="E153" s="337"/>
      <c r="F153" s="337"/>
      <c r="G153" s="337"/>
      <c r="H153" s="337"/>
      <c r="I153" s="337"/>
      <c r="J153" s="337"/>
      <c r="K153" s="337"/>
      <c r="L153" s="337"/>
      <c r="M153" s="337"/>
      <c r="N153" s="337"/>
      <c r="O153" s="337"/>
      <c r="P153" s="337"/>
      <c r="Q153" s="337"/>
      <c r="R153" s="337"/>
      <c r="S153" s="337"/>
      <c r="T153" s="339"/>
      <c r="U153" s="340"/>
      <c r="V153" s="5"/>
    </row>
    <row r="154" spans="1:23" ht="15.6" x14ac:dyDescent="0.3">
      <c r="A154" s="177"/>
      <c r="B154" s="314"/>
      <c r="C154" s="314"/>
      <c r="D154" s="314"/>
      <c r="E154" s="314"/>
      <c r="F154" s="314"/>
      <c r="G154" s="314"/>
      <c r="H154" s="314"/>
      <c r="I154" s="314"/>
      <c r="J154" s="314"/>
      <c r="K154" s="314"/>
      <c r="L154" s="314"/>
      <c r="M154" s="314"/>
      <c r="N154" s="314"/>
      <c r="O154" s="314"/>
      <c r="P154" s="314"/>
      <c r="Q154" s="314"/>
      <c r="R154" s="314"/>
      <c r="S154" s="314"/>
      <c r="T154" s="342"/>
      <c r="U154" s="314"/>
      <c r="V154" s="5"/>
    </row>
    <row r="155" spans="1:23" ht="15.6" x14ac:dyDescent="0.3">
      <c r="A155" s="177"/>
      <c r="B155" s="204" t="s">
        <v>25</v>
      </c>
      <c r="C155" s="179"/>
      <c r="D155" s="179"/>
      <c r="E155" s="179"/>
      <c r="F155" s="179"/>
      <c r="G155" s="179"/>
      <c r="H155" s="179"/>
      <c r="I155" s="179"/>
      <c r="J155" s="179"/>
      <c r="K155" s="179"/>
      <c r="L155" s="179"/>
      <c r="M155" s="179"/>
      <c r="N155" s="179"/>
      <c r="O155" s="179"/>
      <c r="P155" s="179"/>
      <c r="Q155" s="179"/>
      <c r="R155" s="179"/>
      <c r="S155" s="179"/>
      <c r="T155" s="197"/>
      <c r="U155" s="179"/>
      <c r="V155" s="5"/>
    </row>
    <row r="156" spans="1:23" ht="15.6" x14ac:dyDescent="0.3">
      <c r="A156" s="271"/>
      <c r="B156" s="272" t="s">
        <v>51</v>
      </c>
      <c r="C156" s="272"/>
      <c r="D156" s="272"/>
      <c r="E156" s="272"/>
      <c r="F156" s="272"/>
      <c r="G156" s="272"/>
      <c r="H156" s="272"/>
      <c r="I156" s="272"/>
      <c r="J156" s="272"/>
      <c r="K156" s="272"/>
      <c r="L156" s="272"/>
      <c r="M156" s="272"/>
      <c r="N156" s="272"/>
      <c r="O156" s="272"/>
      <c r="P156" s="272"/>
      <c r="Q156" s="272"/>
      <c r="R156" s="272"/>
      <c r="S156" s="272"/>
      <c r="T156" s="343" t="s">
        <v>127</v>
      </c>
      <c r="U156" s="340"/>
      <c r="V156" s="5"/>
    </row>
    <row r="157" spans="1:23" ht="15.6" x14ac:dyDescent="0.3">
      <c r="A157" s="271"/>
      <c r="B157" s="272" t="s">
        <v>52</v>
      </c>
      <c r="C157" s="274"/>
      <c r="D157" s="274"/>
      <c r="E157" s="274"/>
      <c r="F157" s="274"/>
      <c r="G157" s="274"/>
      <c r="H157" s="274"/>
      <c r="I157" s="274"/>
      <c r="J157" s="274"/>
      <c r="K157" s="274"/>
      <c r="L157" s="274"/>
      <c r="M157" s="274"/>
      <c r="N157" s="274"/>
      <c r="O157" s="274"/>
      <c r="P157" s="274"/>
      <c r="Q157" s="274"/>
      <c r="R157" s="274"/>
      <c r="S157" s="274"/>
      <c r="T157" s="343" t="s">
        <v>127</v>
      </c>
      <c r="U157" s="340"/>
      <c r="V157" s="5"/>
    </row>
    <row r="158" spans="1:23" ht="15.6" x14ac:dyDescent="0.3">
      <c r="A158" s="271"/>
      <c r="B158" s="272" t="s">
        <v>53</v>
      </c>
      <c r="C158" s="272"/>
      <c r="D158" s="272"/>
      <c r="E158" s="272"/>
      <c r="F158" s="272"/>
      <c r="G158" s="272"/>
      <c r="H158" s="272"/>
      <c r="I158" s="272"/>
      <c r="J158" s="272"/>
      <c r="K158" s="272"/>
      <c r="L158" s="272"/>
      <c r="M158" s="272"/>
      <c r="N158" s="272"/>
      <c r="O158" s="272"/>
      <c r="P158" s="272"/>
      <c r="Q158" s="272"/>
      <c r="R158" s="272"/>
      <c r="S158" s="272"/>
      <c r="T158" s="343" t="s">
        <v>127</v>
      </c>
      <c r="U158" s="340"/>
      <c r="V158" s="5"/>
    </row>
    <row r="159" spans="1:23" ht="15.6" x14ac:dyDescent="0.3">
      <c r="A159" s="271"/>
      <c r="B159" s="272" t="s">
        <v>54</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177"/>
      <c r="B160" s="314"/>
      <c r="C160" s="314"/>
      <c r="D160" s="314"/>
      <c r="E160" s="314"/>
      <c r="F160" s="314"/>
      <c r="G160" s="314"/>
      <c r="H160" s="314"/>
      <c r="I160" s="314"/>
      <c r="J160" s="314"/>
      <c r="K160" s="314"/>
      <c r="L160" s="314"/>
      <c r="M160" s="314"/>
      <c r="N160" s="314"/>
      <c r="O160" s="314"/>
      <c r="P160" s="314"/>
      <c r="Q160" s="314"/>
      <c r="R160" s="314"/>
      <c r="S160" s="314"/>
      <c r="T160" s="342"/>
      <c r="U160" s="314"/>
      <c r="V160" s="5"/>
    </row>
    <row r="161" spans="1:22" ht="15.6" x14ac:dyDescent="0.3">
      <c r="A161" s="177"/>
      <c r="B161" s="204" t="s">
        <v>55</v>
      </c>
      <c r="C161" s="179"/>
      <c r="D161" s="179"/>
      <c r="E161" s="179"/>
      <c r="F161" s="179"/>
      <c r="G161" s="179"/>
      <c r="H161" s="179"/>
      <c r="I161" s="179"/>
      <c r="J161" s="179"/>
      <c r="K161" s="179"/>
      <c r="L161" s="179"/>
      <c r="M161" s="179"/>
      <c r="N161" s="179"/>
      <c r="O161" s="179"/>
      <c r="P161" s="179"/>
      <c r="Q161" s="179"/>
      <c r="R161" s="179"/>
      <c r="S161" s="179"/>
      <c r="T161" s="205"/>
      <c r="U161" s="179"/>
      <c r="V161" s="5"/>
    </row>
    <row r="162" spans="1:22" ht="15.6" x14ac:dyDescent="0.3">
      <c r="A162" s="271"/>
      <c r="B162" s="272" t="s">
        <v>56</v>
      </c>
      <c r="C162" s="272"/>
      <c r="D162" s="272"/>
      <c r="E162" s="272"/>
      <c r="F162" s="272"/>
      <c r="G162" s="272"/>
      <c r="H162" s="272"/>
      <c r="I162" s="272"/>
      <c r="J162" s="272"/>
      <c r="K162" s="272"/>
      <c r="L162" s="272"/>
      <c r="M162" s="272"/>
      <c r="N162" s="272"/>
      <c r="O162" s="272"/>
      <c r="P162" s="272"/>
      <c r="Q162" s="272"/>
      <c r="R162" s="272"/>
      <c r="S162" s="272"/>
      <c r="T162" s="318">
        <v>0</v>
      </c>
      <c r="U162" s="340"/>
      <c r="V162" s="5"/>
    </row>
    <row r="163" spans="1:22" ht="15.6" x14ac:dyDescent="0.3">
      <c r="A163" s="271"/>
      <c r="B163" s="272" t="s">
        <v>57</v>
      </c>
      <c r="C163" s="272"/>
      <c r="D163" s="272"/>
      <c r="E163" s="272"/>
      <c r="F163" s="272"/>
      <c r="G163" s="272"/>
      <c r="H163" s="272"/>
      <c r="I163" s="272"/>
      <c r="J163" s="272"/>
      <c r="K163" s="272"/>
      <c r="L163" s="272"/>
      <c r="M163" s="272"/>
      <c r="N163" s="272"/>
      <c r="O163" s="272"/>
      <c r="P163" s="272"/>
      <c r="Q163" s="272"/>
      <c r="R163" s="272"/>
      <c r="S163" s="272"/>
      <c r="T163" s="318">
        <f>-T112</f>
        <v>60</v>
      </c>
      <c r="U163" s="340"/>
      <c r="V163" s="5"/>
    </row>
    <row r="164" spans="1:22" ht="15.6" x14ac:dyDescent="0.3">
      <c r="A164" s="271"/>
      <c r="B164" s="272" t="s">
        <v>58</v>
      </c>
      <c r="C164" s="272"/>
      <c r="D164" s="272"/>
      <c r="E164" s="272"/>
      <c r="F164" s="272"/>
      <c r="G164" s="272"/>
      <c r="H164" s="272"/>
      <c r="I164" s="272"/>
      <c r="J164" s="272"/>
      <c r="K164" s="272"/>
      <c r="L164" s="272"/>
      <c r="M164" s="272"/>
      <c r="N164" s="272"/>
      <c r="O164" s="272"/>
      <c r="P164" s="272"/>
      <c r="Q164" s="272"/>
      <c r="R164" s="272"/>
      <c r="S164" s="272"/>
      <c r="T164" s="318">
        <f>T163+T162</f>
        <v>60</v>
      </c>
      <c r="U164" s="340"/>
      <c r="V164" s="5"/>
    </row>
    <row r="165" spans="1:22" ht="15.6" x14ac:dyDescent="0.3">
      <c r="A165" s="271"/>
      <c r="B165" s="400" t="s">
        <v>309</v>
      </c>
      <c r="C165" s="272"/>
      <c r="D165" s="272"/>
      <c r="E165" s="272"/>
      <c r="F165" s="272"/>
      <c r="G165" s="272"/>
      <c r="H165" s="272"/>
      <c r="I165" s="272"/>
      <c r="J165" s="272"/>
      <c r="K165" s="272"/>
      <c r="L165" s="272"/>
      <c r="M165" s="272"/>
      <c r="N165" s="272"/>
      <c r="O165" s="272"/>
      <c r="P165" s="272"/>
      <c r="Q165" s="272"/>
      <c r="R165" s="272"/>
      <c r="S165" s="272"/>
      <c r="T165" s="318">
        <f>T112</f>
        <v>-60</v>
      </c>
      <c r="U165" s="340"/>
      <c r="V165" s="5"/>
    </row>
    <row r="166" spans="1:22" ht="15.6" x14ac:dyDescent="0.3">
      <c r="A166" s="271"/>
      <c r="B166" s="272" t="s">
        <v>59</v>
      </c>
      <c r="C166" s="272"/>
      <c r="D166" s="272"/>
      <c r="E166" s="272"/>
      <c r="F166" s="272"/>
      <c r="G166" s="272"/>
      <c r="H166" s="272"/>
      <c r="I166" s="272"/>
      <c r="J166" s="272"/>
      <c r="K166" s="272"/>
      <c r="L166" s="272"/>
      <c r="M166" s="272"/>
      <c r="N166" s="272"/>
      <c r="O166" s="272"/>
      <c r="P166" s="272"/>
      <c r="Q166" s="272"/>
      <c r="R166" s="272"/>
      <c r="S166" s="272"/>
      <c r="T166" s="318">
        <f>T164+T165</f>
        <v>0</v>
      </c>
      <c r="U166" s="340"/>
      <c r="V166" s="5"/>
    </row>
    <row r="167" spans="1:22" ht="15.6" x14ac:dyDescent="0.3">
      <c r="A167" s="271"/>
      <c r="B167" s="272" t="s">
        <v>278</v>
      </c>
      <c r="C167" s="272"/>
      <c r="D167" s="272"/>
      <c r="E167" s="272"/>
      <c r="F167" s="272"/>
      <c r="G167" s="272"/>
      <c r="H167" s="272"/>
      <c r="I167" s="272"/>
      <c r="J167" s="272"/>
      <c r="K167" s="272"/>
      <c r="L167" s="272"/>
      <c r="M167" s="272"/>
      <c r="N167" s="272"/>
      <c r="O167" s="272"/>
      <c r="P167" s="272"/>
      <c r="Q167" s="272"/>
      <c r="R167" s="272"/>
      <c r="S167" s="272"/>
      <c r="T167" s="318">
        <f>-T96</f>
        <v>38</v>
      </c>
      <c r="U167" s="340"/>
      <c r="V167" s="5"/>
    </row>
    <row r="168" spans="1:22" ht="16.2" thickBot="1" x14ac:dyDescent="0.35">
      <c r="A168" s="177"/>
      <c r="B168" s="268"/>
      <c r="C168" s="268"/>
      <c r="D168" s="268"/>
      <c r="E168" s="268"/>
      <c r="F168" s="268"/>
      <c r="G168" s="268"/>
      <c r="H168" s="268"/>
      <c r="I168" s="268"/>
      <c r="J168" s="268"/>
      <c r="K168" s="268"/>
      <c r="L168" s="268"/>
      <c r="M168" s="268"/>
      <c r="N168" s="268"/>
      <c r="O168" s="268"/>
      <c r="P168" s="268"/>
      <c r="Q168" s="268"/>
      <c r="R168" s="268"/>
      <c r="S168" s="268"/>
      <c r="T168" s="344"/>
      <c r="U168" s="314"/>
      <c r="V168" s="5"/>
    </row>
    <row r="169" spans="1:22" ht="15.6" x14ac:dyDescent="0.3">
      <c r="A169" s="175"/>
      <c r="B169" s="176"/>
      <c r="C169" s="176"/>
      <c r="D169" s="176"/>
      <c r="E169" s="176"/>
      <c r="F169" s="176"/>
      <c r="G169" s="176"/>
      <c r="H169" s="176"/>
      <c r="I169" s="176"/>
      <c r="J169" s="176"/>
      <c r="K169" s="176"/>
      <c r="L169" s="176"/>
      <c r="M169" s="176"/>
      <c r="N169" s="176"/>
      <c r="O169" s="176"/>
      <c r="P169" s="176"/>
      <c r="Q169" s="176"/>
      <c r="R169" s="176"/>
      <c r="S169" s="176"/>
      <c r="T169" s="196"/>
      <c r="U169" s="176"/>
      <c r="V169" s="5"/>
    </row>
    <row r="170" spans="1:22" ht="15.6" x14ac:dyDescent="0.3">
      <c r="A170" s="177"/>
      <c r="B170" s="204" t="s">
        <v>60</v>
      </c>
      <c r="C170" s="179"/>
      <c r="D170" s="179"/>
      <c r="E170" s="179"/>
      <c r="F170" s="179"/>
      <c r="G170" s="179"/>
      <c r="H170" s="179"/>
      <c r="I170" s="179"/>
      <c r="J170" s="179"/>
      <c r="K170" s="179"/>
      <c r="L170" s="179"/>
      <c r="M170" s="179"/>
      <c r="N170" s="179"/>
      <c r="O170" s="179"/>
      <c r="P170" s="179"/>
      <c r="Q170" s="179"/>
      <c r="R170" s="179"/>
      <c r="S170" s="179"/>
      <c r="T170" s="197"/>
      <c r="U170" s="179"/>
      <c r="V170" s="5"/>
    </row>
    <row r="171" spans="1:22" ht="15.6" x14ac:dyDescent="0.3">
      <c r="A171" s="177"/>
      <c r="B171" s="191"/>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271"/>
      <c r="B172" s="272" t="s">
        <v>61</v>
      </c>
      <c r="C172" s="272"/>
      <c r="D172" s="272"/>
      <c r="E172" s="272"/>
      <c r="F172" s="272"/>
      <c r="G172" s="272"/>
      <c r="H172" s="272"/>
      <c r="I172" s="272"/>
      <c r="J172" s="272"/>
      <c r="K172" s="272"/>
      <c r="L172" s="272"/>
      <c r="M172" s="272"/>
      <c r="N172" s="272"/>
      <c r="O172" s="272"/>
      <c r="P172" s="272"/>
      <c r="Q172" s="272"/>
      <c r="R172" s="272"/>
      <c r="S172" s="272"/>
      <c r="T172" s="318">
        <f>T68</f>
        <v>321761</v>
      </c>
      <c r="U172" s="340"/>
      <c r="V172" s="5"/>
    </row>
    <row r="173" spans="1:22" ht="15.6" x14ac:dyDescent="0.3">
      <c r="A173" s="271"/>
      <c r="B173" s="272" t="s">
        <v>62</v>
      </c>
      <c r="C173" s="272"/>
      <c r="D173" s="272"/>
      <c r="E173" s="272"/>
      <c r="F173" s="272"/>
      <c r="G173" s="272"/>
      <c r="H173" s="272"/>
      <c r="I173" s="272"/>
      <c r="J173" s="272"/>
      <c r="K173" s="272"/>
      <c r="L173" s="272"/>
      <c r="M173" s="272"/>
      <c r="N173" s="272"/>
      <c r="O173" s="272"/>
      <c r="P173" s="272"/>
      <c r="Q173" s="272"/>
      <c r="R173" s="272"/>
      <c r="S173" s="272"/>
      <c r="T173" s="318">
        <f>T81</f>
        <v>321761</v>
      </c>
      <c r="U173" s="340"/>
      <c r="V173" s="5"/>
    </row>
    <row r="174" spans="1:22" ht="16.2" thickBot="1" x14ac:dyDescent="0.35">
      <c r="A174" s="177"/>
      <c r="B174" s="314"/>
      <c r="C174" s="314"/>
      <c r="D174" s="314"/>
      <c r="E174" s="314"/>
      <c r="F174" s="314"/>
      <c r="G174" s="314"/>
      <c r="H174" s="314"/>
      <c r="I174" s="314"/>
      <c r="J174" s="314"/>
      <c r="K174" s="314"/>
      <c r="L174" s="314"/>
      <c r="M174" s="314"/>
      <c r="N174" s="314"/>
      <c r="O174" s="314"/>
      <c r="P174" s="314"/>
      <c r="Q174" s="314"/>
      <c r="R174" s="314"/>
      <c r="S174" s="314"/>
      <c r="T174" s="342"/>
      <c r="U174" s="314"/>
      <c r="V174" s="5"/>
    </row>
    <row r="175" spans="1:22" ht="15.6" x14ac:dyDescent="0.3">
      <c r="A175" s="175"/>
      <c r="B175" s="176"/>
      <c r="C175" s="176"/>
      <c r="D175" s="176"/>
      <c r="E175" s="176"/>
      <c r="F175" s="176"/>
      <c r="G175" s="176"/>
      <c r="H175" s="176"/>
      <c r="I175" s="176"/>
      <c r="J175" s="176"/>
      <c r="K175" s="176"/>
      <c r="L175" s="176"/>
      <c r="M175" s="176"/>
      <c r="N175" s="176"/>
      <c r="O175" s="176"/>
      <c r="P175" s="176"/>
      <c r="Q175" s="176"/>
      <c r="R175" s="176"/>
      <c r="S175" s="176"/>
      <c r="T175" s="196"/>
      <c r="U175" s="176"/>
      <c r="V175" s="5"/>
    </row>
    <row r="176" spans="1:22" ht="15.6" x14ac:dyDescent="0.3">
      <c r="A176" s="177"/>
      <c r="B176" s="204" t="s">
        <v>63</v>
      </c>
      <c r="C176" s="201"/>
      <c r="D176" s="201"/>
      <c r="E176" s="201"/>
      <c r="F176" s="201"/>
      <c r="G176" s="201"/>
      <c r="H176" s="206"/>
      <c r="I176" s="206"/>
      <c r="J176" s="206"/>
      <c r="K176" s="206"/>
      <c r="L176" s="206"/>
      <c r="M176" s="206"/>
      <c r="N176" s="206"/>
      <c r="O176" s="206"/>
      <c r="P176" s="206"/>
      <c r="Q176" s="206" t="s">
        <v>107</v>
      </c>
      <c r="R176" s="206" t="s">
        <v>234</v>
      </c>
      <c r="S176" s="181"/>
      <c r="T176" s="207" t="s">
        <v>123</v>
      </c>
      <c r="U176" s="208"/>
      <c r="V176" s="5"/>
    </row>
    <row r="177" spans="1:22" ht="15.6" x14ac:dyDescent="0.3">
      <c r="A177" s="271"/>
      <c r="B177" s="272" t="s">
        <v>64</v>
      </c>
      <c r="C177" s="272"/>
      <c r="D177" s="272"/>
      <c r="E177" s="272"/>
      <c r="F177" s="272"/>
      <c r="G177" s="272"/>
      <c r="H177" s="272"/>
      <c r="I177" s="272"/>
      <c r="J177" s="272"/>
      <c r="K177" s="272"/>
      <c r="L177" s="272"/>
      <c r="M177" s="272"/>
      <c r="N177" s="272"/>
      <c r="O177" s="272"/>
      <c r="P177" s="272"/>
      <c r="Q177" s="318">
        <v>112000</v>
      </c>
      <c r="R177" s="306"/>
      <c r="S177" s="272"/>
      <c r="T177" s="318"/>
      <c r="U177" s="275"/>
      <c r="V177" s="5"/>
    </row>
    <row r="178" spans="1:22" ht="15.6" x14ac:dyDescent="0.3">
      <c r="A178" s="271"/>
      <c r="B178" s="272" t="s">
        <v>65</v>
      </c>
      <c r="C178" s="272"/>
      <c r="D178" s="272"/>
      <c r="E178" s="272"/>
      <c r="F178" s="272"/>
      <c r="G178" s="272"/>
      <c r="H178" s="272"/>
      <c r="I178" s="272"/>
      <c r="J178" s="272"/>
      <c r="K178" s="272"/>
      <c r="L178" s="272"/>
      <c r="M178" s="272"/>
      <c r="N178" s="272"/>
      <c r="O178" s="272"/>
      <c r="P178" s="272"/>
      <c r="Q178" s="318">
        <f>+'July 10'!Q180</f>
        <v>45756</v>
      </c>
      <c r="R178" s="318">
        <f>+'July 10'!R180</f>
        <v>2435</v>
      </c>
      <c r="S178" s="272"/>
      <c r="T178" s="318">
        <f>Q178+R178</f>
        <v>48191</v>
      </c>
      <c r="U178" s="275"/>
      <c r="V178" s="5"/>
    </row>
    <row r="179" spans="1:22" ht="15.6" x14ac:dyDescent="0.3">
      <c r="A179" s="271"/>
      <c r="B179" s="272" t="s">
        <v>66</v>
      </c>
      <c r="C179" s="272"/>
      <c r="D179" s="272"/>
      <c r="E179" s="272"/>
      <c r="F179" s="272"/>
      <c r="G179" s="272"/>
      <c r="H179" s="272"/>
      <c r="I179" s="272"/>
      <c r="J179" s="272"/>
      <c r="K179" s="272"/>
      <c r="L179" s="272"/>
      <c r="M179" s="272"/>
      <c r="N179" s="272"/>
      <c r="O179" s="272"/>
      <c r="P179" s="272"/>
      <c r="Q179" s="317">
        <v>182</v>
      </c>
      <c r="R179" s="317">
        <v>0</v>
      </c>
      <c r="S179" s="272"/>
      <c r="T179" s="318">
        <f>Q179+R179</f>
        <v>182</v>
      </c>
      <c r="U179" s="275"/>
      <c r="V179" s="5"/>
    </row>
    <row r="180" spans="1:22" ht="15.6" x14ac:dyDescent="0.3">
      <c r="A180" s="271"/>
      <c r="B180" s="272" t="s">
        <v>67</v>
      </c>
      <c r="C180" s="272"/>
      <c r="D180" s="272"/>
      <c r="E180" s="272"/>
      <c r="F180" s="272"/>
      <c r="G180" s="272"/>
      <c r="H180" s="272"/>
      <c r="I180" s="272"/>
      <c r="J180" s="272"/>
      <c r="K180" s="272"/>
      <c r="L180" s="272"/>
      <c r="M180" s="272"/>
      <c r="N180" s="272"/>
      <c r="O180" s="272"/>
      <c r="P180" s="272"/>
      <c r="Q180" s="318">
        <f>Q178+Q179</f>
        <v>45938</v>
      </c>
      <c r="R180" s="318">
        <f>R179+R178</f>
        <v>2435</v>
      </c>
      <c r="S180" s="272"/>
      <c r="T180" s="318">
        <f>Q180+R180</f>
        <v>48373</v>
      </c>
      <c r="U180" s="275"/>
      <c r="V180" s="5"/>
    </row>
    <row r="181" spans="1:22" ht="15.6" x14ac:dyDescent="0.3">
      <c r="A181" s="271"/>
      <c r="B181" s="272" t="s">
        <v>68</v>
      </c>
      <c r="C181" s="272"/>
      <c r="D181" s="272"/>
      <c r="E181" s="272"/>
      <c r="F181" s="272"/>
      <c r="G181" s="272"/>
      <c r="H181" s="272"/>
      <c r="I181" s="272"/>
      <c r="J181" s="272"/>
      <c r="K181" s="272"/>
      <c r="L181" s="272"/>
      <c r="M181" s="272"/>
      <c r="N181" s="272"/>
      <c r="O181" s="272"/>
      <c r="P181" s="272"/>
      <c r="Q181" s="318">
        <f>Q177-Q180-R180</f>
        <v>63627</v>
      </c>
      <c r="R181" s="306"/>
      <c r="S181" s="272"/>
      <c r="T181" s="318"/>
      <c r="U181" s="275"/>
      <c r="V181" s="5"/>
    </row>
    <row r="182" spans="1:22" ht="16.2" thickBot="1" x14ac:dyDescent="0.35">
      <c r="A182" s="177"/>
      <c r="B182" s="314"/>
      <c r="C182" s="314"/>
      <c r="D182" s="314"/>
      <c r="E182" s="314"/>
      <c r="F182" s="314"/>
      <c r="G182" s="314"/>
      <c r="H182" s="314"/>
      <c r="I182" s="314"/>
      <c r="J182" s="314"/>
      <c r="K182" s="314"/>
      <c r="L182" s="314"/>
      <c r="M182" s="314"/>
      <c r="N182" s="314"/>
      <c r="O182" s="314"/>
      <c r="P182" s="314"/>
      <c r="Q182" s="314"/>
      <c r="R182" s="314"/>
      <c r="S182" s="314"/>
      <c r="T182" s="342"/>
      <c r="U182" s="314"/>
      <c r="V182" s="5"/>
    </row>
    <row r="183" spans="1:22" ht="15.6" x14ac:dyDescent="0.3">
      <c r="A183" s="175"/>
      <c r="B183" s="176"/>
      <c r="C183" s="176"/>
      <c r="D183" s="176"/>
      <c r="E183" s="176"/>
      <c r="F183" s="176"/>
      <c r="G183" s="176"/>
      <c r="H183" s="176"/>
      <c r="I183" s="176"/>
      <c r="J183" s="176"/>
      <c r="K183" s="176"/>
      <c r="L183" s="176"/>
      <c r="M183" s="176"/>
      <c r="N183" s="176"/>
      <c r="O183" s="176"/>
      <c r="P183" s="176"/>
      <c r="Q183" s="176"/>
      <c r="R183" s="176"/>
      <c r="S183" s="176"/>
      <c r="T183" s="196"/>
      <c r="U183" s="176"/>
      <c r="V183" s="5"/>
    </row>
    <row r="184" spans="1:22" ht="15.6" x14ac:dyDescent="0.3">
      <c r="A184" s="177"/>
      <c r="B184" s="204" t="s">
        <v>69</v>
      </c>
      <c r="C184" s="179"/>
      <c r="D184" s="179"/>
      <c r="E184" s="179"/>
      <c r="F184" s="179"/>
      <c r="G184" s="179"/>
      <c r="H184" s="179"/>
      <c r="I184" s="179"/>
      <c r="J184" s="179"/>
      <c r="K184" s="179"/>
      <c r="L184" s="179"/>
      <c r="M184" s="179"/>
      <c r="N184" s="179"/>
      <c r="O184" s="179"/>
      <c r="P184" s="179"/>
      <c r="Q184" s="179"/>
      <c r="R184" s="179"/>
      <c r="S184" s="179"/>
      <c r="T184" s="209"/>
      <c r="U184" s="179"/>
      <c r="V184" s="5"/>
    </row>
    <row r="185" spans="1:22" ht="15.6" x14ac:dyDescent="0.3">
      <c r="A185" s="271"/>
      <c r="B185" s="272" t="s">
        <v>70</v>
      </c>
      <c r="C185" s="272"/>
      <c r="D185" s="272"/>
      <c r="E185" s="272"/>
      <c r="F185" s="272"/>
      <c r="G185" s="272"/>
      <c r="H185" s="272"/>
      <c r="I185" s="272"/>
      <c r="J185" s="272"/>
      <c r="K185" s="272"/>
      <c r="L185" s="272"/>
      <c r="M185" s="272"/>
      <c r="N185" s="272"/>
      <c r="O185" s="272"/>
      <c r="P185" s="272"/>
      <c r="Q185" s="272"/>
      <c r="R185" s="272"/>
      <c r="S185" s="272"/>
      <c r="T185" s="343">
        <f>(T97+T99+T100+T101+T102+T103)/-(T104+T105+T106)</f>
        <v>2.8834532374100719</v>
      </c>
      <c r="U185" s="275" t="s">
        <v>124</v>
      </c>
      <c r="V185" s="5"/>
    </row>
    <row r="186" spans="1:22" ht="15.6" x14ac:dyDescent="0.3">
      <c r="A186" s="271"/>
      <c r="B186" s="272" t="s">
        <v>71</v>
      </c>
      <c r="C186" s="272"/>
      <c r="D186" s="272"/>
      <c r="E186" s="272"/>
      <c r="F186" s="272"/>
      <c r="G186" s="272"/>
      <c r="H186" s="272"/>
      <c r="I186" s="272"/>
      <c r="J186" s="272"/>
      <c r="K186" s="272"/>
      <c r="L186" s="272"/>
      <c r="M186" s="272"/>
      <c r="N186" s="272"/>
      <c r="O186" s="272"/>
      <c r="P186" s="272"/>
      <c r="Q186" s="272"/>
      <c r="R186" s="272"/>
      <c r="S186" s="272"/>
      <c r="T186" s="345">
        <v>1.48</v>
      </c>
      <c r="U186" s="275" t="s">
        <v>124</v>
      </c>
      <c r="V186" s="5"/>
    </row>
    <row r="187" spans="1:22" ht="15.6" x14ac:dyDescent="0.3">
      <c r="A187" s="271"/>
      <c r="B187" s="272" t="s">
        <v>72</v>
      </c>
      <c r="C187" s="272"/>
      <c r="D187" s="272"/>
      <c r="E187" s="272"/>
      <c r="F187" s="272"/>
      <c r="G187" s="272"/>
      <c r="H187" s="272"/>
      <c r="I187" s="272"/>
      <c r="J187" s="272"/>
      <c r="K187" s="272"/>
      <c r="L187" s="272"/>
      <c r="M187" s="272"/>
      <c r="N187" s="272"/>
      <c r="O187" s="272"/>
      <c r="P187" s="272"/>
      <c r="Q187" s="272"/>
      <c r="R187" s="272"/>
      <c r="S187" s="272"/>
      <c r="T187" s="343">
        <f>(T97+T99+T100+T101+T102+T103+T104+T105+T106)/-(T107+T108)</f>
        <v>14.875</v>
      </c>
      <c r="U187" s="275" t="s">
        <v>124</v>
      </c>
      <c r="V187" s="5"/>
    </row>
    <row r="188" spans="1:22" ht="15.6" x14ac:dyDescent="0.3">
      <c r="A188" s="271"/>
      <c r="B188" s="272" t="s">
        <v>73</v>
      </c>
      <c r="C188" s="272"/>
      <c r="D188" s="272"/>
      <c r="E188" s="272"/>
      <c r="F188" s="272"/>
      <c r="G188" s="272"/>
      <c r="H188" s="272"/>
      <c r="I188" s="272"/>
      <c r="J188" s="272"/>
      <c r="K188" s="272"/>
      <c r="L188" s="272"/>
      <c r="M188" s="272"/>
      <c r="N188" s="272"/>
      <c r="O188" s="272"/>
      <c r="P188" s="272"/>
      <c r="Q188" s="272"/>
      <c r="R188" s="272"/>
      <c r="S188" s="272"/>
      <c r="T188" s="346">
        <v>7.44</v>
      </c>
      <c r="U188" s="275" t="s">
        <v>124</v>
      </c>
      <c r="V188" s="5"/>
    </row>
    <row r="189" spans="1:22" ht="15.6" x14ac:dyDescent="0.3">
      <c r="A189" s="271"/>
      <c r="B189" s="272" t="s">
        <v>243</v>
      </c>
      <c r="C189" s="272"/>
      <c r="D189" s="272"/>
      <c r="E189" s="272"/>
      <c r="F189" s="272"/>
      <c r="G189" s="272"/>
      <c r="H189" s="272"/>
      <c r="I189" s="272"/>
      <c r="J189" s="272"/>
      <c r="K189" s="272"/>
      <c r="L189" s="272"/>
      <c r="M189" s="272"/>
      <c r="N189" s="272"/>
      <c r="O189" s="272"/>
      <c r="P189" s="272"/>
      <c r="Q189" s="272"/>
      <c r="R189" s="272"/>
      <c r="S189" s="272"/>
      <c r="T189" s="343">
        <f>(T97+T99+T100+T101+T102+T103+T104+T105+T106+T107+T108)/-(T109+T110)</f>
        <v>5.7056074766355138</v>
      </c>
      <c r="U189" s="275" t="s">
        <v>124</v>
      </c>
      <c r="V189" s="5"/>
    </row>
    <row r="190" spans="1:22" ht="15.6" x14ac:dyDescent="0.3">
      <c r="A190" s="271"/>
      <c r="B190" s="272" t="s">
        <v>244</v>
      </c>
      <c r="C190" s="272"/>
      <c r="D190" s="272"/>
      <c r="E190" s="272"/>
      <c r="F190" s="272"/>
      <c r="G190" s="272"/>
      <c r="H190" s="272"/>
      <c r="I190" s="272"/>
      <c r="J190" s="272"/>
      <c r="K190" s="272"/>
      <c r="L190" s="272"/>
      <c r="M190" s="272"/>
      <c r="N190" s="272"/>
      <c r="O190" s="272"/>
      <c r="P190" s="272"/>
      <c r="Q190" s="272"/>
      <c r="R190" s="272"/>
      <c r="S190" s="272"/>
      <c r="T190" s="346">
        <v>3.42</v>
      </c>
      <c r="U190" s="275" t="s">
        <v>124</v>
      </c>
      <c r="V190" s="5"/>
    </row>
    <row r="191" spans="1:22" ht="15.6" x14ac:dyDescent="0.3">
      <c r="A191" s="271"/>
      <c r="B191" s="272"/>
      <c r="C191" s="272"/>
      <c r="D191" s="272"/>
      <c r="E191" s="272"/>
      <c r="F191" s="272"/>
      <c r="G191" s="272"/>
      <c r="H191" s="272"/>
      <c r="I191" s="272"/>
      <c r="J191" s="272"/>
      <c r="K191" s="272"/>
      <c r="L191" s="272"/>
      <c r="M191" s="272"/>
      <c r="N191" s="272"/>
      <c r="O191" s="272"/>
      <c r="P191" s="272"/>
      <c r="Q191" s="272"/>
      <c r="R191" s="272"/>
      <c r="S191" s="272"/>
      <c r="T191" s="272"/>
      <c r="U191" s="275"/>
      <c r="V191" s="5"/>
    </row>
    <row r="192" spans="1:22" ht="15.6" x14ac:dyDescent="0.3">
      <c r="A192" s="177"/>
      <c r="B192" s="268"/>
      <c r="C192" s="268"/>
      <c r="D192" s="268"/>
      <c r="E192" s="268"/>
      <c r="F192" s="268"/>
      <c r="G192" s="268"/>
      <c r="H192" s="268"/>
      <c r="I192" s="268"/>
      <c r="J192" s="268"/>
      <c r="K192" s="268"/>
      <c r="L192" s="268"/>
      <c r="M192" s="268"/>
      <c r="N192" s="268"/>
      <c r="O192" s="268"/>
      <c r="P192" s="268"/>
      <c r="Q192" s="268"/>
      <c r="R192" s="268"/>
      <c r="S192" s="268"/>
      <c r="T192" s="268"/>
      <c r="U192" s="268"/>
      <c r="V192" s="5"/>
    </row>
    <row r="193" spans="1:22" ht="15.6" x14ac:dyDescent="0.3">
      <c r="A193" s="177"/>
      <c r="B193" s="234"/>
      <c r="C193" s="234"/>
      <c r="D193" s="234"/>
      <c r="E193" s="234"/>
      <c r="F193" s="234"/>
      <c r="G193" s="234"/>
      <c r="H193" s="234"/>
      <c r="I193" s="234"/>
      <c r="J193" s="234"/>
      <c r="K193" s="234"/>
      <c r="L193" s="234"/>
      <c r="M193" s="234"/>
      <c r="N193" s="234"/>
      <c r="O193" s="234"/>
      <c r="P193" s="234"/>
      <c r="Q193" s="234"/>
      <c r="R193" s="234"/>
      <c r="S193" s="234"/>
      <c r="T193" s="234"/>
      <c r="U193" s="234"/>
      <c r="V193" s="5"/>
    </row>
    <row r="194" spans="1:22" ht="18" thickBot="1" x14ac:dyDescent="0.35">
      <c r="A194" s="195"/>
      <c r="B194" s="238" t="str">
        <f>B133</f>
        <v>PM9 INVESTOR REPORT QUARTER ENDING OCTOBER 2010</v>
      </c>
      <c r="C194" s="245"/>
      <c r="D194" s="245"/>
      <c r="E194" s="245"/>
      <c r="F194" s="245"/>
      <c r="G194" s="245"/>
      <c r="H194" s="245"/>
      <c r="I194" s="245"/>
      <c r="J194" s="245"/>
      <c r="K194" s="245"/>
      <c r="L194" s="245"/>
      <c r="M194" s="245"/>
      <c r="N194" s="245"/>
      <c r="O194" s="245"/>
      <c r="P194" s="245"/>
      <c r="Q194" s="245"/>
      <c r="R194" s="245"/>
      <c r="S194" s="245"/>
      <c r="T194" s="245"/>
      <c r="U194" s="246"/>
      <c r="V194" s="5"/>
    </row>
    <row r="195" spans="1:22" ht="15.6" x14ac:dyDescent="0.3">
      <c r="A195" s="321"/>
      <c r="B195" s="324" t="s">
        <v>74</v>
      </c>
      <c r="C195" s="325"/>
      <c r="D195" s="325"/>
      <c r="E195" s="325"/>
      <c r="F195" s="325"/>
      <c r="G195" s="326"/>
      <c r="H195" s="326"/>
      <c r="I195" s="326"/>
      <c r="J195" s="326"/>
      <c r="K195" s="326"/>
      <c r="L195" s="326"/>
      <c r="M195" s="326"/>
      <c r="N195" s="326"/>
      <c r="O195" s="326"/>
      <c r="P195" s="326"/>
      <c r="Q195" s="326"/>
      <c r="R195" s="326">
        <v>40480</v>
      </c>
      <c r="S195" s="322"/>
      <c r="T195" s="322"/>
      <c r="U195" s="322"/>
      <c r="V195" s="5"/>
    </row>
    <row r="196" spans="1:22" ht="15.6" x14ac:dyDescent="0.3">
      <c r="A196" s="210"/>
      <c r="B196" s="211"/>
      <c r="C196" s="212"/>
      <c r="D196" s="212"/>
      <c r="E196" s="212"/>
      <c r="F196" s="212"/>
      <c r="G196" s="213"/>
      <c r="H196" s="213"/>
      <c r="I196" s="213"/>
      <c r="J196" s="213"/>
      <c r="K196" s="213"/>
      <c r="L196" s="213"/>
      <c r="M196" s="213"/>
      <c r="N196" s="213"/>
      <c r="O196" s="213"/>
      <c r="P196" s="213"/>
      <c r="Q196" s="213"/>
      <c r="R196" s="213"/>
      <c r="S196" s="179"/>
      <c r="T196" s="179"/>
      <c r="U196" s="179"/>
      <c r="V196" s="5"/>
    </row>
    <row r="197" spans="1:22" ht="15.6" x14ac:dyDescent="0.3">
      <c r="A197" s="348"/>
      <c r="B197" s="272" t="s">
        <v>75</v>
      </c>
      <c r="C197" s="349"/>
      <c r="D197" s="349"/>
      <c r="E197" s="349"/>
      <c r="F197" s="349"/>
      <c r="G197" s="309"/>
      <c r="H197" s="309"/>
      <c r="I197" s="309"/>
      <c r="J197" s="309"/>
      <c r="K197" s="309"/>
      <c r="L197" s="309"/>
      <c r="M197" s="309"/>
      <c r="N197" s="309"/>
      <c r="O197" s="309"/>
      <c r="P197" s="309"/>
      <c r="Q197" s="309"/>
      <c r="R197" s="304">
        <v>5.8209999999999998E-2</v>
      </c>
      <c r="S197" s="272"/>
      <c r="T197" s="272"/>
      <c r="U197" s="340"/>
      <c r="V197" s="5"/>
    </row>
    <row r="198" spans="1:22" ht="15.6" x14ac:dyDescent="0.3">
      <c r="A198" s="348"/>
      <c r="B198" s="272" t="s">
        <v>164</v>
      </c>
      <c r="C198" s="349"/>
      <c r="D198" s="349"/>
      <c r="E198" s="349"/>
      <c r="F198" s="349"/>
      <c r="G198" s="309"/>
      <c r="H198" s="309"/>
      <c r="I198" s="309"/>
      <c r="J198" s="309"/>
      <c r="K198" s="309"/>
      <c r="L198" s="309"/>
      <c r="M198" s="309"/>
      <c r="N198" s="309"/>
      <c r="O198" s="309"/>
      <c r="P198" s="309"/>
      <c r="Q198" s="309"/>
      <c r="R198" s="304">
        <f>'Oct 05'!R193</f>
        <v>4.8438496428571419E-2</v>
      </c>
      <c r="S198" s="272"/>
      <c r="T198" s="272"/>
      <c r="U198" s="340"/>
      <c r="V198" s="5"/>
    </row>
    <row r="199" spans="1:22" ht="15.6" x14ac:dyDescent="0.3">
      <c r="A199" s="348"/>
      <c r="B199" s="272" t="s">
        <v>76</v>
      </c>
      <c r="C199" s="349"/>
      <c r="D199" s="349"/>
      <c r="E199" s="349"/>
      <c r="F199" s="349"/>
      <c r="G199" s="309"/>
      <c r="H199" s="309"/>
      <c r="I199" s="309"/>
      <c r="J199" s="309"/>
      <c r="K199" s="309"/>
      <c r="L199" s="309"/>
      <c r="M199" s="309"/>
      <c r="N199" s="309"/>
      <c r="O199" s="309"/>
      <c r="P199" s="309"/>
      <c r="Q199" s="309"/>
      <c r="R199" s="304">
        <f>R197-R198</f>
        <v>9.7715035714285789E-3</v>
      </c>
      <c r="S199" s="272"/>
      <c r="T199" s="272"/>
      <c r="U199" s="340"/>
      <c r="V199" s="5"/>
    </row>
    <row r="200" spans="1:22" ht="15.6" x14ac:dyDescent="0.3">
      <c r="A200" s="348"/>
      <c r="B200" s="272" t="s">
        <v>77</v>
      </c>
      <c r="C200" s="349"/>
      <c r="D200" s="349"/>
      <c r="E200" s="349"/>
      <c r="F200" s="349"/>
      <c r="G200" s="309"/>
      <c r="H200" s="309"/>
      <c r="I200" s="309"/>
      <c r="J200" s="309"/>
      <c r="K200" s="309"/>
      <c r="L200" s="309"/>
      <c r="M200" s="309"/>
      <c r="N200" s="309"/>
      <c r="O200" s="309"/>
      <c r="P200" s="309"/>
      <c r="Q200" s="309"/>
      <c r="R200" s="304">
        <v>2.7220000000000001E-2</v>
      </c>
      <c r="S200" s="272"/>
      <c r="T200" s="272"/>
      <c r="U200" s="340"/>
      <c r="V200" s="5"/>
    </row>
    <row r="201" spans="1:22" ht="15.6" x14ac:dyDescent="0.3">
      <c r="A201" s="348"/>
      <c r="B201" s="272" t="s">
        <v>257</v>
      </c>
      <c r="C201" s="349"/>
      <c r="D201" s="349"/>
      <c r="E201" s="349"/>
      <c r="F201" s="349"/>
      <c r="G201" s="309"/>
      <c r="H201" s="309"/>
      <c r="I201" s="309"/>
      <c r="J201" s="309"/>
      <c r="K201" s="309"/>
      <c r="L201" s="309"/>
      <c r="M201" s="309"/>
      <c r="N201" s="309"/>
      <c r="O201" s="309"/>
      <c r="P201" s="309"/>
      <c r="Q201" s="309"/>
      <c r="R201" s="304">
        <f>+T41</f>
        <v>1.2277454269498125E-2</v>
      </c>
      <c r="S201" s="272"/>
      <c r="T201" s="272"/>
      <c r="U201" s="340"/>
      <c r="V201" s="5"/>
    </row>
    <row r="202" spans="1:22" ht="15.6" x14ac:dyDescent="0.3">
      <c r="A202" s="348"/>
      <c r="B202" s="272" t="s">
        <v>78</v>
      </c>
      <c r="C202" s="349"/>
      <c r="D202" s="349"/>
      <c r="E202" s="349"/>
      <c r="F202" s="349"/>
      <c r="G202" s="309"/>
      <c r="H202" s="309"/>
      <c r="I202" s="309"/>
      <c r="J202" s="309"/>
      <c r="K202" s="309"/>
      <c r="L202" s="309"/>
      <c r="M202" s="309"/>
      <c r="N202" s="309"/>
      <c r="O202" s="309"/>
      <c r="P202" s="309"/>
      <c r="Q202" s="309"/>
      <c r="R202" s="304">
        <f>R200-R201</f>
        <v>1.4942545730501876E-2</v>
      </c>
      <c r="S202" s="272"/>
      <c r="T202" s="272"/>
      <c r="U202" s="340"/>
      <c r="V202" s="5"/>
    </row>
    <row r="203" spans="1:22" ht="15.6" x14ac:dyDescent="0.3">
      <c r="A203" s="348"/>
      <c r="B203" s="272" t="s">
        <v>268</v>
      </c>
      <c r="C203" s="349"/>
      <c r="D203" s="349"/>
      <c r="E203" s="349"/>
      <c r="F203" s="349"/>
      <c r="G203" s="309"/>
      <c r="H203" s="309"/>
      <c r="I203" s="309"/>
      <c r="J203" s="309"/>
      <c r="K203" s="309"/>
      <c r="L203" s="309"/>
      <c r="M203" s="309"/>
      <c r="N203" s="309"/>
      <c r="O203" s="309"/>
      <c r="P203" s="309"/>
      <c r="Q203" s="309"/>
      <c r="R203" s="304">
        <f>+T97/L68</f>
        <v>7.5662700897516175E-3</v>
      </c>
      <c r="S203" s="272"/>
      <c r="T203" s="272"/>
      <c r="U203" s="340"/>
      <c r="V203" s="5"/>
    </row>
    <row r="204" spans="1:22" ht="15.6" x14ac:dyDescent="0.3">
      <c r="A204" s="348"/>
      <c r="B204" s="272" t="s">
        <v>249</v>
      </c>
      <c r="C204" s="349"/>
      <c r="D204" s="349"/>
      <c r="E204" s="349"/>
      <c r="F204" s="349"/>
      <c r="G204" s="309"/>
      <c r="H204" s="309"/>
      <c r="I204" s="309"/>
      <c r="J204" s="309"/>
      <c r="K204" s="309"/>
      <c r="L204" s="309"/>
      <c r="M204" s="309"/>
      <c r="N204" s="309"/>
      <c r="O204" s="309"/>
      <c r="P204" s="309"/>
      <c r="Q204" s="309"/>
      <c r="R204" s="350">
        <v>51622</v>
      </c>
      <c r="S204" s="272"/>
      <c r="T204" s="272"/>
      <c r="U204" s="340"/>
      <c r="V204" s="5"/>
    </row>
    <row r="205" spans="1:22" ht="15.6" x14ac:dyDescent="0.3">
      <c r="A205" s="348"/>
      <c r="B205" s="272" t="s">
        <v>250</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251</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79</v>
      </c>
      <c r="C207" s="349"/>
      <c r="D207" s="349"/>
      <c r="E207" s="349"/>
      <c r="F207" s="349"/>
      <c r="G207" s="309"/>
      <c r="H207" s="309"/>
      <c r="I207" s="309"/>
      <c r="J207" s="309"/>
      <c r="K207" s="309"/>
      <c r="L207" s="309"/>
      <c r="M207" s="309"/>
      <c r="N207" s="309"/>
      <c r="O207" s="309"/>
      <c r="P207" s="309"/>
      <c r="Q207" s="309"/>
      <c r="R207" s="308">
        <v>20.95</v>
      </c>
      <c r="S207" s="272" t="s">
        <v>119</v>
      </c>
      <c r="T207" s="272"/>
      <c r="U207" s="340"/>
      <c r="V207" s="5"/>
    </row>
    <row r="208" spans="1:22" ht="15.6" x14ac:dyDescent="0.3">
      <c r="A208" s="348"/>
      <c r="B208" s="272" t="s">
        <v>80</v>
      </c>
      <c r="C208" s="349"/>
      <c r="D208" s="349"/>
      <c r="E208" s="349"/>
      <c r="F208" s="349"/>
      <c r="G208" s="309"/>
      <c r="H208" s="309"/>
      <c r="I208" s="309"/>
      <c r="J208" s="309"/>
      <c r="K208" s="309"/>
      <c r="L208" s="309"/>
      <c r="M208" s="309"/>
      <c r="N208" s="309"/>
      <c r="O208" s="309"/>
      <c r="P208" s="309"/>
      <c r="Q208" s="309"/>
      <c r="R208" s="308">
        <v>15.87</v>
      </c>
      <c r="S208" s="272" t="s">
        <v>119</v>
      </c>
      <c r="T208" s="272"/>
      <c r="U208" s="340"/>
      <c r="V208" s="5"/>
    </row>
    <row r="209" spans="1:22" ht="15.6" x14ac:dyDescent="0.3">
      <c r="A209" s="348"/>
      <c r="B209" s="272" t="s">
        <v>81</v>
      </c>
      <c r="C209" s="349"/>
      <c r="D209" s="349"/>
      <c r="E209" s="349"/>
      <c r="F209" s="349"/>
      <c r="G209" s="309"/>
      <c r="H209" s="309"/>
      <c r="I209" s="309"/>
      <c r="J209" s="309"/>
      <c r="K209" s="309"/>
      <c r="L209" s="309"/>
      <c r="M209" s="309"/>
      <c r="N209" s="309"/>
      <c r="O209" s="309"/>
      <c r="P209" s="309"/>
      <c r="Q209" s="309"/>
      <c r="R209" s="304">
        <f>N65/L65</f>
        <v>1.2977764681326507E-2</v>
      </c>
      <c r="S209" s="272"/>
      <c r="T209" s="272"/>
      <c r="U209" s="340"/>
      <c r="V209" s="5"/>
    </row>
    <row r="210" spans="1:22" ht="15.6" x14ac:dyDescent="0.3">
      <c r="A210" s="348"/>
      <c r="B210" s="272" t="s">
        <v>82</v>
      </c>
      <c r="C210" s="349"/>
      <c r="D210" s="349"/>
      <c r="E210" s="349"/>
      <c r="F210" s="349"/>
      <c r="G210" s="309"/>
      <c r="H210" s="309"/>
      <c r="I210" s="309"/>
      <c r="J210" s="309"/>
      <c r="K210" s="309"/>
      <c r="L210" s="309"/>
      <c r="M210" s="309"/>
      <c r="N210" s="309"/>
      <c r="O210" s="309"/>
      <c r="P210" s="309"/>
      <c r="Q210" s="309"/>
      <c r="R210" s="304">
        <v>0.15090000000000001</v>
      </c>
      <c r="S210" s="272"/>
      <c r="T210" s="272"/>
      <c r="U210" s="340"/>
      <c r="V210" s="5"/>
    </row>
    <row r="211" spans="1:22" ht="15.6" x14ac:dyDescent="0.3">
      <c r="A211" s="210"/>
      <c r="B211" s="268"/>
      <c r="C211" s="268"/>
      <c r="D211" s="268"/>
      <c r="E211" s="268"/>
      <c r="F211" s="268"/>
      <c r="G211" s="268"/>
      <c r="H211" s="268"/>
      <c r="I211" s="268"/>
      <c r="J211" s="268"/>
      <c r="K211" s="268"/>
      <c r="L211" s="268"/>
      <c r="M211" s="268"/>
      <c r="N211" s="268"/>
      <c r="O211" s="268"/>
      <c r="P211" s="268"/>
      <c r="Q211" s="268"/>
      <c r="R211" s="344"/>
      <c r="S211" s="268"/>
      <c r="T211" s="347"/>
      <c r="U211" s="314"/>
      <c r="V211" s="5"/>
    </row>
    <row r="212" spans="1:22" ht="15.6" x14ac:dyDescent="0.3">
      <c r="A212" s="327"/>
      <c r="B212" s="259" t="s">
        <v>83</v>
      </c>
      <c r="C212" s="260"/>
      <c r="D212" s="260"/>
      <c r="E212" s="260"/>
      <c r="F212" s="261"/>
      <c r="G212" s="260"/>
      <c r="H212" s="260"/>
      <c r="I212" s="260"/>
      <c r="J212" s="260"/>
      <c r="K212" s="260"/>
      <c r="L212" s="260"/>
      <c r="M212" s="260"/>
      <c r="N212" s="260"/>
      <c r="O212" s="260"/>
      <c r="P212" s="260"/>
      <c r="Q212" s="260" t="s">
        <v>108</v>
      </c>
      <c r="R212" s="261" t="s">
        <v>115</v>
      </c>
      <c r="S212" s="262"/>
      <c r="T212" s="262"/>
      <c r="U212" s="262"/>
      <c r="V212" s="5"/>
    </row>
    <row r="213" spans="1:22" ht="15.6" x14ac:dyDescent="0.3">
      <c r="A213" s="214"/>
      <c r="B213" s="228" t="s">
        <v>84</v>
      </c>
      <c r="C213" s="231"/>
      <c r="D213" s="231"/>
      <c r="E213" s="231"/>
      <c r="F213" s="228"/>
      <c r="G213" s="228"/>
      <c r="H213" s="230"/>
      <c r="I213" s="230"/>
      <c r="J213" s="230"/>
      <c r="K213" s="230"/>
      <c r="L213" s="230"/>
      <c r="M213" s="230"/>
      <c r="N213" s="230"/>
      <c r="O213" s="230"/>
      <c r="P213" s="230"/>
      <c r="Q213" s="230">
        <v>0</v>
      </c>
      <c r="R213" s="248">
        <v>0</v>
      </c>
      <c r="S213" s="228"/>
      <c r="T213" s="247"/>
      <c r="U213" s="215"/>
      <c r="V213" s="5"/>
    </row>
    <row r="214" spans="1:22" ht="15.6" x14ac:dyDescent="0.3">
      <c r="A214" s="358"/>
      <c r="B214" s="272" t="s">
        <v>156</v>
      </c>
      <c r="C214" s="317"/>
      <c r="D214" s="317"/>
      <c r="E214" s="317"/>
      <c r="F214" s="272"/>
      <c r="G214" s="272"/>
      <c r="H214" s="279"/>
      <c r="I214" s="279"/>
      <c r="J214" s="279"/>
      <c r="K214" s="279"/>
      <c r="L214" s="279"/>
      <c r="M214" s="279"/>
      <c r="N214" s="279"/>
      <c r="O214" s="279"/>
      <c r="P214" s="279"/>
      <c r="Q214" s="359">
        <f>+P265</f>
        <v>66</v>
      </c>
      <c r="R214" s="360">
        <f>+R265</f>
        <v>9720</v>
      </c>
      <c r="S214" s="272"/>
      <c r="T214" s="361"/>
      <c r="U214" s="362"/>
      <c r="V214" s="5"/>
    </row>
    <row r="215" spans="1:22" ht="15.6" x14ac:dyDescent="0.3">
      <c r="A215" s="358"/>
      <c r="B215" s="272" t="s">
        <v>85</v>
      </c>
      <c r="C215" s="317"/>
      <c r="D215" s="317"/>
      <c r="E215" s="317"/>
      <c r="F215" s="272"/>
      <c r="G215" s="272"/>
      <c r="H215" s="279"/>
      <c r="I215" s="279"/>
      <c r="J215" s="279"/>
      <c r="K215" s="279"/>
      <c r="L215" s="279"/>
      <c r="M215" s="279"/>
      <c r="N215" s="279"/>
      <c r="O215" s="279"/>
      <c r="P215" s="279"/>
      <c r="Q215" s="359">
        <f>+P277</f>
        <v>0</v>
      </c>
      <c r="R215" s="360">
        <f>+R277</f>
        <v>0</v>
      </c>
      <c r="S215" s="272"/>
      <c r="T215" s="361"/>
      <c r="U215" s="362"/>
      <c r="V215" s="5"/>
    </row>
    <row r="216" spans="1:22" ht="15.6" x14ac:dyDescent="0.3">
      <c r="A216" s="358"/>
      <c r="B216" s="293" t="s">
        <v>86</v>
      </c>
      <c r="C216" s="363"/>
      <c r="D216" s="363"/>
      <c r="E216" s="363"/>
      <c r="F216" s="337"/>
      <c r="G216" s="337"/>
      <c r="H216" s="337"/>
      <c r="I216" s="337"/>
      <c r="J216" s="337"/>
      <c r="K216" s="337"/>
      <c r="L216" s="337"/>
      <c r="M216" s="337"/>
      <c r="N216" s="337"/>
      <c r="O216" s="337"/>
      <c r="P216" s="337"/>
      <c r="Q216" s="337"/>
      <c r="R216" s="360">
        <v>0</v>
      </c>
      <c r="S216" s="337"/>
      <c r="T216" s="364"/>
      <c r="U216" s="362"/>
      <c r="V216" s="5"/>
    </row>
    <row r="217" spans="1:22" ht="15.6" x14ac:dyDescent="0.3">
      <c r="A217" s="358"/>
      <c r="B217" s="293" t="s">
        <v>87</v>
      </c>
      <c r="C217" s="363"/>
      <c r="D217" s="363"/>
      <c r="E217" s="363"/>
      <c r="F217" s="337"/>
      <c r="G217" s="337"/>
      <c r="H217" s="337"/>
      <c r="I217" s="337"/>
      <c r="J217" s="337"/>
      <c r="K217" s="337"/>
      <c r="L217" s="337"/>
      <c r="M217" s="337"/>
      <c r="N217" s="337"/>
      <c r="O217" s="337"/>
      <c r="P217" s="337"/>
      <c r="Q217" s="337"/>
      <c r="R217" s="365" t="s">
        <v>116</v>
      </c>
      <c r="S217" s="337"/>
      <c r="T217" s="364"/>
      <c r="U217" s="362"/>
      <c r="V217" s="5"/>
    </row>
    <row r="218" spans="1:22" ht="15.6" x14ac:dyDescent="0.3">
      <c r="A218" s="366"/>
      <c r="B218" s="293" t="s">
        <v>88</v>
      </c>
      <c r="C218" s="367"/>
      <c r="D218" s="367"/>
      <c r="E218" s="367"/>
      <c r="F218" s="367"/>
      <c r="G218" s="337"/>
      <c r="H218" s="337"/>
      <c r="I218" s="337"/>
      <c r="J218" s="337"/>
      <c r="K218" s="337"/>
      <c r="L218" s="337"/>
      <c r="M218" s="337"/>
      <c r="N218" s="337"/>
      <c r="O218" s="337"/>
      <c r="P218" s="337"/>
      <c r="Q218" s="337"/>
      <c r="R218" s="368"/>
      <c r="S218" s="337"/>
      <c r="T218" s="364"/>
      <c r="U218" s="369"/>
      <c r="V218" s="5"/>
    </row>
    <row r="219" spans="1:22" ht="15.6" x14ac:dyDescent="0.3">
      <c r="A219" s="366"/>
      <c r="B219" s="370" t="s">
        <v>89</v>
      </c>
      <c r="C219" s="370"/>
      <c r="D219" s="370"/>
      <c r="E219" s="370"/>
      <c r="F219" s="370"/>
      <c r="G219" s="370"/>
      <c r="H219" s="370"/>
      <c r="I219" s="370"/>
      <c r="J219" s="370"/>
      <c r="K219" s="370"/>
      <c r="L219" s="370"/>
      <c r="M219" s="370"/>
      <c r="N219" s="370"/>
      <c r="O219" s="370"/>
      <c r="P219" s="370"/>
      <c r="Q219" s="371"/>
      <c r="R219" s="372">
        <f>T163</f>
        <v>60</v>
      </c>
      <c r="S219" s="370"/>
      <c r="T219" s="364"/>
      <c r="U219" s="369"/>
      <c r="V219" s="5"/>
    </row>
    <row r="220" spans="1:22" ht="15.6" x14ac:dyDescent="0.3">
      <c r="A220" s="358"/>
      <c r="B220" s="370" t="s">
        <v>90</v>
      </c>
      <c r="C220" s="373"/>
      <c r="D220" s="373"/>
      <c r="E220" s="373"/>
      <c r="F220" s="373"/>
      <c r="G220" s="370"/>
      <c r="H220" s="370"/>
      <c r="I220" s="370"/>
      <c r="J220" s="370"/>
      <c r="K220" s="370"/>
      <c r="L220" s="370"/>
      <c r="M220" s="370"/>
      <c r="N220" s="370"/>
      <c r="O220" s="370"/>
      <c r="P220" s="370"/>
      <c r="Q220" s="371"/>
      <c r="R220" s="372">
        <f>'July 10'!R220+'Oct 10'!R219</f>
        <v>2878</v>
      </c>
      <c r="S220" s="370"/>
      <c r="T220" s="364"/>
      <c r="U220" s="369"/>
      <c r="V220" s="5"/>
    </row>
    <row r="221" spans="1:22" ht="15.6" x14ac:dyDescent="0.3">
      <c r="A221" s="366"/>
      <c r="B221" s="293" t="s">
        <v>288</v>
      </c>
      <c r="C221" s="367"/>
      <c r="D221" s="367"/>
      <c r="E221" s="367"/>
      <c r="F221" s="367"/>
      <c r="G221" s="337"/>
      <c r="H221" s="337"/>
      <c r="I221" s="337"/>
      <c r="J221" s="337"/>
      <c r="K221" s="337"/>
      <c r="L221" s="337"/>
      <c r="M221" s="337"/>
      <c r="N221" s="337"/>
      <c r="O221" s="337"/>
      <c r="P221" s="337"/>
      <c r="Q221" s="374"/>
      <c r="R221" s="368"/>
      <c r="S221" s="337"/>
      <c r="T221" s="364"/>
      <c r="U221" s="369"/>
      <c r="V221" s="5"/>
    </row>
    <row r="222" spans="1:22" ht="15.6" x14ac:dyDescent="0.3">
      <c r="A222" s="375"/>
      <c r="B222" s="272" t="s">
        <v>286</v>
      </c>
      <c r="C222" s="272"/>
      <c r="D222" s="272"/>
      <c r="E222" s="272"/>
      <c r="F222" s="272"/>
      <c r="G222" s="272"/>
      <c r="H222" s="272"/>
      <c r="I222" s="272"/>
      <c r="J222" s="272"/>
      <c r="K222" s="272"/>
      <c r="L222" s="272"/>
      <c r="M222" s="272"/>
      <c r="N222" s="272"/>
      <c r="O222" s="272"/>
      <c r="P222" s="272"/>
      <c r="Q222" s="279">
        <v>0</v>
      </c>
      <c r="R222" s="360">
        <v>0</v>
      </c>
      <c r="S222" s="272"/>
      <c r="T222" s="361"/>
      <c r="U222" s="369"/>
      <c r="V222" s="5"/>
    </row>
    <row r="223" spans="1:22" ht="15.6" x14ac:dyDescent="0.3">
      <c r="A223" s="376"/>
      <c r="B223" s="272" t="s">
        <v>92</v>
      </c>
      <c r="C223" s="306"/>
      <c r="D223" s="306"/>
      <c r="E223" s="306"/>
      <c r="F223" s="377"/>
      <c r="G223" s="272"/>
      <c r="H223" s="272"/>
      <c r="I223" s="272"/>
      <c r="J223" s="272"/>
      <c r="K223" s="272"/>
      <c r="L223" s="272"/>
      <c r="M223" s="272"/>
      <c r="N223" s="272"/>
      <c r="O223" s="272"/>
      <c r="P223" s="272"/>
      <c r="Q223" s="279"/>
      <c r="R223" s="365">
        <v>0</v>
      </c>
      <c r="S223" s="272"/>
      <c r="T223" s="361"/>
      <c r="U223" s="369"/>
      <c r="V223" s="5"/>
    </row>
    <row r="224" spans="1:22" ht="15.6" x14ac:dyDescent="0.3">
      <c r="A224" s="376"/>
      <c r="B224" s="272" t="s">
        <v>93</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58"/>
      <c r="B225" s="293" t="s">
        <v>258</v>
      </c>
      <c r="C225" s="378"/>
      <c r="D225" s="378"/>
      <c r="E225" s="378"/>
      <c r="F225" s="379"/>
      <c r="G225" s="337"/>
      <c r="H225" s="337"/>
      <c r="I225" s="337"/>
      <c r="J225" s="337"/>
      <c r="K225" s="337"/>
      <c r="L225" s="337"/>
      <c r="M225" s="337"/>
      <c r="N225" s="337"/>
      <c r="O225" s="337"/>
      <c r="P225" s="337"/>
      <c r="Q225" s="374"/>
      <c r="R225" s="380"/>
      <c r="S225" s="337"/>
      <c r="T225" s="364"/>
      <c r="U225" s="369"/>
      <c r="V225" s="5"/>
    </row>
    <row r="226" spans="1:23" ht="15.6" x14ac:dyDescent="0.3">
      <c r="A226" s="376"/>
      <c r="B226" s="272" t="s">
        <v>286</v>
      </c>
      <c r="C226" s="306"/>
      <c r="D226" s="306"/>
      <c r="E226" s="306"/>
      <c r="F226" s="377"/>
      <c r="G226" s="272"/>
      <c r="H226" s="272"/>
      <c r="I226" s="272"/>
      <c r="J226" s="272"/>
      <c r="K226" s="272"/>
      <c r="L226" s="272"/>
      <c r="M226" s="272"/>
      <c r="N226" s="272"/>
      <c r="O226" s="272"/>
      <c r="P226" s="272"/>
      <c r="Q226" s="279">
        <v>3</v>
      </c>
      <c r="R226" s="360">
        <v>550</v>
      </c>
      <c r="S226" s="272"/>
      <c r="T226" s="364"/>
      <c r="U226" s="369"/>
      <c r="V226" s="5"/>
    </row>
    <row r="227" spans="1:23" ht="15.6" x14ac:dyDescent="0.3">
      <c r="A227" s="376"/>
      <c r="B227" s="272" t="s">
        <v>259</v>
      </c>
      <c r="C227" s="306"/>
      <c r="D227" s="306"/>
      <c r="E227" s="306"/>
      <c r="F227" s="377"/>
      <c r="G227" s="272"/>
      <c r="H227" s="272"/>
      <c r="I227" s="272"/>
      <c r="J227" s="272"/>
      <c r="K227" s="272"/>
      <c r="L227" s="272"/>
      <c r="M227" s="272"/>
      <c r="N227" s="272"/>
      <c r="O227" s="272"/>
      <c r="P227" s="272"/>
      <c r="Q227" s="272"/>
      <c r="R227" s="365">
        <v>3.18</v>
      </c>
      <c r="S227" s="272"/>
      <c r="T227" s="364"/>
      <c r="U227" s="369"/>
      <c r="V227" s="5"/>
    </row>
    <row r="228" spans="1:23" ht="15.6" x14ac:dyDescent="0.3">
      <c r="A228" s="358"/>
      <c r="B228" s="367"/>
      <c r="C228" s="378"/>
      <c r="D228" s="378"/>
      <c r="E228" s="378"/>
      <c r="F228" s="379"/>
      <c r="G228" s="337"/>
      <c r="H228" s="337"/>
      <c r="I228" s="337"/>
      <c r="J228" s="337"/>
      <c r="K228" s="337"/>
      <c r="L228" s="337"/>
      <c r="M228" s="337"/>
      <c r="N228" s="337"/>
      <c r="O228" s="337"/>
      <c r="P228" s="337"/>
      <c r="Q228" s="337"/>
      <c r="R228" s="381"/>
      <c r="S228" s="337"/>
      <c r="T228" s="364"/>
      <c r="U228" s="369"/>
      <c r="V228" s="5"/>
    </row>
    <row r="229" spans="1:23" ht="17.399999999999999" x14ac:dyDescent="0.3">
      <c r="A229" s="358"/>
      <c r="B229" s="382" t="s">
        <v>208</v>
      </c>
      <c r="C229" s="378"/>
      <c r="D229" s="378"/>
      <c r="E229" s="378"/>
      <c r="F229" s="379"/>
      <c r="G229" s="337"/>
      <c r="H229" s="337"/>
      <c r="I229" s="337"/>
      <c r="J229" s="337"/>
      <c r="K229" s="337"/>
      <c r="L229" s="337"/>
      <c r="M229" s="337"/>
      <c r="N229" s="383" t="s">
        <v>207</v>
      </c>
      <c r="O229" s="337"/>
      <c r="P229" s="337"/>
      <c r="Q229" s="337"/>
      <c r="R229" s="381"/>
      <c r="S229" s="337"/>
      <c r="T229" s="364"/>
      <c r="U229" s="369"/>
      <c r="V229" s="5"/>
    </row>
    <row r="230" spans="1:23" ht="15.6" x14ac:dyDescent="0.3">
      <c r="A230" s="351"/>
      <c r="B230" s="352"/>
      <c r="C230" s="353"/>
      <c r="D230" s="353"/>
      <c r="E230" s="353"/>
      <c r="F230" s="354"/>
      <c r="G230" s="314"/>
      <c r="H230" s="314"/>
      <c r="I230" s="314"/>
      <c r="J230" s="314"/>
      <c r="K230" s="314"/>
      <c r="L230" s="314"/>
      <c r="M230" s="314"/>
      <c r="N230" s="314"/>
      <c r="O230" s="314"/>
      <c r="P230" s="314"/>
      <c r="Q230" s="314"/>
      <c r="R230" s="355"/>
      <c r="S230" s="314"/>
      <c r="T230" s="356"/>
      <c r="U230" s="357"/>
      <c r="V230" s="5"/>
    </row>
    <row r="231" spans="1:23" ht="15.6" x14ac:dyDescent="0.3">
      <c r="A231" s="258"/>
      <c r="B231" s="259" t="s">
        <v>302</v>
      </c>
      <c r="C231" s="260"/>
      <c r="D231" s="260"/>
      <c r="E231" s="260"/>
      <c r="F231" s="261"/>
      <c r="G231" s="260"/>
      <c r="H231" s="260"/>
      <c r="I231" s="260"/>
      <c r="J231" s="260"/>
      <c r="K231" s="260"/>
      <c r="L231" s="260"/>
      <c r="M231" s="260"/>
      <c r="N231" s="260"/>
      <c r="O231" s="260"/>
      <c r="P231" s="261" t="s">
        <v>108</v>
      </c>
      <c r="Q231" s="260" t="s">
        <v>109</v>
      </c>
      <c r="R231" s="261" t="s">
        <v>117</v>
      </c>
      <c r="S231" s="260" t="s">
        <v>109</v>
      </c>
      <c r="T231" s="262"/>
      <c r="U231" s="259"/>
      <c r="V231" s="5"/>
    </row>
    <row r="232" spans="1:23" ht="15.6" x14ac:dyDescent="0.3">
      <c r="A232" s="232"/>
      <c r="B232" s="231" t="s">
        <v>94</v>
      </c>
      <c r="C232" s="249"/>
      <c r="D232" s="249"/>
      <c r="E232" s="249"/>
      <c r="F232" s="228"/>
      <c r="G232" s="249"/>
      <c r="H232" s="249"/>
      <c r="I232" s="249"/>
      <c r="J232" s="249"/>
      <c r="K232" s="249"/>
      <c r="L232" s="249"/>
      <c r="M232" s="249"/>
      <c r="N232" s="249"/>
      <c r="O232" s="249"/>
      <c r="P232" s="317">
        <f t="shared" ref="P232:P239" si="1">+P244+P256+P268</f>
        <v>2656</v>
      </c>
      <c r="Q232" s="388">
        <f t="shared" ref="Q232:Q239" si="2">P232/$P$241</f>
        <v>0.98626067582621613</v>
      </c>
      <c r="R232" s="318">
        <f t="shared" ref="R232:R239" si="3">+R244+R256+R268</f>
        <v>316135</v>
      </c>
      <c r="S232" s="388">
        <f t="shared" ref="S232:S239" si="4">R232/$R$241</f>
        <v>0.98251497229309959</v>
      </c>
      <c r="T232" s="247"/>
      <c r="U232" s="229"/>
      <c r="V232" s="5"/>
    </row>
    <row r="233" spans="1:23" ht="15.6" x14ac:dyDescent="0.3">
      <c r="A233" s="302"/>
      <c r="B233" s="317" t="s">
        <v>95</v>
      </c>
      <c r="C233" s="387"/>
      <c r="D233" s="387"/>
      <c r="E233" s="387"/>
      <c r="F233" s="272"/>
      <c r="G233" s="388"/>
      <c r="H233" s="387"/>
      <c r="I233" s="387"/>
      <c r="J233" s="387"/>
      <c r="K233" s="387"/>
      <c r="L233" s="387"/>
      <c r="M233" s="387"/>
      <c r="N233" s="387"/>
      <c r="O233" s="387"/>
      <c r="P233" s="317">
        <f t="shared" si="1"/>
        <v>16</v>
      </c>
      <c r="Q233" s="388">
        <f t="shared" si="2"/>
        <v>5.9413293724470849E-3</v>
      </c>
      <c r="R233" s="318">
        <f t="shared" si="3"/>
        <v>2550</v>
      </c>
      <c r="S233" s="388">
        <f t="shared" si="4"/>
        <v>7.9251369805538891E-3</v>
      </c>
      <c r="T233" s="361"/>
      <c r="U233" s="389"/>
      <c r="V233" s="5"/>
      <c r="W233" s="110"/>
    </row>
    <row r="234" spans="1:23" ht="15.6" x14ac:dyDescent="0.3">
      <c r="A234" s="302"/>
      <c r="B234" s="317" t="s">
        <v>96</v>
      </c>
      <c r="C234" s="387"/>
      <c r="D234" s="387"/>
      <c r="E234" s="387"/>
      <c r="F234" s="272"/>
      <c r="G234" s="388"/>
      <c r="H234" s="387"/>
      <c r="I234" s="387"/>
      <c r="J234" s="387"/>
      <c r="K234" s="387"/>
      <c r="L234" s="387"/>
      <c r="M234" s="387"/>
      <c r="N234" s="387"/>
      <c r="O234" s="387"/>
      <c r="P234" s="317">
        <f t="shared" si="1"/>
        <v>4</v>
      </c>
      <c r="Q234" s="388">
        <f t="shared" si="2"/>
        <v>1.4853323431117712E-3</v>
      </c>
      <c r="R234" s="318">
        <f t="shared" si="3"/>
        <v>503</v>
      </c>
      <c r="S234" s="388">
        <f t="shared" si="4"/>
        <v>1.5632721181249437E-3</v>
      </c>
      <c r="T234" s="361"/>
      <c r="U234" s="389"/>
      <c r="V234" s="5"/>
    </row>
    <row r="235" spans="1:23" ht="15.6" x14ac:dyDescent="0.3">
      <c r="A235" s="302"/>
      <c r="B235" s="317" t="s">
        <v>171</v>
      </c>
      <c r="C235" s="387"/>
      <c r="D235" s="387"/>
      <c r="E235" s="387"/>
      <c r="F235" s="272"/>
      <c r="G235" s="388"/>
      <c r="H235" s="387"/>
      <c r="I235" s="387"/>
      <c r="J235" s="387"/>
      <c r="K235" s="387"/>
      <c r="L235" s="387"/>
      <c r="M235" s="387"/>
      <c r="N235" s="387"/>
      <c r="O235" s="387"/>
      <c r="P235" s="317">
        <f t="shared" si="1"/>
        <v>2</v>
      </c>
      <c r="Q235" s="388">
        <f t="shared" si="2"/>
        <v>7.4266617155588561E-4</v>
      </c>
      <c r="R235" s="318">
        <f t="shared" si="3"/>
        <v>137</v>
      </c>
      <c r="S235" s="388">
        <f t="shared" si="4"/>
        <v>4.2578186915132662E-4</v>
      </c>
      <c r="T235" s="361"/>
      <c r="U235" s="389"/>
      <c r="V235" s="5"/>
      <c r="W235" s="110"/>
    </row>
    <row r="236" spans="1:23" ht="15.6" x14ac:dyDescent="0.3">
      <c r="A236" s="302"/>
      <c r="B236" s="317" t="s">
        <v>172</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row>
    <row r="237" spans="1:23" ht="15.6" x14ac:dyDescent="0.3">
      <c r="A237" s="302"/>
      <c r="B237" s="317" t="s">
        <v>173</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c r="W237" s="110"/>
    </row>
    <row r="238" spans="1:23" ht="15.6" x14ac:dyDescent="0.3">
      <c r="A238" s="302"/>
      <c r="B238" s="317" t="s">
        <v>174</v>
      </c>
      <c r="C238" s="387"/>
      <c r="D238" s="387"/>
      <c r="E238" s="387"/>
      <c r="F238" s="272"/>
      <c r="G238" s="388"/>
      <c r="H238" s="387"/>
      <c r="I238" s="387"/>
      <c r="J238" s="387"/>
      <c r="K238" s="387"/>
      <c r="L238" s="387"/>
      <c r="M238" s="387"/>
      <c r="N238" s="387"/>
      <c r="O238" s="387"/>
      <c r="P238" s="317">
        <f t="shared" si="1"/>
        <v>2</v>
      </c>
      <c r="Q238" s="388">
        <f t="shared" si="2"/>
        <v>7.4266617155588561E-4</v>
      </c>
      <c r="R238" s="318">
        <f t="shared" si="3"/>
        <v>157</v>
      </c>
      <c r="S238" s="388">
        <f t="shared" si="4"/>
        <v>4.8793980625371007E-4</v>
      </c>
      <c r="T238" s="361"/>
      <c r="U238" s="389"/>
      <c r="V238" s="5"/>
    </row>
    <row r="239" spans="1:23" ht="15.6" x14ac:dyDescent="0.3">
      <c r="A239" s="302"/>
      <c r="B239" s="317" t="s">
        <v>175</v>
      </c>
      <c r="C239" s="387"/>
      <c r="D239" s="387"/>
      <c r="E239" s="387"/>
      <c r="F239" s="272"/>
      <c r="G239" s="388"/>
      <c r="H239" s="387"/>
      <c r="I239" s="387"/>
      <c r="J239" s="387"/>
      <c r="K239" s="387"/>
      <c r="L239" s="387"/>
      <c r="M239" s="387"/>
      <c r="N239" s="387"/>
      <c r="O239" s="387"/>
      <c r="P239" s="317">
        <f t="shared" si="1"/>
        <v>13</v>
      </c>
      <c r="Q239" s="388">
        <f t="shared" si="2"/>
        <v>4.8273301151132569E-3</v>
      </c>
      <c r="R239" s="318">
        <f t="shared" si="3"/>
        <v>2279</v>
      </c>
      <c r="S239" s="388">
        <f t="shared" si="4"/>
        <v>7.0828969328165939E-3</v>
      </c>
      <c r="T239" s="361"/>
      <c r="U239" s="389"/>
      <c r="V239" s="5"/>
      <c r="W239" s="110"/>
    </row>
    <row r="240" spans="1:23" ht="15.6" x14ac:dyDescent="0.3">
      <c r="A240" s="302"/>
      <c r="B240" s="317"/>
      <c r="C240" s="387"/>
      <c r="D240" s="387"/>
      <c r="E240" s="387"/>
      <c r="F240" s="272"/>
      <c r="G240" s="388"/>
      <c r="H240" s="387"/>
      <c r="I240" s="387"/>
      <c r="J240" s="387"/>
      <c r="K240" s="387"/>
      <c r="L240" s="387"/>
      <c r="M240" s="387"/>
      <c r="N240" s="387"/>
      <c r="O240" s="387"/>
      <c r="P240" s="317"/>
      <c r="Q240" s="388"/>
      <c r="R240" s="318"/>
      <c r="S240" s="388"/>
      <c r="T240" s="361"/>
      <c r="U240" s="389"/>
      <c r="V240" s="5"/>
    </row>
    <row r="241" spans="1:23" ht="15.6" x14ac:dyDescent="0.3">
      <c r="A241" s="302"/>
      <c r="B241" s="272"/>
      <c r="C241" s="272"/>
      <c r="D241" s="272"/>
      <c r="E241" s="272"/>
      <c r="F241" s="272"/>
      <c r="G241" s="272"/>
      <c r="H241" s="390"/>
      <c r="I241" s="390"/>
      <c r="J241" s="390"/>
      <c r="K241" s="390"/>
      <c r="L241" s="390"/>
      <c r="M241" s="390"/>
      <c r="N241" s="390"/>
      <c r="O241" s="390"/>
      <c r="P241" s="317">
        <f>SUM(P232:P240)</f>
        <v>2693</v>
      </c>
      <c r="Q241" s="388">
        <f>SUM(Q232:Q240)</f>
        <v>1</v>
      </c>
      <c r="R241" s="318">
        <f>SUM(R232:R240)</f>
        <v>321761</v>
      </c>
      <c r="S241" s="388">
        <f>SUM(S232:S240)</f>
        <v>1</v>
      </c>
      <c r="T241" s="272"/>
      <c r="U241" s="275"/>
      <c r="V241" s="5"/>
    </row>
    <row r="242" spans="1:23" ht="15.6" x14ac:dyDescent="0.3">
      <c r="A242" s="351"/>
      <c r="B242" s="352"/>
      <c r="C242" s="353"/>
      <c r="D242" s="353"/>
      <c r="E242" s="353"/>
      <c r="F242" s="354"/>
      <c r="G242" s="314"/>
      <c r="H242" s="314"/>
      <c r="I242" s="314"/>
      <c r="J242" s="314"/>
      <c r="K242" s="314"/>
      <c r="L242" s="314"/>
      <c r="M242" s="314"/>
      <c r="N242" s="314"/>
      <c r="O242" s="314"/>
      <c r="P242" s="314"/>
      <c r="Q242" s="314"/>
      <c r="R242" s="355"/>
      <c r="S242" s="314"/>
      <c r="T242" s="356"/>
      <c r="U242" s="357"/>
      <c r="V242" s="5"/>
    </row>
    <row r="243" spans="1:23" ht="15.6" x14ac:dyDescent="0.3">
      <c r="A243" s="258"/>
      <c r="B243" s="259" t="s">
        <v>177</v>
      </c>
      <c r="C243" s="260"/>
      <c r="D243" s="260"/>
      <c r="E243" s="260"/>
      <c r="F243" s="261"/>
      <c r="G243" s="260"/>
      <c r="H243" s="260"/>
      <c r="I243" s="260"/>
      <c r="J243" s="260"/>
      <c r="K243" s="260"/>
      <c r="L243" s="260"/>
      <c r="M243" s="260"/>
      <c r="N243" s="260"/>
      <c r="O243" s="260"/>
      <c r="P243" s="261" t="s">
        <v>108</v>
      </c>
      <c r="Q243" s="260" t="s">
        <v>109</v>
      </c>
      <c r="R243" s="261" t="s">
        <v>117</v>
      </c>
      <c r="S243" s="260" t="s">
        <v>109</v>
      </c>
      <c r="T243" s="262"/>
      <c r="U243" s="259"/>
      <c r="V243" s="5"/>
    </row>
    <row r="244" spans="1:23" ht="15.6" x14ac:dyDescent="0.3">
      <c r="A244" s="232"/>
      <c r="B244" s="231" t="s">
        <v>94</v>
      </c>
      <c r="C244" s="249"/>
      <c r="D244" s="249"/>
      <c r="E244" s="249"/>
      <c r="F244" s="228"/>
      <c r="G244" s="249"/>
      <c r="H244" s="249"/>
      <c r="I244" s="249"/>
      <c r="J244" s="249"/>
      <c r="K244" s="249"/>
      <c r="L244" s="249"/>
      <c r="M244" s="249"/>
      <c r="N244" s="249"/>
      <c r="O244" s="249"/>
      <c r="P244" s="231">
        <v>2608</v>
      </c>
      <c r="Q244" s="250">
        <f t="shared" ref="Q244:Q251" si="5">P244/$P$253</f>
        <v>0.99276741530262658</v>
      </c>
      <c r="R244" s="242">
        <v>309244</v>
      </c>
      <c r="S244" s="250">
        <f t="shared" ref="S244:S251" si="6">R244/$R$253</f>
        <v>0.99103643431472144</v>
      </c>
      <c r="T244" s="247"/>
      <c r="U244" s="229"/>
      <c r="V244" s="5"/>
    </row>
    <row r="245" spans="1:23" ht="15.6" x14ac:dyDescent="0.3">
      <c r="A245" s="302"/>
      <c r="B245" s="317" t="s">
        <v>95</v>
      </c>
      <c r="C245" s="387"/>
      <c r="D245" s="387"/>
      <c r="E245" s="387"/>
      <c r="F245" s="272"/>
      <c r="G245" s="388"/>
      <c r="H245" s="387"/>
      <c r="I245" s="387"/>
      <c r="J245" s="387"/>
      <c r="K245" s="387"/>
      <c r="L245" s="387"/>
      <c r="M245" s="387"/>
      <c r="N245" s="387"/>
      <c r="O245" s="387"/>
      <c r="P245" s="317">
        <v>14</v>
      </c>
      <c r="Q245" s="388">
        <f t="shared" si="5"/>
        <v>5.3292729349067374E-3</v>
      </c>
      <c r="R245" s="318">
        <v>2064</v>
      </c>
      <c r="S245" s="388">
        <f t="shared" si="6"/>
        <v>6.614515400219843E-3</v>
      </c>
      <c r="T245" s="361"/>
      <c r="U245" s="389"/>
      <c r="V245" s="5"/>
      <c r="W245" s="110"/>
    </row>
    <row r="246" spans="1:23" ht="15.6" x14ac:dyDescent="0.3">
      <c r="A246" s="302"/>
      <c r="B246" s="317" t="s">
        <v>96</v>
      </c>
      <c r="C246" s="387"/>
      <c r="D246" s="387"/>
      <c r="E246" s="387"/>
      <c r="F246" s="272"/>
      <c r="G246" s="388"/>
      <c r="H246" s="387"/>
      <c r="I246" s="387"/>
      <c r="J246" s="387"/>
      <c r="K246" s="387"/>
      <c r="L246" s="387"/>
      <c r="M246" s="387"/>
      <c r="N246" s="387"/>
      <c r="O246" s="387"/>
      <c r="P246" s="317">
        <v>3</v>
      </c>
      <c r="Q246" s="388">
        <f t="shared" si="5"/>
        <v>1.1419870574800152E-3</v>
      </c>
      <c r="R246" s="318">
        <v>362</v>
      </c>
      <c r="S246" s="388">
        <f t="shared" si="6"/>
        <v>1.1601039606974725E-3</v>
      </c>
      <c r="T246" s="361"/>
      <c r="U246" s="389"/>
      <c r="V246" s="5"/>
    </row>
    <row r="247" spans="1:23" ht="15.6" x14ac:dyDescent="0.3">
      <c r="A247" s="302"/>
      <c r="B247" s="317" t="s">
        <v>171</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c r="W247" s="110"/>
    </row>
    <row r="248" spans="1:23" ht="15.6" x14ac:dyDescent="0.3">
      <c r="A248" s="302"/>
      <c r="B248" s="317" t="s">
        <v>172</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row>
    <row r="249" spans="1:23" ht="15.6" x14ac:dyDescent="0.3">
      <c r="A249" s="302"/>
      <c r="B249" s="317" t="s">
        <v>173</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c r="W249" s="110"/>
    </row>
    <row r="250" spans="1:23" ht="15.6" x14ac:dyDescent="0.3">
      <c r="A250" s="302"/>
      <c r="B250" s="317" t="s">
        <v>174</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row>
    <row r="251" spans="1:23" ht="15.6" x14ac:dyDescent="0.3">
      <c r="A251" s="302"/>
      <c r="B251" s="317" t="s">
        <v>175</v>
      </c>
      <c r="C251" s="387"/>
      <c r="D251" s="387"/>
      <c r="E251" s="387"/>
      <c r="F251" s="272"/>
      <c r="G251" s="388"/>
      <c r="H251" s="387"/>
      <c r="I251" s="387"/>
      <c r="J251" s="387"/>
      <c r="K251" s="387"/>
      <c r="L251" s="387"/>
      <c r="M251" s="387"/>
      <c r="N251" s="387"/>
      <c r="O251" s="387"/>
      <c r="P251" s="317">
        <v>2</v>
      </c>
      <c r="Q251" s="388">
        <f t="shared" si="5"/>
        <v>7.6132470498667686E-4</v>
      </c>
      <c r="R251" s="318">
        <v>371</v>
      </c>
      <c r="S251" s="388">
        <f t="shared" si="6"/>
        <v>1.1889463243612217E-3</v>
      </c>
      <c r="T251" s="361"/>
      <c r="U251" s="389"/>
      <c r="V251" s="5"/>
      <c r="W251" s="110"/>
    </row>
    <row r="252" spans="1:23" ht="15.6" x14ac:dyDescent="0.3">
      <c r="A252" s="302"/>
      <c r="B252" s="317"/>
      <c r="C252" s="387"/>
      <c r="D252" s="387"/>
      <c r="E252" s="387"/>
      <c r="F252" s="272"/>
      <c r="G252" s="388"/>
      <c r="H252" s="387"/>
      <c r="I252" s="387"/>
      <c r="J252" s="387"/>
      <c r="K252" s="387"/>
      <c r="L252" s="387"/>
      <c r="M252" s="387"/>
      <c r="N252" s="387"/>
      <c r="O252" s="387"/>
      <c r="P252" s="317"/>
      <c r="Q252" s="388"/>
      <c r="R252" s="318"/>
      <c r="S252" s="388"/>
      <c r="T252" s="361"/>
      <c r="U252" s="389"/>
      <c r="V252" s="5"/>
    </row>
    <row r="253" spans="1:23" ht="15.6" x14ac:dyDescent="0.3">
      <c r="A253" s="302"/>
      <c r="B253" s="272"/>
      <c r="C253" s="272"/>
      <c r="D253" s="272"/>
      <c r="E253" s="272"/>
      <c r="F253" s="272"/>
      <c r="G253" s="272"/>
      <c r="H253" s="390"/>
      <c r="I253" s="390"/>
      <c r="J253" s="390"/>
      <c r="K253" s="390"/>
      <c r="L253" s="390"/>
      <c r="M253" s="390"/>
      <c r="N253" s="390"/>
      <c r="O253" s="390"/>
      <c r="P253" s="317">
        <f>SUM(P244:P252)</f>
        <v>2627</v>
      </c>
      <c r="Q253" s="388">
        <f>SUM(Q244:Q252)</f>
        <v>1</v>
      </c>
      <c r="R253" s="318">
        <f>SUM(R244:R252)</f>
        <v>312041</v>
      </c>
      <c r="S253" s="388">
        <f>SUM(S244:S252)</f>
        <v>0.99999999999999989</v>
      </c>
      <c r="T253" s="272"/>
      <c r="U253" s="275"/>
      <c r="V253" s="5"/>
    </row>
    <row r="254" spans="1:23" ht="15.6" x14ac:dyDescent="0.3">
      <c r="A254" s="177"/>
      <c r="B254" s="314"/>
      <c r="C254" s="314"/>
      <c r="D254" s="314"/>
      <c r="E254" s="314"/>
      <c r="F254" s="314"/>
      <c r="G254" s="314"/>
      <c r="H254" s="384"/>
      <c r="I254" s="384"/>
      <c r="J254" s="384"/>
      <c r="K254" s="384"/>
      <c r="L254" s="384"/>
      <c r="M254" s="384"/>
      <c r="N254" s="384"/>
      <c r="O254" s="384"/>
      <c r="P254" s="315"/>
      <c r="Q254" s="385"/>
      <c r="R254" s="386"/>
      <c r="S254" s="385"/>
      <c r="T254" s="314"/>
      <c r="U254" s="314"/>
      <c r="V254" s="5"/>
    </row>
    <row r="255" spans="1:23" ht="15.6" x14ac:dyDescent="0.3">
      <c r="A255" s="263"/>
      <c r="B255" s="259" t="s">
        <v>279</v>
      </c>
      <c r="C255" s="260"/>
      <c r="D255" s="260"/>
      <c r="E255" s="260"/>
      <c r="F255" s="261"/>
      <c r="G255" s="260"/>
      <c r="H255" s="260"/>
      <c r="I255" s="260"/>
      <c r="J255" s="260"/>
      <c r="K255" s="260"/>
      <c r="L255" s="260"/>
      <c r="M255" s="260"/>
      <c r="N255" s="260"/>
      <c r="O255" s="260"/>
      <c r="P255" s="261" t="s">
        <v>108</v>
      </c>
      <c r="Q255" s="260" t="s">
        <v>109</v>
      </c>
      <c r="R255" s="261" t="s">
        <v>117</v>
      </c>
      <c r="S255" s="260" t="s">
        <v>109</v>
      </c>
      <c r="T255" s="264"/>
      <c r="U255" s="265"/>
      <c r="V255" s="5"/>
    </row>
    <row r="256" spans="1:23" ht="15.6" x14ac:dyDescent="0.3">
      <c r="A256" s="232"/>
      <c r="B256" s="231" t="s">
        <v>94</v>
      </c>
      <c r="C256" s="249"/>
      <c r="D256" s="249"/>
      <c r="E256" s="249"/>
      <c r="F256" s="228"/>
      <c r="G256" s="249"/>
      <c r="H256" s="249"/>
      <c r="I256" s="249"/>
      <c r="J256" s="249"/>
      <c r="K256" s="249"/>
      <c r="L256" s="249"/>
      <c r="M256" s="249"/>
      <c r="N256" s="249"/>
      <c r="O256" s="249"/>
      <c r="P256" s="231">
        <v>48</v>
      </c>
      <c r="Q256" s="250">
        <f t="shared" ref="Q256:Q263" si="7">P256/$P$265</f>
        <v>0.72727272727272729</v>
      </c>
      <c r="R256" s="242">
        <v>6891</v>
      </c>
      <c r="S256" s="250">
        <f t="shared" ref="S256:S263" si="8">R256/$R$265</f>
        <v>0.70895061728395059</v>
      </c>
      <c r="T256" s="228"/>
      <c r="U256" s="194"/>
      <c r="V256" s="5"/>
    </row>
    <row r="257" spans="1:22" ht="15.6" x14ac:dyDescent="0.3">
      <c r="A257" s="302"/>
      <c r="B257" s="317" t="s">
        <v>95</v>
      </c>
      <c r="C257" s="387"/>
      <c r="D257" s="387"/>
      <c r="E257" s="387"/>
      <c r="F257" s="272"/>
      <c r="G257" s="388"/>
      <c r="H257" s="387"/>
      <c r="I257" s="387"/>
      <c r="J257" s="387"/>
      <c r="K257" s="387"/>
      <c r="L257" s="387"/>
      <c r="M257" s="387"/>
      <c r="N257" s="387"/>
      <c r="O257" s="387"/>
      <c r="P257" s="317">
        <v>2</v>
      </c>
      <c r="Q257" s="388">
        <f t="shared" si="7"/>
        <v>3.0303030303030304E-2</v>
      </c>
      <c r="R257" s="318">
        <v>486</v>
      </c>
      <c r="S257" s="388">
        <f t="shared" si="8"/>
        <v>0.05</v>
      </c>
      <c r="T257" s="272"/>
      <c r="U257" s="340"/>
      <c r="V257" s="5"/>
    </row>
    <row r="258" spans="1:22" ht="15.6" x14ac:dyDescent="0.3">
      <c r="A258" s="302"/>
      <c r="B258" s="317" t="s">
        <v>96</v>
      </c>
      <c r="C258" s="387"/>
      <c r="D258" s="387"/>
      <c r="E258" s="387"/>
      <c r="F258" s="272"/>
      <c r="G258" s="388"/>
      <c r="H258" s="387"/>
      <c r="I258" s="387"/>
      <c r="J258" s="387"/>
      <c r="K258" s="387"/>
      <c r="L258" s="387"/>
      <c r="M258" s="387"/>
      <c r="N258" s="387"/>
      <c r="O258" s="387"/>
      <c r="P258" s="317">
        <v>1</v>
      </c>
      <c r="Q258" s="388">
        <f t="shared" si="7"/>
        <v>1.5151515151515152E-2</v>
      </c>
      <c r="R258" s="318">
        <v>141</v>
      </c>
      <c r="S258" s="388">
        <f t="shared" si="8"/>
        <v>1.4506172839506172E-2</v>
      </c>
      <c r="T258" s="272"/>
      <c r="U258" s="340"/>
      <c r="V258" s="5"/>
    </row>
    <row r="259" spans="1:22" ht="15.6" x14ac:dyDescent="0.3">
      <c r="A259" s="302"/>
      <c r="B259" s="317" t="s">
        <v>171</v>
      </c>
      <c r="C259" s="387"/>
      <c r="D259" s="387"/>
      <c r="E259" s="387"/>
      <c r="F259" s="272"/>
      <c r="G259" s="388"/>
      <c r="H259" s="387"/>
      <c r="I259" s="387"/>
      <c r="J259" s="387"/>
      <c r="K259" s="387"/>
      <c r="L259" s="387"/>
      <c r="M259" s="387"/>
      <c r="N259" s="387"/>
      <c r="O259" s="387"/>
      <c r="P259" s="317">
        <v>2</v>
      </c>
      <c r="Q259" s="388">
        <f t="shared" si="7"/>
        <v>3.0303030303030304E-2</v>
      </c>
      <c r="R259" s="318">
        <v>137</v>
      </c>
      <c r="S259" s="388">
        <f t="shared" si="8"/>
        <v>1.4094650205761316E-2</v>
      </c>
      <c r="T259" s="272"/>
      <c r="U259" s="340"/>
      <c r="V259" s="5"/>
    </row>
    <row r="260" spans="1:22" ht="15.6" x14ac:dyDescent="0.3">
      <c r="A260" s="302"/>
      <c r="B260" s="317" t="s">
        <v>172</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173</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174</v>
      </c>
      <c r="C262" s="387"/>
      <c r="D262" s="387"/>
      <c r="E262" s="387"/>
      <c r="F262" s="272"/>
      <c r="G262" s="388"/>
      <c r="H262" s="387"/>
      <c r="I262" s="387"/>
      <c r="J262" s="387"/>
      <c r="K262" s="387"/>
      <c r="L262" s="387"/>
      <c r="M262" s="387"/>
      <c r="N262" s="387"/>
      <c r="O262" s="387"/>
      <c r="P262" s="317">
        <v>2</v>
      </c>
      <c r="Q262" s="388">
        <f t="shared" si="7"/>
        <v>3.0303030303030304E-2</v>
      </c>
      <c r="R262" s="318">
        <v>157</v>
      </c>
      <c r="S262" s="388">
        <f t="shared" si="8"/>
        <v>1.6152263374485595E-2</v>
      </c>
      <c r="T262" s="272"/>
      <c r="U262" s="340"/>
      <c r="V262" s="5"/>
    </row>
    <row r="263" spans="1:22" ht="15.6" x14ac:dyDescent="0.3">
      <c r="A263" s="302"/>
      <c r="B263" s="317" t="s">
        <v>175</v>
      </c>
      <c r="C263" s="387"/>
      <c r="D263" s="387"/>
      <c r="E263" s="387"/>
      <c r="F263" s="272"/>
      <c r="G263" s="388"/>
      <c r="H263" s="387"/>
      <c r="I263" s="387"/>
      <c r="J263" s="387"/>
      <c r="K263" s="387"/>
      <c r="L263" s="387"/>
      <c r="M263" s="387"/>
      <c r="N263" s="387"/>
      <c r="O263" s="387"/>
      <c r="P263" s="317">
        <v>11</v>
      </c>
      <c r="Q263" s="388">
        <f t="shared" si="7"/>
        <v>0.16666666666666666</v>
      </c>
      <c r="R263" s="318">
        <v>1908</v>
      </c>
      <c r="S263" s="388">
        <f t="shared" si="8"/>
        <v>0.1962962962962963</v>
      </c>
      <c r="T263" s="272"/>
      <c r="U263" s="340"/>
      <c r="V263" s="5"/>
    </row>
    <row r="264" spans="1:22" ht="15.6" x14ac:dyDescent="0.3">
      <c r="A264" s="302"/>
      <c r="B264" s="317"/>
      <c r="C264" s="387"/>
      <c r="D264" s="387"/>
      <c r="E264" s="387"/>
      <c r="F264" s="272"/>
      <c r="G264" s="388"/>
      <c r="H264" s="387"/>
      <c r="I264" s="387"/>
      <c r="J264" s="387"/>
      <c r="K264" s="387"/>
      <c r="L264" s="387"/>
      <c r="M264" s="387"/>
      <c r="N264" s="387"/>
      <c r="O264" s="387"/>
      <c r="P264" s="317"/>
      <c r="Q264" s="388"/>
      <c r="R264" s="318"/>
      <c r="S264" s="388"/>
      <c r="T264" s="272"/>
      <c r="U264" s="340"/>
      <c r="V264" s="5"/>
    </row>
    <row r="265" spans="1:22" ht="15.6" x14ac:dyDescent="0.3">
      <c r="A265" s="302"/>
      <c r="B265" s="272"/>
      <c r="C265" s="272"/>
      <c r="D265" s="272"/>
      <c r="E265" s="272"/>
      <c r="F265" s="272"/>
      <c r="G265" s="272"/>
      <c r="H265" s="390"/>
      <c r="I265" s="390"/>
      <c r="J265" s="390"/>
      <c r="K265" s="390"/>
      <c r="L265" s="390"/>
      <c r="M265" s="390"/>
      <c r="N265" s="390"/>
      <c r="O265" s="390"/>
      <c r="P265" s="317">
        <f>SUM(P256:P264)</f>
        <v>66</v>
      </c>
      <c r="Q265" s="388">
        <f>SUM(Q256:Q264)</f>
        <v>0.99999999999999989</v>
      </c>
      <c r="R265" s="318">
        <f>SUM(R256:R264)</f>
        <v>9720</v>
      </c>
      <c r="S265" s="388">
        <f>SUM(S256:S264)</f>
        <v>1</v>
      </c>
      <c r="T265" s="272"/>
      <c r="U265" s="340"/>
      <c r="V265" s="5"/>
    </row>
    <row r="266" spans="1:22" ht="15.6" x14ac:dyDescent="0.3">
      <c r="A266" s="233"/>
      <c r="B266" s="268"/>
      <c r="C266" s="268"/>
      <c r="D266" s="268"/>
      <c r="E266" s="268"/>
      <c r="F266" s="268"/>
      <c r="G266" s="268"/>
      <c r="H266" s="391"/>
      <c r="I266" s="391"/>
      <c r="J266" s="391"/>
      <c r="K266" s="391"/>
      <c r="L266" s="391"/>
      <c r="M266" s="391"/>
      <c r="N266" s="391"/>
      <c r="O266" s="391"/>
      <c r="P266" s="333"/>
      <c r="Q266" s="392"/>
      <c r="R266" s="393"/>
      <c r="S266" s="392"/>
      <c r="T266" s="268"/>
      <c r="U266" s="314"/>
      <c r="V266" s="5"/>
    </row>
    <row r="267" spans="1:22" ht="15.6" x14ac:dyDescent="0.3">
      <c r="A267" s="263"/>
      <c r="B267" s="259" t="s">
        <v>179</v>
      </c>
      <c r="C267" s="264"/>
      <c r="D267" s="264"/>
      <c r="E267" s="264"/>
      <c r="F267" s="264"/>
      <c r="G267" s="264"/>
      <c r="H267" s="266"/>
      <c r="I267" s="266"/>
      <c r="J267" s="266"/>
      <c r="K267" s="266"/>
      <c r="L267" s="266"/>
      <c r="M267" s="266"/>
      <c r="N267" s="266"/>
      <c r="O267" s="266"/>
      <c r="P267" s="261" t="s">
        <v>108</v>
      </c>
      <c r="Q267" s="260" t="s">
        <v>109</v>
      </c>
      <c r="R267" s="261" t="s">
        <v>117</v>
      </c>
      <c r="S267" s="260" t="s">
        <v>109</v>
      </c>
      <c r="T267" s="264"/>
      <c r="U267" s="265"/>
      <c r="V267" s="5"/>
    </row>
    <row r="268" spans="1:22" ht="15.6" x14ac:dyDescent="0.3">
      <c r="A268" s="232"/>
      <c r="B268" s="231" t="s">
        <v>94</v>
      </c>
      <c r="C268" s="228"/>
      <c r="D268" s="228"/>
      <c r="E268" s="228"/>
      <c r="F268" s="228"/>
      <c r="G268" s="228"/>
      <c r="H268" s="251"/>
      <c r="I268" s="251"/>
      <c r="J268" s="251"/>
      <c r="K268" s="251"/>
      <c r="L268" s="251"/>
      <c r="M268" s="251"/>
      <c r="N268" s="251"/>
      <c r="O268" s="251"/>
      <c r="P268" s="231">
        <v>0</v>
      </c>
      <c r="Q268" s="250">
        <v>0</v>
      </c>
      <c r="R268" s="242">
        <v>0</v>
      </c>
      <c r="S268" s="250">
        <v>0</v>
      </c>
      <c r="T268" s="228"/>
      <c r="U268" s="194"/>
      <c r="V268" s="5"/>
    </row>
    <row r="269" spans="1:22" ht="15.6" x14ac:dyDescent="0.3">
      <c r="A269" s="302"/>
      <c r="B269" s="317" t="s">
        <v>95</v>
      </c>
      <c r="C269" s="272"/>
      <c r="D269" s="272"/>
      <c r="E269" s="272"/>
      <c r="F269" s="272"/>
      <c r="G269" s="272"/>
      <c r="H269" s="390"/>
      <c r="I269" s="390"/>
      <c r="J269" s="390"/>
      <c r="K269" s="390"/>
      <c r="L269" s="390"/>
      <c r="M269" s="390"/>
      <c r="N269" s="390"/>
      <c r="O269" s="390"/>
      <c r="P269" s="317">
        <v>0</v>
      </c>
      <c r="Q269" s="388">
        <v>0</v>
      </c>
      <c r="R269" s="318">
        <v>0</v>
      </c>
      <c r="S269" s="388">
        <v>0</v>
      </c>
      <c r="T269" s="272"/>
      <c r="U269" s="340"/>
      <c r="V269" s="5"/>
    </row>
    <row r="270" spans="1:22" ht="15.6" x14ac:dyDescent="0.3">
      <c r="A270" s="302"/>
      <c r="B270" s="317" t="s">
        <v>96</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171</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172</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173</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174</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175</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c r="C276" s="272"/>
      <c r="D276" s="272"/>
      <c r="E276" s="272"/>
      <c r="F276" s="272"/>
      <c r="G276" s="272"/>
      <c r="H276" s="390"/>
      <c r="I276" s="390"/>
      <c r="J276" s="390"/>
      <c r="K276" s="390"/>
      <c r="L276" s="390"/>
      <c r="M276" s="390"/>
      <c r="N276" s="390"/>
      <c r="O276" s="390"/>
      <c r="P276" s="317"/>
      <c r="Q276" s="388"/>
      <c r="R276" s="318"/>
      <c r="S276" s="388"/>
      <c r="T276" s="272"/>
      <c r="U276" s="340"/>
      <c r="V276" s="5"/>
    </row>
    <row r="277" spans="1:22" ht="15.6" x14ac:dyDescent="0.3">
      <c r="A277" s="302"/>
      <c r="B277" s="272" t="s">
        <v>123</v>
      </c>
      <c r="C277" s="272"/>
      <c r="D277" s="272"/>
      <c r="E277" s="272"/>
      <c r="F277" s="272"/>
      <c r="G277" s="272"/>
      <c r="H277" s="390"/>
      <c r="I277" s="390"/>
      <c r="J277" s="390"/>
      <c r="K277" s="390"/>
      <c r="L277" s="390"/>
      <c r="M277" s="390"/>
      <c r="N277" s="390"/>
      <c r="O277" s="390"/>
      <c r="P277" s="317">
        <f>SUM(P268:P275)</f>
        <v>0</v>
      </c>
      <c r="Q277" s="388">
        <f>SUM(Q268:Q275)</f>
        <v>0</v>
      </c>
      <c r="R277" s="318">
        <f>SUM(R268:R275)</f>
        <v>0</v>
      </c>
      <c r="S277" s="388">
        <f>SUM(S268:S275)</f>
        <v>0</v>
      </c>
      <c r="T277" s="272"/>
      <c r="U277" s="340"/>
      <c r="V277" s="5"/>
    </row>
    <row r="278" spans="1:22" ht="15.6" x14ac:dyDescent="0.3">
      <c r="A278" s="302"/>
      <c r="B278" s="272"/>
      <c r="C278" s="272"/>
      <c r="D278" s="272"/>
      <c r="E278" s="272"/>
      <c r="F278" s="272"/>
      <c r="G278" s="272"/>
      <c r="H278" s="390"/>
      <c r="I278" s="390"/>
      <c r="J278" s="390"/>
      <c r="K278" s="390"/>
      <c r="L278" s="390"/>
      <c r="M278" s="390"/>
      <c r="N278" s="390"/>
      <c r="O278" s="390"/>
      <c r="P278" s="317"/>
      <c r="Q278" s="388"/>
      <c r="R278" s="318"/>
      <c r="S278" s="388"/>
      <c r="T278" s="272"/>
      <c r="U278" s="340"/>
      <c r="V278" s="5"/>
    </row>
    <row r="279" spans="1:22" ht="15.6" x14ac:dyDescent="0.3">
      <c r="A279" s="302"/>
      <c r="B279" s="394" t="s">
        <v>180</v>
      </c>
      <c r="C279" s="272"/>
      <c r="D279" s="272"/>
      <c r="E279" s="272"/>
      <c r="F279" s="272"/>
      <c r="G279" s="272"/>
      <c r="H279" s="390"/>
      <c r="I279" s="390"/>
      <c r="J279" s="390"/>
      <c r="K279" s="390"/>
      <c r="L279" s="390"/>
      <c r="M279" s="390"/>
      <c r="N279" s="390"/>
      <c r="O279" s="390"/>
      <c r="P279" s="395">
        <f>+P253+P265+P277</f>
        <v>2693</v>
      </c>
      <c r="Q279" s="388"/>
      <c r="R279" s="396">
        <f>+R277+R265+R253</f>
        <v>321761</v>
      </c>
      <c r="S279" s="388"/>
      <c r="T279" s="272"/>
      <c r="U279" s="340"/>
      <c r="V279" s="5"/>
    </row>
    <row r="280" spans="1:22" ht="15.6" x14ac:dyDescent="0.3">
      <c r="A280" s="233"/>
      <c r="B280" s="268"/>
      <c r="C280" s="268"/>
      <c r="D280" s="268"/>
      <c r="E280" s="268"/>
      <c r="F280" s="268"/>
      <c r="G280" s="268"/>
      <c r="H280" s="391"/>
      <c r="I280" s="391"/>
      <c r="J280" s="391"/>
      <c r="K280" s="391"/>
      <c r="L280" s="391"/>
      <c r="M280" s="391"/>
      <c r="N280" s="391"/>
      <c r="O280" s="391"/>
      <c r="P280" s="391"/>
      <c r="Q280" s="391"/>
      <c r="R280" s="393"/>
      <c r="S280" s="391"/>
      <c r="T280" s="268"/>
      <c r="U280" s="314"/>
      <c r="V280" s="5"/>
    </row>
    <row r="281" spans="1:22" ht="15.6" x14ac:dyDescent="0.3">
      <c r="A281" s="233"/>
      <c r="B281" s="234"/>
      <c r="C281" s="234"/>
      <c r="D281" s="234"/>
      <c r="E281" s="234"/>
      <c r="F281" s="234"/>
      <c r="G281" s="234"/>
      <c r="H281" s="252"/>
      <c r="I281" s="252"/>
      <c r="J281" s="252"/>
      <c r="K281" s="252"/>
      <c r="L281" s="252"/>
      <c r="M281" s="252"/>
      <c r="N281" s="252"/>
      <c r="O281" s="252"/>
      <c r="P281" s="252"/>
      <c r="Q281" s="252"/>
      <c r="R281" s="253"/>
      <c r="S281" s="252"/>
      <c r="T281" s="234"/>
      <c r="U281" s="179"/>
      <c r="V281" s="5"/>
    </row>
    <row r="282" spans="1:22" ht="15.6" x14ac:dyDescent="0.3">
      <c r="A282" s="254"/>
      <c r="B282" s="220" t="s">
        <v>97</v>
      </c>
      <c r="C282" s="234"/>
      <c r="D282" s="234"/>
      <c r="E282" s="234"/>
      <c r="F282" s="225" t="s">
        <v>103</v>
      </c>
      <c r="G282" s="234"/>
      <c r="H282" s="220" t="s">
        <v>105</v>
      </c>
      <c r="I282" s="255"/>
      <c r="J282" s="255"/>
      <c r="K282" s="255"/>
      <c r="L282" s="255"/>
      <c r="M282" s="255"/>
      <c r="N282" s="255"/>
      <c r="O282" s="255"/>
      <c r="P282" s="255"/>
      <c r="Q282" s="255"/>
      <c r="R282" s="255"/>
      <c r="S282" s="255"/>
      <c r="T282" s="255"/>
      <c r="U282" s="192"/>
      <c r="V282" s="5"/>
    </row>
    <row r="283" spans="1:22" ht="15.6" x14ac:dyDescent="0.3">
      <c r="A283" s="254"/>
      <c r="B283" s="255"/>
      <c r="C283" s="234"/>
      <c r="D283" s="234"/>
      <c r="E283" s="234"/>
      <c r="F283" s="234"/>
      <c r="G283" s="234"/>
      <c r="H283" s="234"/>
      <c r="I283" s="255"/>
      <c r="J283" s="255"/>
      <c r="K283" s="255"/>
      <c r="L283" s="255"/>
      <c r="M283" s="255"/>
      <c r="N283" s="255"/>
      <c r="O283" s="255"/>
      <c r="P283" s="255"/>
      <c r="Q283" s="255"/>
      <c r="R283" s="255"/>
      <c r="S283" s="255"/>
      <c r="T283" s="255"/>
      <c r="U283" s="192"/>
      <c r="V283" s="5"/>
    </row>
    <row r="284" spans="1:22" ht="15.6" x14ac:dyDescent="0.3">
      <c r="A284" s="254"/>
      <c r="B284" s="220" t="s">
        <v>98</v>
      </c>
      <c r="C284" s="220"/>
      <c r="D284" s="220"/>
      <c r="E284" s="220"/>
      <c r="F284" s="256" t="s">
        <v>159</v>
      </c>
      <c r="G284" s="220"/>
      <c r="H284" s="220" t="s">
        <v>167</v>
      </c>
      <c r="I284" s="255"/>
      <c r="J284" s="255"/>
      <c r="K284" s="255"/>
      <c r="L284" s="255"/>
      <c r="M284" s="255"/>
      <c r="N284" s="255"/>
      <c r="O284" s="255"/>
      <c r="P284" s="255"/>
      <c r="Q284" s="255"/>
      <c r="R284" s="255"/>
      <c r="S284" s="255"/>
      <c r="T284" s="255"/>
      <c r="U284" s="192"/>
      <c r="V284" s="5"/>
    </row>
    <row r="285" spans="1:22" ht="15.6" x14ac:dyDescent="0.3">
      <c r="A285" s="254"/>
      <c r="B285" s="220" t="s">
        <v>273</v>
      </c>
      <c r="C285" s="220"/>
      <c r="D285" s="220"/>
      <c r="E285" s="220"/>
      <c r="F285" s="256" t="s">
        <v>274</v>
      </c>
      <c r="G285" s="220"/>
      <c r="H285" s="220" t="s">
        <v>275</v>
      </c>
      <c r="I285" s="255"/>
      <c r="J285" s="255"/>
      <c r="K285" s="255"/>
      <c r="L285" s="255"/>
      <c r="M285" s="255"/>
      <c r="N285" s="255"/>
      <c r="O285" s="255"/>
      <c r="P285" s="255"/>
      <c r="Q285" s="255"/>
      <c r="R285" s="255"/>
      <c r="S285" s="255"/>
      <c r="T285" s="255"/>
      <c r="U285" s="192"/>
      <c r="V285" s="5"/>
    </row>
    <row r="286" spans="1:22" ht="15.6" x14ac:dyDescent="0.3">
      <c r="A286" s="254"/>
      <c r="B286" s="220" t="s">
        <v>99</v>
      </c>
      <c r="C286" s="220"/>
      <c r="D286" s="220"/>
      <c r="E286" s="220"/>
      <c r="F286" s="256" t="s">
        <v>158</v>
      </c>
      <c r="G286" s="220"/>
      <c r="H286" s="220" t="s">
        <v>168</v>
      </c>
      <c r="I286" s="255"/>
      <c r="J286" s="255"/>
      <c r="K286" s="255"/>
      <c r="L286" s="255"/>
      <c r="M286" s="255"/>
      <c r="N286" s="255"/>
      <c r="O286" s="255"/>
      <c r="P286" s="255"/>
      <c r="Q286" s="255"/>
      <c r="R286" s="255"/>
      <c r="S286" s="255"/>
      <c r="T286" s="255"/>
      <c r="U286" s="192"/>
      <c r="V286" s="5"/>
    </row>
    <row r="287" spans="1:22" ht="15.6" x14ac:dyDescent="0.3">
      <c r="A287" s="254"/>
      <c r="B287" s="220"/>
      <c r="C287" s="220"/>
      <c r="D287" s="220"/>
      <c r="E287" s="220"/>
      <c r="F287" s="220"/>
      <c r="G287" s="257"/>
      <c r="H287" s="255"/>
      <c r="I287" s="255"/>
      <c r="J287" s="255"/>
      <c r="K287" s="255"/>
      <c r="L287" s="255"/>
      <c r="M287" s="255"/>
      <c r="N287" s="255"/>
      <c r="O287" s="255"/>
      <c r="P287" s="255"/>
      <c r="Q287" s="255"/>
      <c r="R287" s="255"/>
      <c r="S287" s="255"/>
      <c r="T287" s="255"/>
      <c r="U287" s="192"/>
      <c r="V287" s="5"/>
    </row>
    <row r="288" spans="1:22" ht="15.6" x14ac:dyDescent="0.3">
      <c r="A288" s="216"/>
      <c r="B288" s="185"/>
      <c r="C288" s="185"/>
      <c r="D288" s="185"/>
      <c r="E288" s="185"/>
      <c r="F288" s="185"/>
      <c r="G288" s="217"/>
      <c r="H288" s="192"/>
      <c r="I288" s="192"/>
      <c r="J288" s="192"/>
      <c r="K288" s="192"/>
      <c r="L288" s="192"/>
      <c r="M288" s="192"/>
      <c r="N288" s="192"/>
      <c r="O288" s="192"/>
      <c r="P288" s="192"/>
      <c r="Q288" s="192"/>
      <c r="R288" s="192"/>
      <c r="S288" s="192"/>
      <c r="T288" s="192"/>
      <c r="U288" s="192"/>
      <c r="V288" s="5"/>
    </row>
    <row r="289" spans="1:22" ht="18" thickBot="1" x14ac:dyDescent="0.35">
      <c r="A289" s="216"/>
      <c r="B289" s="267" t="str">
        <f>B194</f>
        <v>PM9 INVESTOR REPORT QUARTER ENDING OCTOBER 2010</v>
      </c>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x14ac:dyDescent="0.25">
      <c r="A290" s="101"/>
      <c r="B290" s="101"/>
      <c r="C290" s="101"/>
      <c r="D290" s="101"/>
      <c r="E290" s="101"/>
      <c r="F290" s="101"/>
      <c r="G290" s="101"/>
      <c r="H290" s="101"/>
      <c r="I290" s="101"/>
      <c r="J290" s="101"/>
      <c r="K290" s="101"/>
      <c r="L290" s="101"/>
      <c r="M290" s="101"/>
      <c r="N290" s="101"/>
      <c r="O290" s="101"/>
      <c r="P290" s="101"/>
      <c r="Q290" s="101"/>
      <c r="R290" s="101"/>
      <c r="S290" s="101"/>
      <c r="T290" s="101"/>
      <c r="U290" s="101"/>
    </row>
  </sheetData>
  <phoneticPr fontId="0" type="noConversion"/>
  <hyperlinks>
    <hyperlink ref="J9" r:id="rId1" xr:uid="{00000000-0004-0000-1400-000000000000}"/>
    <hyperlink ref="N229" r:id="rId2" xr:uid="{00000000-0004-0000-14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1" man="1"/>
    <brk id="133" max="14" man="1"/>
    <brk id="194" max="14" man="1"/>
  </rowBreak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2D2926"/>
  </sheetPr>
  <dimension ref="A1:W290"/>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0.71760000000000002</v>
      </c>
      <c r="R16" s="225" t="s">
        <v>149</v>
      </c>
      <c r="S16" s="224">
        <v>0.28239999999999998</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40595</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28"/>
      <c r="D22" s="328" t="s">
        <v>185</v>
      </c>
      <c r="E22" s="328"/>
      <c r="F22" s="328" t="s">
        <v>186</v>
      </c>
      <c r="G22" s="328"/>
      <c r="H22" s="328" t="s">
        <v>187</v>
      </c>
      <c r="I22" s="328"/>
      <c r="J22" s="328" t="s">
        <v>188</v>
      </c>
      <c r="K22" s="328"/>
      <c r="L22" s="328" t="s">
        <v>189</v>
      </c>
      <c r="M22" s="328"/>
      <c r="N22" s="328" t="s">
        <v>190</v>
      </c>
      <c r="O22" s="328"/>
      <c r="P22" s="328" t="s">
        <v>191</v>
      </c>
      <c r="Q22" s="329"/>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278"/>
      <c r="D25" s="278" t="s">
        <v>150</v>
      </c>
      <c r="E25" s="278"/>
      <c r="F25" s="278" t="s">
        <v>150</v>
      </c>
      <c r="G25" s="278"/>
      <c r="H25" s="278" t="s">
        <v>150</v>
      </c>
      <c r="I25" s="278"/>
      <c r="J25" s="278" t="s">
        <v>192</v>
      </c>
      <c r="K25" s="278"/>
      <c r="L25" s="278" t="s">
        <v>192</v>
      </c>
      <c r="M25" s="278"/>
      <c r="N25" s="278" t="s">
        <v>151</v>
      </c>
      <c r="O25" s="278"/>
      <c r="P25" s="278" t="s">
        <v>151</v>
      </c>
      <c r="Q25" s="278"/>
      <c r="R25" s="273"/>
      <c r="S25" s="274"/>
      <c r="T25" s="274"/>
      <c r="U25" s="275"/>
      <c r="V25" s="5"/>
    </row>
    <row r="26" spans="1:22" ht="15.6" x14ac:dyDescent="0.3">
      <c r="A26" s="276"/>
      <c r="B26" s="277" t="s">
        <v>10</v>
      </c>
      <c r="C26" s="278"/>
      <c r="D26" s="278" t="s">
        <v>152</v>
      </c>
      <c r="E26" s="278"/>
      <c r="F26" s="278" t="s">
        <v>152</v>
      </c>
      <c r="G26" s="278"/>
      <c r="H26" s="278" t="s">
        <v>152</v>
      </c>
      <c r="I26" s="278"/>
      <c r="J26" s="278" t="s">
        <v>193</v>
      </c>
      <c r="K26" s="278"/>
      <c r="L26" s="278" t="s">
        <v>193</v>
      </c>
      <c r="M26" s="278"/>
      <c r="N26" s="278" t="s">
        <v>153</v>
      </c>
      <c r="O26" s="278"/>
      <c r="P26" s="278" t="s">
        <v>153</v>
      </c>
      <c r="Q26" s="27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139785.66080000001</v>
      </c>
      <c r="E30" s="280"/>
      <c r="F30" s="282">
        <f>F29*F36</f>
        <v>143421.704</v>
      </c>
      <c r="G30" s="281"/>
      <c r="H30" s="283">
        <f>H29*H36</f>
        <v>24240.239999999998</v>
      </c>
      <c r="I30" s="281"/>
      <c r="J30" s="281">
        <f>J29*J36</f>
        <v>6435.2190000000001</v>
      </c>
      <c r="K30" s="281"/>
      <c r="L30" s="282">
        <f>L29*L36</f>
        <v>27119.851500000001</v>
      </c>
      <c r="M30" s="281"/>
      <c r="N30" s="284">
        <f>N29*N36</f>
        <v>2757.951</v>
      </c>
      <c r="O30" s="281"/>
      <c r="P30" s="282">
        <f>P29*P36</f>
        <v>60674.922000000006</v>
      </c>
      <c r="Q30" s="281"/>
      <c r="R30" s="281"/>
      <c r="S30" s="285"/>
      <c r="T30" s="281"/>
      <c r="U30" s="286"/>
      <c r="V30" s="5"/>
    </row>
    <row r="31" spans="1:22" ht="15.6" x14ac:dyDescent="0.3">
      <c r="A31" s="276"/>
      <c r="B31" s="277" t="s">
        <v>143</v>
      </c>
      <c r="C31" s="287"/>
      <c r="D31" s="288">
        <f>D35*D29</f>
        <v>138923.77479999998</v>
      </c>
      <c r="E31" s="287"/>
      <c r="F31" s="289">
        <f>F35*F29</f>
        <v>142537.399</v>
      </c>
      <c r="G31" s="288"/>
      <c r="H31" s="290">
        <f>H35*H29</f>
        <v>24090.78</v>
      </c>
      <c r="I31" s="288"/>
      <c r="J31" s="288">
        <f>J35*J29</f>
        <v>6395.5402000000004</v>
      </c>
      <c r="K31" s="288"/>
      <c r="L31" s="289">
        <f>L35*L29</f>
        <v>26952.633700000002</v>
      </c>
      <c r="M31" s="288"/>
      <c r="N31" s="291">
        <f>N35*N29</f>
        <v>2740.9458</v>
      </c>
      <c r="O31" s="288"/>
      <c r="P31" s="289">
        <f>P35*P29</f>
        <v>60300.8076</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139785.66080000001</v>
      </c>
      <c r="E33" s="280"/>
      <c r="F33" s="281">
        <f>F32*F36</f>
        <v>98779.173599999995</v>
      </c>
      <c r="G33" s="281"/>
      <c r="H33" s="281">
        <f>H32*H36</f>
        <v>13695.7356</v>
      </c>
      <c r="I33" s="281"/>
      <c r="J33" s="281">
        <f>J32*J36</f>
        <v>6435.2190000000001</v>
      </c>
      <c r="K33" s="281"/>
      <c r="L33" s="281">
        <f>L32*L36</f>
        <v>18662.1351</v>
      </c>
      <c r="M33" s="281"/>
      <c r="N33" s="281">
        <f>N32*N36</f>
        <v>2757.951</v>
      </c>
      <c r="O33" s="281"/>
      <c r="P33" s="281">
        <f>P32*P36</f>
        <v>41645.060100000002</v>
      </c>
      <c r="Q33" s="281"/>
      <c r="R33" s="281"/>
      <c r="S33" s="285"/>
      <c r="T33" s="281">
        <f>SUM(C33:P33)</f>
        <v>321760.93520000001</v>
      </c>
      <c r="U33" s="286"/>
      <c r="V33" s="5"/>
    </row>
    <row r="34" spans="1:22" ht="15.6" x14ac:dyDescent="0.3">
      <c r="A34" s="276"/>
      <c r="B34" s="277" t="s">
        <v>291</v>
      </c>
      <c r="C34" s="287"/>
      <c r="D34" s="288">
        <f>D35*D32</f>
        <v>138923.77479999998</v>
      </c>
      <c r="E34" s="287"/>
      <c r="F34" s="288">
        <f>F35*F32</f>
        <v>98170.124100000001</v>
      </c>
      <c r="G34" s="288"/>
      <c r="H34" s="288">
        <f>H35*H32</f>
        <v>13611.2907</v>
      </c>
      <c r="I34" s="288"/>
      <c r="J34" s="288">
        <f>J35*J32</f>
        <v>6395.5402000000004</v>
      </c>
      <c r="K34" s="288"/>
      <c r="L34" s="288">
        <f>L35*L32</f>
        <v>18547.066580000002</v>
      </c>
      <c r="M34" s="288"/>
      <c r="N34" s="288">
        <f>N35*N32</f>
        <v>2740.9458</v>
      </c>
      <c r="O34" s="288"/>
      <c r="P34" s="288">
        <f>P35*P32</f>
        <v>41388.281580000003</v>
      </c>
      <c r="Q34" s="288"/>
      <c r="R34" s="288"/>
      <c r="S34" s="292"/>
      <c r="T34" s="288">
        <f>SUM(C34:P34)</f>
        <v>319777.02375999995</v>
      </c>
      <c r="U34" s="286"/>
      <c r="V34" s="5"/>
    </row>
    <row r="35" spans="1:22" ht="15.6" x14ac:dyDescent="0.3">
      <c r="A35" s="276"/>
      <c r="B35" s="293" t="s">
        <v>139</v>
      </c>
      <c r="C35" s="294"/>
      <c r="D35" s="295">
        <v>0.40151379999999998</v>
      </c>
      <c r="E35" s="296"/>
      <c r="F35" s="295">
        <v>0.40151379999999998</v>
      </c>
      <c r="G35" s="295"/>
      <c r="H35" s="295">
        <v>0.40151300000000001</v>
      </c>
      <c r="I35" s="297"/>
      <c r="J35" s="295">
        <v>0.91364860000000003</v>
      </c>
      <c r="K35" s="297"/>
      <c r="L35" s="295">
        <v>0.91364860000000003</v>
      </c>
      <c r="M35" s="297"/>
      <c r="N35" s="295">
        <v>0.91364860000000003</v>
      </c>
      <c r="O35" s="297"/>
      <c r="P35" s="295">
        <v>0.91364860000000003</v>
      </c>
      <c r="Q35" s="298"/>
      <c r="R35" s="298"/>
      <c r="S35" s="299"/>
      <c r="T35" s="298"/>
      <c r="U35" s="300"/>
      <c r="V35" s="5"/>
    </row>
    <row r="36" spans="1:22" ht="15.6" x14ac:dyDescent="0.3">
      <c r="A36" s="276"/>
      <c r="B36" s="293" t="s">
        <v>140</v>
      </c>
      <c r="C36" s="294"/>
      <c r="D36" s="295">
        <v>0.4040048</v>
      </c>
      <c r="E36" s="296"/>
      <c r="F36" s="295">
        <v>0.4040048</v>
      </c>
      <c r="G36" s="295"/>
      <c r="H36" s="295">
        <v>0.40400399999999997</v>
      </c>
      <c r="I36" s="297"/>
      <c r="J36" s="295">
        <v>0.91931700000000005</v>
      </c>
      <c r="K36" s="297"/>
      <c r="L36" s="295">
        <v>0.91931700000000005</v>
      </c>
      <c r="M36" s="297"/>
      <c r="N36" s="295">
        <v>0.91931700000000005</v>
      </c>
      <c r="O36" s="297"/>
      <c r="P36" s="295">
        <v>0.91931700000000005</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1.0975E-2</v>
      </c>
      <c r="E38" s="272"/>
      <c r="F38" s="303">
        <v>1.41E-2</v>
      </c>
      <c r="G38" s="304"/>
      <c r="H38" s="303">
        <v>6.4562999999999999E-3</v>
      </c>
      <c r="I38" s="304"/>
      <c r="J38" s="303">
        <v>1.3174999999999999E-2</v>
      </c>
      <c r="K38" s="304"/>
      <c r="L38" s="303">
        <v>1.6299999999999999E-2</v>
      </c>
      <c r="M38" s="304"/>
      <c r="N38" s="303">
        <v>1.7774999999999999E-2</v>
      </c>
      <c r="O38" s="304"/>
      <c r="P38" s="303">
        <v>2.0899999999999998E-2</v>
      </c>
      <c r="Q38" s="304"/>
      <c r="R38" s="303"/>
      <c r="S38" s="274"/>
      <c r="T38" s="304"/>
      <c r="U38" s="275"/>
      <c r="V38" s="5"/>
    </row>
    <row r="39" spans="1:22" ht="15.6" x14ac:dyDescent="0.3">
      <c r="A39" s="302"/>
      <c r="B39" s="272" t="s">
        <v>14</v>
      </c>
      <c r="C39" s="272"/>
      <c r="D39" s="303">
        <v>1.09E-2</v>
      </c>
      <c r="E39" s="272"/>
      <c r="F39" s="303">
        <v>1.259E-2</v>
      </c>
      <c r="G39" s="304"/>
      <c r="H39" s="303">
        <v>7.3625000000000001E-3</v>
      </c>
      <c r="I39" s="304"/>
      <c r="J39" s="303">
        <v>1.3100000000000001E-2</v>
      </c>
      <c r="K39" s="304"/>
      <c r="L39" s="303">
        <v>1.4789999999999999E-2</v>
      </c>
      <c r="M39" s="304"/>
      <c r="N39" s="303">
        <v>1.77E-2</v>
      </c>
      <c r="O39" s="304"/>
      <c r="P39" s="303">
        <v>1.9390000000000001E-2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1.0975E-2</v>
      </c>
      <c r="E41" s="272"/>
      <c r="F41" s="303">
        <v>1.1174999999999999E-2</v>
      </c>
      <c r="G41" s="304"/>
      <c r="H41" s="303">
        <v>1.1435000000000001E-2</v>
      </c>
      <c r="I41" s="304"/>
      <c r="J41" s="303">
        <f>+J38</f>
        <v>1.3174999999999999E-2</v>
      </c>
      <c r="K41" s="304"/>
      <c r="L41" s="303">
        <v>1.3764999999999999E-2</v>
      </c>
      <c r="M41" s="304"/>
      <c r="N41" s="303">
        <f>+N38</f>
        <v>1.7774999999999999E-2</v>
      </c>
      <c r="O41" s="304"/>
      <c r="P41" s="303">
        <v>1.8655000000000001E-2</v>
      </c>
      <c r="Q41" s="304"/>
      <c r="R41" s="303"/>
      <c r="S41" s="274"/>
      <c r="T41" s="304">
        <f>SUMPRODUCT(D41:P41,D33:P33)/T33</f>
        <v>1.2314096183087547E-2</v>
      </c>
      <c r="U41" s="275"/>
      <c r="V41" s="5"/>
    </row>
    <row r="42" spans="1:22" ht="15.6" x14ac:dyDescent="0.3">
      <c r="A42" s="302"/>
      <c r="B42" s="272" t="s">
        <v>294</v>
      </c>
      <c r="C42" s="272"/>
      <c r="D42" s="303">
        <f>+D39</f>
        <v>1.09E-2</v>
      </c>
      <c r="E42" s="272"/>
      <c r="F42" s="303">
        <v>1.11E-2</v>
      </c>
      <c r="G42" s="304"/>
      <c r="H42" s="303">
        <v>1.136E-2</v>
      </c>
      <c r="I42" s="304"/>
      <c r="J42" s="303">
        <f>+J39</f>
        <v>1.3100000000000001E-2</v>
      </c>
      <c r="K42" s="304"/>
      <c r="L42" s="303">
        <v>1.3690000000000001E-2</v>
      </c>
      <c r="M42" s="304"/>
      <c r="N42" s="303">
        <f>+N39</f>
        <v>1.77E-2</v>
      </c>
      <c r="O42" s="304"/>
      <c r="P42" s="303">
        <v>1.8579999999999999E-2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0.2755101889602049</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40589</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91</v>
      </c>
      <c r="Q54" s="272"/>
      <c r="R54" s="312">
        <v>40406</v>
      </c>
      <c r="S54" s="313"/>
      <c r="T54" s="312">
        <v>40496</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92</v>
      </c>
      <c r="Q55" s="272"/>
      <c r="R55" s="312">
        <v>40497</v>
      </c>
      <c r="S55" s="313"/>
      <c r="T55" s="312">
        <v>40588</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40575</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304</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321761</v>
      </c>
      <c r="M65" s="317"/>
      <c r="N65" s="317">
        <f>1984+74+18</f>
        <v>2076</v>
      </c>
      <c r="O65" s="317"/>
      <c r="P65" s="317">
        <f>74+18</f>
        <v>92</v>
      </c>
      <c r="Q65" s="317"/>
      <c r="R65" s="317">
        <v>0</v>
      </c>
      <c r="S65" s="317"/>
      <c r="T65" s="318">
        <f>+L65-N65+P65-R65</f>
        <v>319777</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321761</v>
      </c>
      <c r="M68" s="317"/>
      <c r="N68" s="317">
        <f>SUM(N65:N67)</f>
        <v>2076</v>
      </c>
      <c r="O68" s="317"/>
      <c r="P68" s="317">
        <f>SUM(P65:P67)</f>
        <v>92</v>
      </c>
      <c r="Q68" s="317"/>
      <c r="R68" s="317">
        <f>SUM(R65:R67)</f>
        <v>0</v>
      </c>
      <c r="S68" s="317"/>
      <c r="T68" s="317">
        <f>SUM(T65:T67)</f>
        <v>319777</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321761</v>
      </c>
      <c r="M81" s="317"/>
      <c r="N81" s="317"/>
      <c r="O81" s="317"/>
      <c r="P81" s="317"/>
      <c r="Q81" s="317"/>
      <c r="R81" s="317"/>
      <c r="S81" s="317"/>
      <c r="T81" s="317">
        <f>SUM(T68:T80)</f>
        <v>319777</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+R195</f>
        <v>40574</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2076-165</f>
        <v>1911</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2060+758-495-162+23</f>
        <v>2184</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18+24</f>
        <v>42</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25</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134</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1911</v>
      </c>
      <c r="S93" s="272"/>
      <c r="T93" s="317">
        <f>SUM(T85:T92)</f>
        <v>2385</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-17</v>
      </c>
      <c r="S94" s="272"/>
      <c r="T94" s="317">
        <f>-R94</f>
        <v>17</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27</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1894</v>
      </c>
      <c r="S97" s="272"/>
      <c r="T97" s="317">
        <f>T93+T95+T94+T96</f>
        <v>2429</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160</v>
      </c>
      <c r="C101" s="272"/>
      <c r="D101" s="272"/>
      <c r="E101" s="272"/>
      <c r="F101" s="272"/>
      <c r="G101" s="272"/>
      <c r="H101" s="272"/>
      <c r="I101" s="272"/>
      <c r="J101" s="272"/>
      <c r="K101" s="272"/>
      <c r="L101" s="272"/>
      <c r="M101" s="272"/>
      <c r="N101" s="272"/>
      <c r="O101" s="272"/>
      <c r="P101" s="272"/>
      <c r="Q101" s="272"/>
      <c r="R101" s="272"/>
      <c r="S101" s="272"/>
      <c r="T101" s="318">
        <f>-123-65-4</f>
        <v>-192</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-152</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-1</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-387</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-278</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-39</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-21</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-65</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-12</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-196</v>
      </c>
      <c r="U110" s="340"/>
      <c r="V110" s="5"/>
      <c r="W110" s="110"/>
    </row>
    <row r="111" spans="1:23" ht="15.6" x14ac:dyDescent="0.3">
      <c r="A111" s="302">
        <v>7</v>
      </c>
      <c r="B111" s="272" t="s">
        <v>38</v>
      </c>
      <c r="C111" s="272"/>
      <c r="D111" s="272"/>
      <c r="E111" s="272"/>
      <c r="F111" s="272"/>
      <c r="G111" s="272"/>
      <c r="H111" s="272"/>
      <c r="I111" s="272"/>
      <c r="J111" s="272"/>
      <c r="K111" s="272"/>
      <c r="L111" s="272"/>
      <c r="M111" s="272"/>
      <c r="N111" s="272"/>
      <c r="O111" s="272"/>
      <c r="P111" s="272"/>
      <c r="Q111" s="272"/>
      <c r="R111" s="272"/>
      <c r="S111" s="272"/>
      <c r="T111" s="318">
        <v>-8</v>
      </c>
      <c r="U111" s="340"/>
      <c r="V111" s="5"/>
    </row>
    <row r="112" spans="1:23" ht="15.6" x14ac:dyDescent="0.3">
      <c r="A112" s="302">
        <f t="shared" ref="A112:A117" si="0">+A111+1</f>
        <v>8</v>
      </c>
      <c r="B112" s="272" t="s">
        <v>49</v>
      </c>
      <c r="C112" s="272"/>
      <c r="D112" s="272"/>
      <c r="E112" s="272"/>
      <c r="F112" s="272"/>
      <c r="G112" s="272"/>
      <c r="H112" s="272"/>
      <c r="I112" s="272"/>
      <c r="J112" s="272"/>
      <c r="K112" s="272"/>
      <c r="L112" s="272"/>
      <c r="M112" s="272"/>
      <c r="N112" s="272"/>
      <c r="O112" s="272"/>
      <c r="P112" s="272"/>
      <c r="Q112" s="272"/>
      <c r="R112" s="317">
        <f>-T112</f>
        <v>165</v>
      </c>
      <c r="S112" s="272"/>
      <c r="T112" s="318">
        <v>-165</v>
      </c>
      <c r="U112" s="340"/>
      <c r="V112" s="5"/>
    </row>
    <row r="113" spans="1:22" ht="15.6" x14ac:dyDescent="0.3">
      <c r="A113" s="302">
        <f t="shared" si="0"/>
        <v>9</v>
      </c>
      <c r="B113" s="272" t="s">
        <v>134</v>
      </c>
      <c r="C113" s="272"/>
      <c r="D113" s="272"/>
      <c r="E113" s="272"/>
      <c r="F113" s="272"/>
      <c r="G113" s="272"/>
      <c r="H113" s="272"/>
      <c r="I113" s="272"/>
      <c r="J113" s="272"/>
      <c r="K113" s="272"/>
      <c r="L113" s="272"/>
      <c r="M113" s="272"/>
      <c r="N113" s="272"/>
      <c r="O113" s="272"/>
      <c r="P113" s="272"/>
      <c r="Q113" s="272"/>
      <c r="R113" s="272"/>
      <c r="S113" s="272"/>
      <c r="T113" s="318">
        <v>0</v>
      </c>
      <c r="U113" s="340"/>
      <c r="V113" s="5"/>
    </row>
    <row r="114" spans="1:22" ht="15.6" x14ac:dyDescent="0.3">
      <c r="A114" s="302">
        <f t="shared" si="0"/>
        <v>10</v>
      </c>
      <c r="B114" s="272" t="s">
        <v>39</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40</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161</v>
      </c>
      <c r="C116" s="272"/>
      <c r="D116" s="272"/>
      <c r="E116" s="272"/>
      <c r="F116" s="272"/>
      <c r="G116" s="272"/>
      <c r="H116" s="272"/>
      <c r="I116" s="272"/>
      <c r="J116" s="272"/>
      <c r="K116" s="272"/>
      <c r="L116" s="272"/>
      <c r="M116" s="272"/>
      <c r="N116" s="272"/>
      <c r="O116" s="272"/>
      <c r="P116" s="272"/>
      <c r="Q116" s="272"/>
      <c r="R116" s="272"/>
      <c r="S116" s="272"/>
      <c r="T116" s="318">
        <v>-123</v>
      </c>
      <c r="U116" s="340"/>
      <c r="V116" s="5"/>
    </row>
    <row r="117" spans="1:22" ht="15.6" x14ac:dyDescent="0.3">
      <c r="A117" s="302">
        <f t="shared" si="0"/>
        <v>13</v>
      </c>
      <c r="B117" s="272" t="s">
        <v>135</v>
      </c>
      <c r="C117" s="272"/>
      <c r="D117" s="272"/>
      <c r="E117" s="272"/>
      <c r="F117" s="272"/>
      <c r="G117" s="272"/>
      <c r="H117" s="272"/>
      <c r="I117" s="272"/>
      <c r="J117" s="272"/>
      <c r="K117" s="272"/>
      <c r="L117" s="272"/>
      <c r="M117" s="272"/>
      <c r="N117" s="272"/>
      <c r="O117" s="272"/>
      <c r="P117" s="272"/>
      <c r="Q117" s="272"/>
      <c r="R117" s="272"/>
      <c r="S117" s="272"/>
      <c r="T117" s="318">
        <f>-T97-SUM(T99:T116)</f>
        <v>-788</v>
      </c>
      <c r="U117" s="340"/>
      <c r="V117" s="5"/>
    </row>
    <row r="118" spans="1:22" ht="15.6" x14ac:dyDescent="0.3">
      <c r="A118" s="271"/>
      <c r="B118" s="336" t="s">
        <v>41</v>
      </c>
      <c r="C118" s="337"/>
      <c r="D118" s="337"/>
      <c r="E118" s="337"/>
      <c r="F118" s="337"/>
      <c r="G118" s="337"/>
      <c r="H118" s="337"/>
      <c r="I118" s="337"/>
      <c r="J118" s="337"/>
      <c r="K118" s="337"/>
      <c r="L118" s="337"/>
      <c r="M118" s="337"/>
      <c r="N118" s="337"/>
      <c r="O118" s="337"/>
      <c r="P118" s="337"/>
      <c r="Q118" s="337"/>
      <c r="R118" s="337"/>
      <c r="S118" s="337"/>
      <c r="T118" s="341"/>
      <c r="U118" s="340"/>
      <c r="V118" s="5"/>
    </row>
    <row r="119" spans="1:22" ht="15.6" x14ac:dyDescent="0.3">
      <c r="A119" s="302"/>
      <c r="B119" s="272" t="s">
        <v>229</v>
      </c>
      <c r="C119" s="272"/>
      <c r="D119" s="272"/>
      <c r="E119" s="272"/>
      <c r="F119" s="272"/>
      <c r="G119" s="272"/>
      <c r="H119" s="272"/>
      <c r="I119" s="272"/>
      <c r="J119" s="272"/>
      <c r="K119" s="272"/>
      <c r="L119" s="272"/>
      <c r="M119" s="272"/>
      <c r="N119" s="272"/>
      <c r="O119" s="272"/>
      <c r="P119" s="272"/>
      <c r="Q119" s="272"/>
      <c r="R119" s="317">
        <f>-R179</f>
        <v>0</v>
      </c>
      <c r="S119" s="317"/>
      <c r="T119" s="318"/>
      <c r="U119" s="275"/>
      <c r="V119" s="5"/>
    </row>
    <row r="120" spans="1:22" ht="15.6" x14ac:dyDescent="0.3">
      <c r="A120" s="302"/>
      <c r="B120" s="272" t="s">
        <v>230</v>
      </c>
      <c r="C120" s="272"/>
      <c r="D120" s="272"/>
      <c r="E120" s="272"/>
      <c r="F120" s="272"/>
      <c r="G120" s="272"/>
      <c r="H120" s="272"/>
      <c r="I120" s="272"/>
      <c r="J120" s="272"/>
      <c r="K120" s="272"/>
      <c r="L120" s="272"/>
      <c r="M120" s="272"/>
      <c r="N120" s="272"/>
      <c r="O120" s="272"/>
      <c r="P120" s="272"/>
      <c r="Q120" s="272"/>
      <c r="R120" s="317">
        <v>0</v>
      </c>
      <c r="S120" s="317"/>
      <c r="T120" s="318"/>
      <c r="U120" s="275"/>
      <c r="V120" s="5"/>
    </row>
    <row r="121" spans="1:22" ht="15.6" x14ac:dyDescent="0.3">
      <c r="A121" s="302"/>
      <c r="B121" s="272" t="s">
        <v>42</v>
      </c>
      <c r="C121" s="272"/>
      <c r="D121" s="272"/>
      <c r="E121" s="272"/>
      <c r="F121" s="272"/>
      <c r="G121" s="272"/>
      <c r="H121" s="272"/>
      <c r="I121" s="272"/>
      <c r="J121" s="272"/>
      <c r="K121" s="272"/>
      <c r="L121" s="272"/>
      <c r="M121" s="272"/>
      <c r="N121" s="272"/>
      <c r="O121" s="272"/>
      <c r="P121" s="272"/>
      <c r="Q121" s="272"/>
      <c r="R121" s="317">
        <f>-Q179</f>
        <v>-75</v>
      </c>
      <c r="S121" s="317"/>
      <c r="T121" s="318"/>
      <c r="U121" s="275"/>
      <c r="V121" s="5"/>
    </row>
    <row r="122" spans="1:22" ht="15.6" x14ac:dyDescent="0.3">
      <c r="A122" s="302"/>
      <c r="B122" s="272" t="s">
        <v>235</v>
      </c>
      <c r="C122" s="272"/>
      <c r="D122" s="272"/>
      <c r="E122" s="272"/>
      <c r="F122" s="272"/>
      <c r="G122" s="272"/>
      <c r="H122" s="272"/>
      <c r="I122" s="272"/>
      <c r="J122" s="272"/>
      <c r="K122" s="272"/>
      <c r="L122" s="272"/>
      <c r="M122" s="272"/>
      <c r="N122" s="272"/>
      <c r="O122" s="272"/>
      <c r="P122" s="272"/>
      <c r="Q122" s="272"/>
      <c r="R122" s="317">
        <v>-862</v>
      </c>
      <c r="S122" s="317"/>
      <c r="T122" s="318"/>
      <c r="U122" s="275"/>
      <c r="V122" s="5"/>
    </row>
    <row r="123" spans="1:22" ht="15.6" x14ac:dyDescent="0.3">
      <c r="A123" s="302"/>
      <c r="B123" s="272" t="s">
        <v>236</v>
      </c>
      <c r="C123" s="272"/>
      <c r="D123" s="272"/>
      <c r="E123" s="272"/>
      <c r="F123" s="272"/>
      <c r="G123" s="272"/>
      <c r="H123" s="272"/>
      <c r="I123" s="272"/>
      <c r="J123" s="272"/>
      <c r="K123" s="272"/>
      <c r="L123" s="272"/>
      <c r="M123" s="272"/>
      <c r="N123" s="272"/>
      <c r="O123" s="272"/>
      <c r="P123" s="272"/>
      <c r="Q123" s="272"/>
      <c r="R123" s="317">
        <v>-609</v>
      </c>
      <c r="S123" s="317"/>
      <c r="T123" s="318"/>
      <c r="U123" s="275"/>
      <c r="V123" s="5"/>
    </row>
    <row r="124" spans="1:22" ht="15.6" x14ac:dyDescent="0.3">
      <c r="A124" s="302"/>
      <c r="B124" s="272" t="s">
        <v>241</v>
      </c>
      <c r="C124" s="272"/>
      <c r="D124" s="272"/>
      <c r="E124" s="272"/>
      <c r="F124" s="272"/>
      <c r="G124" s="272"/>
      <c r="H124" s="272"/>
      <c r="I124" s="272"/>
      <c r="J124" s="272"/>
      <c r="K124" s="272"/>
      <c r="L124" s="272"/>
      <c r="M124" s="272"/>
      <c r="N124" s="272"/>
      <c r="O124" s="272"/>
      <c r="P124" s="272"/>
      <c r="Q124" s="272"/>
      <c r="R124" s="317">
        <v>-84</v>
      </c>
      <c r="S124" s="317"/>
      <c r="T124" s="318"/>
      <c r="U124" s="275"/>
      <c r="V124" s="5"/>
    </row>
    <row r="125" spans="1:22" ht="15.6" x14ac:dyDescent="0.3">
      <c r="A125" s="302"/>
      <c r="B125" s="272" t="s">
        <v>237</v>
      </c>
      <c r="C125" s="272"/>
      <c r="D125" s="272"/>
      <c r="E125" s="272"/>
      <c r="F125" s="272"/>
      <c r="G125" s="272"/>
      <c r="H125" s="272"/>
      <c r="I125" s="272"/>
      <c r="J125" s="272"/>
      <c r="K125" s="272"/>
      <c r="L125" s="272"/>
      <c r="M125" s="272"/>
      <c r="N125" s="272"/>
      <c r="O125" s="272"/>
      <c r="P125" s="272"/>
      <c r="Q125" s="272"/>
      <c r="R125" s="317">
        <v>-40</v>
      </c>
      <c r="S125" s="317"/>
      <c r="T125" s="318"/>
      <c r="U125" s="275"/>
      <c r="V125" s="5"/>
    </row>
    <row r="126" spans="1:22" ht="15.6" x14ac:dyDescent="0.3">
      <c r="A126" s="302"/>
      <c r="B126" s="272" t="s">
        <v>238</v>
      </c>
      <c r="C126" s="272"/>
      <c r="D126" s="272"/>
      <c r="E126" s="272"/>
      <c r="F126" s="272"/>
      <c r="G126" s="272"/>
      <c r="H126" s="272"/>
      <c r="I126" s="272"/>
      <c r="J126" s="272"/>
      <c r="K126" s="272"/>
      <c r="L126" s="272"/>
      <c r="M126" s="272"/>
      <c r="N126" s="272"/>
      <c r="O126" s="272"/>
      <c r="P126" s="272"/>
      <c r="Q126" s="272"/>
      <c r="R126" s="317">
        <v>-115</v>
      </c>
      <c r="S126" s="317"/>
      <c r="T126" s="318"/>
      <c r="U126" s="275"/>
      <c r="V126" s="5"/>
    </row>
    <row r="127" spans="1:22" ht="15.6" x14ac:dyDescent="0.3">
      <c r="A127" s="302"/>
      <c r="B127" s="272" t="s">
        <v>239</v>
      </c>
      <c r="C127" s="272"/>
      <c r="D127" s="272"/>
      <c r="E127" s="272"/>
      <c r="F127" s="272"/>
      <c r="G127" s="272"/>
      <c r="H127" s="272"/>
      <c r="I127" s="272"/>
      <c r="J127" s="272"/>
      <c r="K127" s="272"/>
      <c r="L127" s="272"/>
      <c r="M127" s="272"/>
      <c r="N127" s="272"/>
      <c r="O127" s="272"/>
      <c r="P127" s="272"/>
      <c r="Q127" s="272"/>
      <c r="R127" s="317">
        <v>-17</v>
      </c>
      <c r="S127" s="317"/>
      <c r="T127" s="318"/>
      <c r="U127" s="275"/>
      <c r="V127" s="5"/>
    </row>
    <row r="128" spans="1:22" ht="15.6" x14ac:dyDescent="0.3">
      <c r="A128" s="302"/>
      <c r="B128" s="272" t="s">
        <v>240</v>
      </c>
      <c r="C128" s="272"/>
      <c r="D128" s="272"/>
      <c r="E128" s="272"/>
      <c r="F128" s="272"/>
      <c r="G128" s="272"/>
      <c r="H128" s="272"/>
      <c r="I128" s="272"/>
      <c r="J128" s="272"/>
      <c r="K128" s="272"/>
      <c r="L128" s="272"/>
      <c r="M128" s="272"/>
      <c r="N128" s="272"/>
      <c r="O128" s="272"/>
      <c r="P128" s="272"/>
      <c r="Q128" s="272"/>
      <c r="R128" s="317">
        <v>-257</v>
      </c>
      <c r="S128" s="317"/>
      <c r="T128" s="318"/>
      <c r="U128" s="275"/>
      <c r="V128" s="5"/>
    </row>
    <row r="129" spans="1:22" ht="15.6" x14ac:dyDescent="0.3">
      <c r="A129" s="302"/>
      <c r="B129" s="272" t="s">
        <v>43</v>
      </c>
      <c r="C129" s="272"/>
      <c r="D129" s="272"/>
      <c r="E129" s="272"/>
      <c r="F129" s="272"/>
      <c r="G129" s="272"/>
      <c r="H129" s="272"/>
      <c r="I129" s="272"/>
      <c r="J129" s="272"/>
      <c r="K129" s="272"/>
      <c r="L129" s="272"/>
      <c r="M129" s="272"/>
      <c r="N129" s="272"/>
      <c r="O129" s="272"/>
      <c r="P129" s="272"/>
      <c r="Q129" s="272"/>
      <c r="R129" s="317">
        <f>SUM(R119:R128)</f>
        <v>-2059</v>
      </c>
      <c r="S129" s="317"/>
      <c r="T129" s="317">
        <f>SUM(T98:T127)</f>
        <v>-2429</v>
      </c>
      <c r="U129" s="275"/>
      <c r="V129" s="5"/>
    </row>
    <row r="130" spans="1:22" ht="15.6" x14ac:dyDescent="0.3">
      <c r="A130" s="302"/>
      <c r="B130" s="272" t="s">
        <v>44</v>
      </c>
      <c r="C130" s="272"/>
      <c r="D130" s="272"/>
      <c r="E130" s="272"/>
      <c r="F130" s="272"/>
      <c r="G130" s="272"/>
      <c r="H130" s="272"/>
      <c r="I130" s="272"/>
      <c r="J130" s="272"/>
      <c r="K130" s="272"/>
      <c r="L130" s="272"/>
      <c r="M130" s="272"/>
      <c r="N130" s="272"/>
      <c r="O130" s="272"/>
      <c r="P130" s="272"/>
      <c r="Q130" s="272"/>
      <c r="R130" s="317">
        <f>R97+R129+R112</f>
        <v>0</v>
      </c>
      <c r="S130" s="317"/>
      <c r="T130" s="317">
        <f>T97+T129</f>
        <v>0</v>
      </c>
      <c r="U130" s="275"/>
      <c r="V130" s="5"/>
    </row>
    <row r="131" spans="1:22" ht="15.6" x14ac:dyDescent="0.3">
      <c r="A131" s="233"/>
      <c r="B131" s="268"/>
      <c r="C131" s="268"/>
      <c r="D131" s="268"/>
      <c r="E131" s="268"/>
      <c r="F131" s="268"/>
      <c r="G131" s="268"/>
      <c r="H131" s="268"/>
      <c r="I131" s="268"/>
      <c r="J131" s="268"/>
      <c r="K131" s="268"/>
      <c r="L131" s="268"/>
      <c r="M131" s="268"/>
      <c r="N131" s="268"/>
      <c r="O131" s="268"/>
      <c r="P131" s="268"/>
      <c r="Q131" s="268"/>
      <c r="R131" s="333"/>
      <c r="S131" s="333"/>
      <c r="T131" s="333"/>
      <c r="U131" s="268"/>
      <c r="V131" s="5"/>
    </row>
    <row r="132" spans="1:22" ht="15.6" x14ac:dyDescent="0.3">
      <c r="A132" s="233"/>
      <c r="B132" s="234"/>
      <c r="C132" s="234"/>
      <c r="D132" s="234"/>
      <c r="E132" s="234"/>
      <c r="F132" s="234"/>
      <c r="G132" s="234"/>
      <c r="H132" s="234"/>
      <c r="I132" s="234"/>
      <c r="J132" s="234"/>
      <c r="K132" s="234"/>
      <c r="L132" s="234"/>
      <c r="M132" s="234"/>
      <c r="N132" s="234"/>
      <c r="O132" s="234"/>
      <c r="P132" s="234"/>
      <c r="Q132" s="234"/>
      <c r="R132" s="234"/>
      <c r="S132" s="234"/>
      <c r="T132" s="243"/>
      <c r="U132" s="234"/>
      <c r="V132" s="5"/>
    </row>
    <row r="133" spans="1:22" ht="18" thickBot="1" x14ac:dyDescent="0.35">
      <c r="A133" s="237"/>
      <c r="B133" s="238" t="str">
        <f>B61</f>
        <v>PM9 INVESTOR REPORT QUARTER ENDING JANUARY 2011</v>
      </c>
      <c r="C133" s="239"/>
      <c r="D133" s="239"/>
      <c r="E133" s="239"/>
      <c r="F133" s="239"/>
      <c r="G133" s="239"/>
      <c r="H133" s="239"/>
      <c r="I133" s="239"/>
      <c r="J133" s="239"/>
      <c r="K133" s="239"/>
      <c r="L133" s="239"/>
      <c r="M133" s="239"/>
      <c r="N133" s="239"/>
      <c r="O133" s="239"/>
      <c r="P133" s="239"/>
      <c r="Q133" s="239"/>
      <c r="R133" s="239"/>
      <c r="S133" s="239"/>
      <c r="T133" s="244"/>
      <c r="U133" s="241"/>
      <c r="V133" s="5"/>
    </row>
    <row r="134" spans="1:22" ht="15.6" x14ac:dyDescent="0.3">
      <c r="A134" s="321"/>
      <c r="B134" s="324" t="s">
        <v>45</v>
      </c>
      <c r="C134" s="322"/>
      <c r="D134" s="322"/>
      <c r="E134" s="322"/>
      <c r="F134" s="322"/>
      <c r="G134" s="322"/>
      <c r="H134" s="322"/>
      <c r="I134" s="322"/>
      <c r="J134" s="322"/>
      <c r="K134" s="322"/>
      <c r="L134" s="322"/>
      <c r="M134" s="322"/>
      <c r="N134" s="322"/>
      <c r="O134" s="322"/>
      <c r="P134" s="322"/>
      <c r="Q134" s="322"/>
      <c r="R134" s="322"/>
      <c r="S134" s="322"/>
      <c r="T134" s="323"/>
      <c r="U134" s="322"/>
      <c r="V134" s="5"/>
    </row>
    <row r="135" spans="1:22" ht="15.6" x14ac:dyDescent="0.3">
      <c r="A135" s="177"/>
      <c r="B135" s="191"/>
      <c r="C135" s="179"/>
      <c r="D135" s="179"/>
      <c r="E135" s="179"/>
      <c r="F135" s="179"/>
      <c r="G135" s="179"/>
      <c r="H135" s="179"/>
      <c r="I135" s="179"/>
      <c r="J135" s="179"/>
      <c r="K135" s="179"/>
      <c r="L135" s="179"/>
      <c r="M135" s="179"/>
      <c r="N135" s="179"/>
      <c r="O135" s="179"/>
      <c r="P135" s="179"/>
      <c r="Q135" s="179"/>
      <c r="R135" s="179"/>
      <c r="S135" s="179"/>
      <c r="T135" s="197"/>
      <c r="U135" s="179"/>
      <c r="V135" s="5"/>
    </row>
    <row r="136" spans="1:22" ht="15.6" x14ac:dyDescent="0.3">
      <c r="A136" s="177"/>
      <c r="B136" s="204" t="s">
        <v>46</v>
      </c>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271"/>
      <c r="B137" s="272" t="s">
        <v>47</v>
      </c>
      <c r="C137" s="272"/>
      <c r="D137" s="272"/>
      <c r="E137" s="272"/>
      <c r="F137" s="272"/>
      <c r="G137" s="272"/>
      <c r="H137" s="272"/>
      <c r="I137" s="272"/>
      <c r="J137" s="272"/>
      <c r="K137" s="272"/>
      <c r="L137" s="272"/>
      <c r="M137" s="272"/>
      <c r="N137" s="272"/>
      <c r="O137" s="272"/>
      <c r="P137" s="272"/>
      <c r="Q137" s="272"/>
      <c r="R137" s="272"/>
      <c r="S137" s="272"/>
      <c r="T137" s="318">
        <f>+T32*0.0176</f>
        <v>12320</v>
      </c>
      <c r="U137" s="275"/>
      <c r="V137" s="5"/>
    </row>
    <row r="138" spans="1:22" ht="15.6" x14ac:dyDescent="0.3">
      <c r="A138" s="271"/>
      <c r="B138" s="272" t="s">
        <v>48</v>
      </c>
      <c r="C138" s="272"/>
      <c r="D138" s="272"/>
      <c r="E138" s="272"/>
      <c r="F138" s="272"/>
      <c r="G138" s="272"/>
      <c r="H138" s="272"/>
      <c r="I138" s="272"/>
      <c r="J138" s="272"/>
      <c r="K138" s="272"/>
      <c r="L138" s="272"/>
      <c r="M138" s="272"/>
      <c r="N138" s="272"/>
      <c r="O138" s="272"/>
      <c r="P138" s="272"/>
      <c r="Q138" s="272"/>
      <c r="R138" s="272"/>
      <c r="S138" s="272"/>
      <c r="T138" s="318">
        <v>12320</v>
      </c>
      <c r="U138" s="275"/>
      <c r="V138" s="5"/>
    </row>
    <row r="139" spans="1:22" ht="15.6" x14ac:dyDescent="0.3">
      <c r="A139" s="271"/>
      <c r="B139" s="272" t="s">
        <v>145</v>
      </c>
      <c r="C139" s="272"/>
      <c r="D139" s="272"/>
      <c r="E139" s="272"/>
      <c r="F139" s="272"/>
      <c r="G139" s="272"/>
      <c r="H139" s="272"/>
      <c r="I139" s="272"/>
      <c r="J139" s="272"/>
      <c r="K139" s="272"/>
      <c r="L139" s="272"/>
      <c r="M139" s="272"/>
      <c r="N139" s="272"/>
      <c r="O139" s="272"/>
      <c r="P139" s="272"/>
      <c r="Q139" s="272"/>
      <c r="R139" s="272"/>
      <c r="S139" s="272"/>
      <c r="T139" s="318">
        <v>0</v>
      </c>
      <c r="U139" s="275"/>
      <c r="V139" s="5"/>
    </row>
    <row r="140" spans="1:22" ht="15.6" x14ac:dyDescent="0.3">
      <c r="A140" s="271"/>
      <c r="B140" s="272" t="s">
        <v>132</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133</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232</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49</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138</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231</v>
      </c>
      <c r="C145" s="272"/>
      <c r="D145" s="272"/>
      <c r="E145" s="272"/>
      <c r="F145" s="272"/>
      <c r="G145" s="272"/>
      <c r="H145" s="272"/>
      <c r="I145" s="272"/>
      <c r="J145" s="272"/>
      <c r="K145" s="272"/>
      <c r="L145" s="272"/>
      <c r="M145" s="272"/>
      <c r="N145" s="272"/>
      <c r="O145" s="272"/>
      <c r="P145" s="272"/>
      <c r="Q145" s="272"/>
      <c r="R145" s="272"/>
      <c r="S145" s="272"/>
      <c r="T145" s="318">
        <v>0</v>
      </c>
      <c r="U145" s="275"/>
      <c r="V145" s="5"/>
      <c r="W145" s="110"/>
    </row>
    <row r="146" spans="1:23" ht="15.6" x14ac:dyDescent="0.3">
      <c r="A146" s="271"/>
      <c r="B146" s="272" t="s">
        <v>50</v>
      </c>
      <c r="C146" s="272"/>
      <c r="D146" s="272"/>
      <c r="E146" s="272"/>
      <c r="F146" s="272"/>
      <c r="G146" s="272"/>
      <c r="H146" s="272"/>
      <c r="I146" s="272"/>
      <c r="J146" s="272"/>
      <c r="K146" s="272"/>
      <c r="L146" s="272"/>
      <c r="M146" s="272"/>
      <c r="N146" s="272"/>
      <c r="O146" s="272"/>
      <c r="P146" s="272"/>
      <c r="Q146" s="272"/>
      <c r="R146" s="272"/>
      <c r="S146" s="272"/>
      <c r="T146" s="318">
        <f>SUM(T138:T145)</f>
        <v>12320</v>
      </c>
      <c r="U146" s="275"/>
      <c r="V146" s="5"/>
    </row>
    <row r="147" spans="1:23" ht="15.6" x14ac:dyDescent="0.3">
      <c r="A147" s="271"/>
      <c r="B147" s="337"/>
      <c r="C147" s="337"/>
      <c r="D147" s="337"/>
      <c r="E147" s="337"/>
      <c r="F147" s="337"/>
      <c r="G147" s="337"/>
      <c r="H147" s="337"/>
      <c r="I147" s="337"/>
      <c r="J147" s="337"/>
      <c r="K147" s="337"/>
      <c r="L147" s="337"/>
      <c r="M147" s="337"/>
      <c r="N147" s="337"/>
      <c r="O147" s="337"/>
      <c r="P147" s="337"/>
      <c r="Q147" s="337"/>
      <c r="R147" s="337"/>
      <c r="S147" s="337"/>
      <c r="T147" s="339"/>
      <c r="U147" s="340"/>
      <c r="V147" s="5"/>
    </row>
    <row r="148" spans="1:23" ht="15.6" x14ac:dyDescent="0.3">
      <c r="A148" s="271"/>
      <c r="B148" s="336" t="s">
        <v>264</v>
      </c>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272" t="s">
        <v>170</v>
      </c>
      <c r="C149" s="272"/>
      <c r="D149" s="272"/>
      <c r="E149" s="272"/>
      <c r="F149" s="272"/>
      <c r="G149" s="272"/>
      <c r="H149" s="272"/>
      <c r="I149" s="272"/>
      <c r="J149" s="272"/>
      <c r="K149" s="272"/>
      <c r="L149" s="272"/>
      <c r="M149" s="272"/>
      <c r="N149" s="272"/>
      <c r="O149" s="272"/>
      <c r="P149" s="272"/>
      <c r="Q149" s="272"/>
      <c r="R149" s="272"/>
      <c r="S149" s="272"/>
      <c r="T149" s="318">
        <v>10000</v>
      </c>
      <c r="U149" s="275"/>
      <c r="V149" s="5"/>
    </row>
    <row r="150" spans="1:23" ht="15.6" x14ac:dyDescent="0.3">
      <c r="A150" s="271"/>
      <c r="B150" s="272" t="s">
        <v>260</v>
      </c>
      <c r="C150" s="272"/>
      <c r="D150" s="272"/>
      <c r="E150" s="272"/>
      <c r="F150" s="272"/>
      <c r="G150" s="272"/>
      <c r="H150" s="272"/>
      <c r="I150" s="272"/>
      <c r="J150" s="272"/>
      <c r="K150" s="272"/>
      <c r="L150" s="272"/>
      <c r="M150" s="272"/>
      <c r="N150" s="272"/>
      <c r="O150" s="272"/>
      <c r="P150" s="272"/>
      <c r="Q150" s="272"/>
      <c r="R150" s="272"/>
      <c r="S150" s="272"/>
      <c r="T150" s="318">
        <v>1819</v>
      </c>
      <c r="U150" s="275"/>
      <c r="V150" s="5"/>
    </row>
    <row r="151" spans="1:23" ht="15.6" x14ac:dyDescent="0.3">
      <c r="A151" s="271"/>
      <c r="B151" s="272" t="s">
        <v>228</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300</v>
      </c>
      <c r="C152" s="272"/>
      <c r="D152" s="272"/>
      <c r="E152" s="272"/>
      <c r="F152" s="272"/>
      <c r="G152" s="272"/>
      <c r="H152" s="272"/>
      <c r="I152" s="272"/>
      <c r="J152" s="272"/>
      <c r="K152" s="272"/>
      <c r="L152" s="272"/>
      <c r="M152" s="272"/>
      <c r="N152" s="272"/>
      <c r="O152" s="272"/>
      <c r="P152" s="272"/>
      <c r="Q152" s="272"/>
      <c r="R152" s="272"/>
      <c r="S152" s="272"/>
      <c r="T152" s="318">
        <v>1819</v>
      </c>
      <c r="U152" s="275"/>
      <c r="V152" s="5"/>
    </row>
    <row r="153" spans="1:23" ht="15.6" x14ac:dyDescent="0.3">
      <c r="A153" s="271"/>
      <c r="B153" s="337"/>
      <c r="C153" s="337"/>
      <c r="D153" s="337"/>
      <c r="E153" s="337"/>
      <c r="F153" s="337"/>
      <c r="G153" s="337"/>
      <c r="H153" s="337"/>
      <c r="I153" s="337"/>
      <c r="J153" s="337"/>
      <c r="K153" s="337"/>
      <c r="L153" s="337"/>
      <c r="M153" s="337"/>
      <c r="N153" s="337"/>
      <c r="O153" s="337"/>
      <c r="P153" s="337"/>
      <c r="Q153" s="337"/>
      <c r="R153" s="337"/>
      <c r="S153" s="337"/>
      <c r="T153" s="339"/>
      <c r="U153" s="340"/>
      <c r="V153" s="5"/>
    </row>
    <row r="154" spans="1:23" ht="15.6" x14ac:dyDescent="0.3">
      <c r="A154" s="177"/>
      <c r="B154" s="314"/>
      <c r="C154" s="314"/>
      <c r="D154" s="314"/>
      <c r="E154" s="314"/>
      <c r="F154" s="314"/>
      <c r="G154" s="314"/>
      <c r="H154" s="314"/>
      <c r="I154" s="314"/>
      <c r="J154" s="314"/>
      <c r="K154" s="314"/>
      <c r="L154" s="314"/>
      <c r="M154" s="314"/>
      <c r="N154" s="314"/>
      <c r="O154" s="314"/>
      <c r="P154" s="314"/>
      <c r="Q154" s="314"/>
      <c r="R154" s="314"/>
      <c r="S154" s="314"/>
      <c r="T154" s="342"/>
      <c r="U154" s="314"/>
      <c r="V154" s="5"/>
    </row>
    <row r="155" spans="1:23" ht="15.6" x14ac:dyDescent="0.3">
      <c r="A155" s="177"/>
      <c r="B155" s="204" t="s">
        <v>25</v>
      </c>
      <c r="C155" s="179"/>
      <c r="D155" s="179"/>
      <c r="E155" s="179"/>
      <c r="F155" s="179"/>
      <c r="G155" s="179"/>
      <c r="H155" s="179"/>
      <c r="I155" s="179"/>
      <c r="J155" s="179"/>
      <c r="K155" s="179"/>
      <c r="L155" s="179"/>
      <c r="M155" s="179"/>
      <c r="N155" s="179"/>
      <c r="O155" s="179"/>
      <c r="P155" s="179"/>
      <c r="Q155" s="179"/>
      <c r="R155" s="179"/>
      <c r="S155" s="179"/>
      <c r="T155" s="197"/>
      <c r="U155" s="179"/>
      <c r="V155" s="5"/>
    </row>
    <row r="156" spans="1:23" ht="15.6" x14ac:dyDescent="0.3">
      <c r="A156" s="271"/>
      <c r="B156" s="272" t="s">
        <v>51</v>
      </c>
      <c r="C156" s="272"/>
      <c r="D156" s="272"/>
      <c r="E156" s="272"/>
      <c r="F156" s="272"/>
      <c r="G156" s="272"/>
      <c r="H156" s="272"/>
      <c r="I156" s="272"/>
      <c r="J156" s="272"/>
      <c r="K156" s="272"/>
      <c r="L156" s="272"/>
      <c r="M156" s="272"/>
      <c r="N156" s="272"/>
      <c r="O156" s="272"/>
      <c r="P156" s="272"/>
      <c r="Q156" s="272"/>
      <c r="R156" s="272"/>
      <c r="S156" s="272"/>
      <c r="T156" s="343" t="s">
        <v>127</v>
      </c>
      <c r="U156" s="340"/>
      <c r="V156" s="5"/>
    </row>
    <row r="157" spans="1:23" ht="15.6" x14ac:dyDescent="0.3">
      <c r="A157" s="271"/>
      <c r="B157" s="272" t="s">
        <v>52</v>
      </c>
      <c r="C157" s="274"/>
      <c r="D157" s="274"/>
      <c r="E157" s="274"/>
      <c r="F157" s="274"/>
      <c r="G157" s="274"/>
      <c r="H157" s="274"/>
      <c r="I157" s="274"/>
      <c r="J157" s="274"/>
      <c r="K157" s="274"/>
      <c r="L157" s="274"/>
      <c r="M157" s="274"/>
      <c r="N157" s="274"/>
      <c r="O157" s="274"/>
      <c r="P157" s="274"/>
      <c r="Q157" s="274"/>
      <c r="R157" s="274"/>
      <c r="S157" s="274"/>
      <c r="T157" s="343" t="s">
        <v>127</v>
      </c>
      <c r="U157" s="340"/>
      <c r="V157" s="5"/>
    </row>
    <row r="158" spans="1:23" ht="15.6" x14ac:dyDescent="0.3">
      <c r="A158" s="271"/>
      <c r="B158" s="272" t="s">
        <v>53</v>
      </c>
      <c r="C158" s="272"/>
      <c r="D158" s="272"/>
      <c r="E158" s="272"/>
      <c r="F158" s="272"/>
      <c r="G158" s="272"/>
      <c r="H158" s="272"/>
      <c r="I158" s="272"/>
      <c r="J158" s="272"/>
      <c r="K158" s="272"/>
      <c r="L158" s="272"/>
      <c r="M158" s="272"/>
      <c r="N158" s="272"/>
      <c r="O158" s="272"/>
      <c r="P158" s="272"/>
      <c r="Q158" s="272"/>
      <c r="R158" s="272"/>
      <c r="S158" s="272"/>
      <c r="T158" s="343" t="s">
        <v>127</v>
      </c>
      <c r="U158" s="340"/>
      <c r="V158" s="5"/>
    </row>
    <row r="159" spans="1:23" ht="15.6" x14ac:dyDescent="0.3">
      <c r="A159" s="271"/>
      <c r="B159" s="272" t="s">
        <v>54</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177"/>
      <c r="B160" s="314"/>
      <c r="C160" s="314"/>
      <c r="D160" s="314"/>
      <c r="E160" s="314"/>
      <c r="F160" s="314"/>
      <c r="G160" s="314"/>
      <c r="H160" s="314"/>
      <c r="I160" s="314"/>
      <c r="J160" s="314"/>
      <c r="K160" s="314"/>
      <c r="L160" s="314"/>
      <c r="M160" s="314"/>
      <c r="N160" s="314"/>
      <c r="O160" s="314"/>
      <c r="P160" s="314"/>
      <c r="Q160" s="314"/>
      <c r="R160" s="314"/>
      <c r="S160" s="314"/>
      <c r="T160" s="342"/>
      <c r="U160" s="314"/>
      <c r="V160" s="5"/>
    </row>
    <row r="161" spans="1:22" ht="15.6" x14ac:dyDescent="0.3">
      <c r="A161" s="177"/>
      <c r="B161" s="204" t="s">
        <v>55</v>
      </c>
      <c r="C161" s="179"/>
      <c r="D161" s="179"/>
      <c r="E161" s="179"/>
      <c r="F161" s="179"/>
      <c r="G161" s="179"/>
      <c r="H161" s="179"/>
      <c r="I161" s="179"/>
      <c r="J161" s="179"/>
      <c r="K161" s="179"/>
      <c r="L161" s="179"/>
      <c r="M161" s="179"/>
      <c r="N161" s="179"/>
      <c r="O161" s="179"/>
      <c r="P161" s="179"/>
      <c r="Q161" s="179"/>
      <c r="R161" s="179"/>
      <c r="S161" s="179"/>
      <c r="T161" s="205"/>
      <c r="U161" s="179"/>
      <c r="V161" s="5"/>
    </row>
    <row r="162" spans="1:22" ht="15.6" x14ac:dyDescent="0.3">
      <c r="A162" s="271"/>
      <c r="B162" s="272" t="s">
        <v>56</v>
      </c>
      <c r="C162" s="272"/>
      <c r="D162" s="272"/>
      <c r="E162" s="272"/>
      <c r="F162" s="272"/>
      <c r="G162" s="272"/>
      <c r="H162" s="272"/>
      <c r="I162" s="272"/>
      <c r="J162" s="272"/>
      <c r="K162" s="272"/>
      <c r="L162" s="272"/>
      <c r="M162" s="272"/>
      <c r="N162" s="272"/>
      <c r="O162" s="272"/>
      <c r="P162" s="272"/>
      <c r="Q162" s="272"/>
      <c r="R162" s="272"/>
      <c r="S162" s="272"/>
      <c r="T162" s="318">
        <v>0</v>
      </c>
      <c r="U162" s="340"/>
      <c r="V162" s="5"/>
    </row>
    <row r="163" spans="1:22" ht="15.6" x14ac:dyDescent="0.3">
      <c r="A163" s="271"/>
      <c r="B163" s="272" t="s">
        <v>57</v>
      </c>
      <c r="C163" s="272"/>
      <c r="D163" s="272"/>
      <c r="E163" s="272"/>
      <c r="F163" s="272"/>
      <c r="G163" s="272"/>
      <c r="H163" s="272"/>
      <c r="I163" s="272"/>
      <c r="J163" s="272"/>
      <c r="K163" s="272"/>
      <c r="L163" s="272"/>
      <c r="M163" s="272"/>
      <c r="N163" s="272"/>
      <c r="O163" s="272"/>
      <c r="P163" s="272"/>
      <c r="Q163" s="272"/>
      <c r="R163" s="272"/>
      <c r="S163" s="272"/>
      <c r="T163" s="318">
        <f>-T112</f>
        <v>165</v>
      </c>
      <c r="U163" s="340"/>
      <c r="V163" s="5"/>
    </row>
    <row r="164" spans="1:22" ht="15.6" x14ac:dyDescent="0.3">
      <c r="A164" s="271"/>
      <c r="B164" s="272" t="s">
        <v>58</v>
      </c>
      <c r="C164" s="272"/>
      <c r="D164" s="272"/>
      <c r="E164" s="272"/>
      <c r="F164" s="272"/>
      <c r="G164" s="272"/>
      <c r="H164" s="272"/>
      <c r="I164" s="272"/>
      <c r="J164" s="272"/>
      <c r="K164" s="272"/>
      <c r="L164" s="272"/>
      <c r="M164" s="272"/>
      <c r="N164" s="272"/>
      <c r="O164" s="272"/>
      <c r="P164" s="272"/>
      <c r="Q164" s="272"/>
      <c r="R164" s="272"/>
      <c r="S164" s="272"/>
      <c r="T164" s="318">
        <f>T163+T162</f>
        <v>165</v>
      </c>
      <c r="U164" s="340"/>
      <c r="V164" s="5"/>
    </row>
    <row r="165" spans="1:22" ht="15.6" x14ac:dyDescent="0.3">
      <c r="A165" s="271"/>
      <c r="B165" s="400" t="s">
        <v>309</v>
      </c>
      <c r="C165" s="272"/>
      <c r="D165" s="272"/>
      <c r="E165" s="272"/>
      <c r="F165" s="272"/>
      <c r="G165" s="272"/>
      <c r="H165" s="272"/>
      <c r="I165" s="272"/>
      <c r="J165" s="272"/>
      <c r="K165" s="272"/>
      <c r="L165" s="272"/>
      <c r="M165" s="272"/>
      <c r="N165" s="272"/>
      <c r="O165" s="272"/>
      <c r="P165" s="272"/>
      <c r="Q165" s="272"/>
      <c r="R165" s="272"/>
      <c r="S165" s="272"/>
      <c r="T165" s="318">
        <f>T112</f>
        <v>-165</v>
      </c>
      <c r="U165" s="340"/>
      <c r="V165" s="5"/>
    </row>
    <row r="166" spans="1:22" ht="15.6" x14ac:dyDescent="0.3">
      <c r="A166" s="271"/>
      <c r="B166" s="272" t="s">
        <v>59</v>
      </c>
      <c r="C166" s="272"/>
      <c r="D166" s="272"/>
      <c r="E166" s="272"/>
      <c r="F166" s="272"/>
      <c r="G166" s="272"/>
      <c r="H166" s="272"/>
      <c r="I166" s="272"/>
      <c r="J166" s="272"/>
      <c r="K166" s="272"/>
      <c r="L166" s="272"/>
      <c r="M166" s="272"/>
      <c r="N166" s="272"/>
      <c r="O166" s="272"/>
      <c r="P166" s="272"/>
      <c r="Q166" s="272"/>
      <c r="R166" s="272"/>
      <c r="S166" s="272"/>
      <c r="T166" s="318">
        <f>T164+T165</f>
        <v>0</v>
      </c>
      <c r="U166" s="340"/>
      <c r="V166" s="5"/>
    </row>
    <row r="167" spans="1:22" ht="15.6" x14ac:dyDescent="0.3">
      <c r="A167" s="271"/>
      <c r="B167" s="272" t="s">
        <v>278</v>
      </c>
      <c r="C167" s="272"/>
      <c r="D167" s="272"/>
      <c r="E167" s="272"/>
      <c r="F167" s="272"/>
      <c r="G167" s="272"/>
      <c r="H167" s="272"/>
      <c r="I167" s="272"/>
      <c r="J167" s="272"/>
      <c r="K167" s="272"/>
      <c r="L167" s="272"/>
      <c r="M167" s="272"/>
      <c r="N167" s="272"/>
      <c r="O167" s="272"/>
      <c r="P167" s="272"/>
      <c r="Q167" s="272"/>
      <c r="R167" s="272"/>
      <c r="S167" s="272"/>
      <c r="T167" s="318">
        <v>0</v>
      </c>
      <c r="U167" s="340"/>
      <c r="V167" s="5"/>
    </row>
    <row r="168" spans="1:22" ht="16.2" thickBot="1" x14ac:dyDescent="0.35">
      <c r="A168" s="177"/>
      <c r="B168" s="268"/>
      <c r="C168" s="268"/>
      <c r="D168" s="268"/>
      <c r="E168" s="268"/>
      <c r="F168" s="268"/>
      <c r="G168" s="268"/>
      <c r="H168" s="268"/>
      <c r="I168" s="268"/>
      <c r="J168" s="268"/>
      <c r="K168" s="268"/>
      <c r="L168" s="268"/>
      <c r="M168" s="268"/>
      <c r="N168" s="268"/>
      <c r="O168" s="268"/>
      <c r="P168" s="268"/>
      <c r="Q168" s="268"/>
      <c r="R168" s="268"/>
      <c r="S168" s="268"/>
      <c r="T168" s="344"/>
      <c r="U168" s="314"/>
      <c r="V168" s="5"/>
    </row>
    <row r="169" spans="1:22" ht="15.6" x14ac:dyDescent="0.3">
      <c r="A169" s="175"/>
      <c r="B169" s="176"/>
      <c r="C169" s="176"/>
      <c r="D169" s="176"/>
      <c r="E169" s="176"/>
      <c r="F169" s="176"/>
      <c r="G169" s="176"/>
      <c r="H169" s="176"/>
      <c r="I169" s="176"/>
      <c r="J169" s="176"/>
      <c r="K169" s="176"/>
      <c r="L169" s="176"/>
      <c r="M169" s="176"/>
      <c r="N169" s="176"/>
      <c r="O169" s="176"/>
      <c r="P169" s="176"/>
      <c r="Q169" s="176"/>
      <c r="R169" s="176"/>
      <c r="S169" s="176"/>
      <c r="T169" s="196"/>
      <c r="U169" s="176"/>
      <c r="V169" s="5"/>
    </row>
    <row r="170" spans="1:22" ht="15.6" x14ac:dyDescent="0.3">
      <c r="A170" s="177"/>
      <c r="B170" s="204" t="s">
        <v>60</v>
      </c>
      <c r="C170" s="179"/>
      <c r="D170" s="179"/>
      <c r="E170" s="179"/>
      <c r="F170" s="179"/>
      <c r="G170" s="179"/>
      <c r="H170" s="179"/>
      <c r="I170" s="179"/>
      <c r="J170" s="179"/>
      <c r="K170" s="179"/>
      <c r="L170" s="179"/>
      <c r="M170" s="179"/>
      <c r="N170" s="179"/>
      <c r="O170" s="179"/>
      <c r="P170" s="179"/>
      <c r="Q170" s="179"/>
      <c r="R170" s="179"/>
      <c r="S170" s="179"/>
      <c r="T170" s="197"/>
      <c r="U170" s="179"/>
      <c r="V170" s="5"/>
    </row>
    <row r="171" spans="1:22" ht="15.6" x14ac:dyDescent="0.3">
      <c r="A171" s="177"/>
      <c r="B171" s="191"/>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271"/>
      <c r="B172" s="272" t="s">
        <v>61</v>
      </c>
      <c r="C172" s="272"/>
      <c r="D172" s="272"/>
      <c r="E172" s="272"/>
      <c r="F172" s="272"/>
      <c r="G172" s="272"/>
      <c r="H172" s="272"/>
      <c r="I172" s="272"/>
      <c r="J172" s="272"/>
      <c r="K172" s="272"/>
      <c r="L172" s="272"/>
      <c r="M172" s="272"/>
      <c r="N172" s="272"/>
      <c r="O172" s="272"/>
      <c r="P172" s="272"/>
      <c r="Q172" s="272"/>
      <c r="R172" s="272"/>
      <c r="S172" s="272"/>
      <c r="T172" s="318">
        <f>T68</f>
        <v>319777</v>
      </c>
      <c r="U172" s="340"/>
      <c r="V172" s="5"/>
    </row>
    <row r="173" spans="1:22" ht="15.6" x14ac:dyDescent="0.3">
      <c r="A173" s="271"/>
      <c r="B173" s="272" t="s">
        <v>62</v>
      </c>
      <c r="C173" s="272"/>
      <c r="D173" s="272"/>
      <c r="E173" s="272"/>
      <c r="F173" s="272"/>
      <c r="G173" s="272"/>
      <c r="H173" s="272"/>
      <c r="I173" s="272"/>
      <c r="J173" s="272"/>
      <c r="K173" s="272"/>
      <c r="L173" s="272"/>
      <c r="M173" s="272"/>
      <c r="N173" s="272"/>
      <c r="O173" s="272"/>
      <c r="P173" s="272"/>
      <c r="Q173" s="272"/>
      <c r="R173" s="272"/>
      <c r="S173" s="272"/>
      <c r="T173" s="318">
        <f>T81</f>
        <v>319777</v>
      </c>
      <c r="U173" s="340"/>
      <c r="V173" s="5"/>
    </row>
    <row r="174" spans="1:22" ht="16.2" thickBot="1" x14ac:dyDescent="0.35">
      <c r="A174" s="177"/>
      <c r="B174" s="314"/>
      <c r="C174" s="314"/>
      <c r="D174" s="314"/>
      <c r="E174" s="314"/>
      <c r="F174" s="314"/>
      <c r="G174" s="314"/>
      <c r="H174" s="314"/>
      <c r="I174" s="314"/>
      <c r="J174" s="314"/>
      <c r="K174" s="314"/>
      <c r="L174" s="314"/>
      <c r="M174" s="314"/>
      <c r="N174" s="314"/>
      <c r="O174" s="314"/>
      <c r="P174" s="314"/>
      <c r="Q174" s="314"/>
      <c r="R174" s="314"/>
      <c r="S174" s="314"/>
      <c r="T174" s="342"/>
      <c r="U174" s="314"/>
      <c r="V174" s="5"/>
    </row>
    <row r="175" spans="1:22" ht="15.6" x14ac:dyDescent="0.3">
      <c r="A175" s="175"/>
      <c r="B175" s="176"/>
      <c r="C175" s="176"/>
      <c r="D175" s="176"/>
      <c r="E175" s="176"/>
      <c r="F175" s="176"/>
      <c r="G175" s="176"/>
      <c r="H175" s="176"/>
      <c r="I175" s="176"/>
      <c r="J175" s="176"/>
      <c r="K175" s="176"/>
      <c r="L175" s="176"/>
      <c r="M175" s="176"/>
      <c r="N175" s="176"/>
      <c r="O175" s="176"/>
      <c r="P175" s="176"/>
      <c r="Q175" s="176"/>
      <c r="R175" s="176"/>
      <c r="S175" s="176"/>
      <c r="T175" s="196"/>
      <c r="U175" s="176"/>
      <c r="V175" s="5"/>
    </row>
    <row r="176" spans="1:22" ht="15.6" x14ac:dyDescent="0.3">
      <c r="A176" s="177"/>
      <c r="B176" s="204" t="s">
        <v>63</v>
      </c>
      <c r="C176" s="201"/>
      <c r="D176" s="201"/>
      <c r="E176" s="201"/>
      <c r="F176" s="201"/>
      <c r="G176" s="201"/>
      <c r="H176" s="206"/>
      <c r="I176" s="206"/>
      <c r="J176" s="206"/>
      <c r="K176" s="206"/>
      <c r="L176" s="206"/>
      <c r="M176" s="206"/>
      <c r="N176" s="206"/>
      <c r="O176" s="206"/>
      <c r="P176" s="206"/>
      <c r="Q176" s="206" t="s">
        <v>107</v>
      </c>
      <c r="R176" s="206" t="s">
        <v>234</v>
      </c>
      <c r="S176" s="181"/>
      <c r="T176" s="207" t="s">
        <v>123</v>
      </c>
      <c r="U176" s="208"/>
      <c r="V176" s="5"/>
    </row>
    <row r="177" spans="1:22" ht="15.6" x14ac:dyDescent="0.3">
      <c r="A177" s="271"/>
      <c r="B177" s="272" t="s">
        <v>64</v>
      </c>
      <c r="C177" s="272"/>
      <c r="D177" s="272"/>
      <c r="E177" s="272"/>
      <c r="F177" s="272"/>
      <c r="G177" s="272"/>
      <c r="H177" s="272"/>
      <c r="I177" s="272"/>
      <c r="J177" s="272"/>
      <c r="K177" s="272"/>
      <c r="L177" s="272"/>
      <c r="M177" s="272"/>
      <c r="N177" s="272"/>
      <c r="O177" s="272"/>
      <c r="P177" s="272"/>
      <c r="Q177" s="318">
        <v>112000</v>
      </c>
      <c r="R177" s="306"/>
      <c r="S177" s="272"/>
      <c r="T177" s="318"/>
      <c r="U177" s="275"/>
      <c r="V177" s="5"/>
    </row>
    <row r="178" spans="1:22" ht="15.6" x14ac:dyDescent="0.3">
      <c r="A178" s="271"/>
      <c r="B178" s="272" t="s">
        <v>65</v>
      </c>
      <c r="C178" s="272"/>
      <c r="D178" s="272"/>
      <c r="E178" s="272"/>
      <c r="F178" s="272"/>
      <c r="G178" s="272"/>
      <c r="H178" s="272"/>
      <c r="I178" s="272"/>
      <c r="J178" s="272"/>
      <c r="K178" s="272"/>
      <c r="L178" s="272"/>
      <c r="M178" s="272"/>
      <c r="N178" s="272"/>
      <c r="O178" s="272"/>
      <c r="P178" s="272"/>
      <c r="Q178" s="318">
        <f>+'Oct 10'!Q180</f>
        <v>45938</v>
      </c>
      <c r="R178" s="318">
        <f>+'Oct 10'!R180</f>
        <v>2435</v>
      </c>
      <c r="S178" s="272"/>
      <c r="T178" s="318">
        <f>Q178+R178</f>
        <v>48373</v>
      </c>
      <c r="U178" s="275"/>
      <c r="V178" s="5"/>
    </row>
    <row r="179" spans="1:22" ht="15.6" x14ac:dyDescent="0.3">
      <c r="A179" s="271"/>
      <c r="B179" s="272" t="s">
        <v>66</v>
      </c>
      <c r="C179" s="272"/>
      <c r="D179" s="272"/>
      <c r="E179" s="272"/>
      <c r="F179" s="272"/>
      <c r="G179" s="272"/>
      <c r="H179" s="272"/>
      <c r="I179" s="272"/>
      <c r="J179" s="272"/>
      <c r="K179" s="272"/>
      <c r="L179" s="272"/>
      <c r="M179" s="272"/>
      <c r="N179" s="272"/>
      <c r="O179" s="272"/>
      <c r="P179" s="272"/>
      <c r="Q179" s="317">
        <v>75</v>
      </c>
      <c r="R179" s="317">
        <v>0</v>
      </c>
      <c r="S179" s="272"/>
      <c r="T179" s="318">
        <f>Q179+R179</f>
        <v>75</v>
      </c>
      <c r="U179" s="275"/>
      <c r="V179" s="5"/>
    </row>
    <row r="180" spans="1:22" ht="15.6" x14ac:dyDescent="0.3">
      <c r="A180" s="271"/>
      <c r="B180" s="272" t="s">
        <v>67</v>
      </c>
      <c r="C180" s="272"/>
      <c r="D180" s="272"/>
      <c r="E180" s="272"/>
      <c r="F180" s="272"/>
      <c r="G180" s="272"/>
      <c r="H180" s="272"/>
      <c r="I180" s="272"/>
      <c r="J180" s="272"/>
      <c r="K180" s="272"/>
      <c r="L180" s="272"/>
      <c r="M180" s="272"/>
      <c r="N180" s="272"/>
      <c r="O180" s="272"/>
      <c r="P180" s="272"/>
      <c r="Q180" s="318">
        <f>Q178+Q179</f>
        <v>46013</v>
      </c>
      <c r="R180" s="318">
        <f>R179+R178</f>
        <v>2435</v>
      </c>
      <c r="S180" s="272"/>
      <c r="T180" s="318">
        <f>Q180+R180</f>
        <v>48448</v>
      </c>
      <c r="U180" s="275"/>
      <c r="V180" s="5"/>
    </row>
    <row r="181" spans="1:22" ht="15.6" x14ac:dyDescent="0.3">
      <c r="A181" s="271"/>
      <c r="B181" s="272" t="s">
        <v>68</v>
      </c>
      <c r="C181" s="272"/>
      <c r="D181" s="272"/>
      <c r="E181" s="272"/>
      <c r="F181" s="272"/>
      <c r="G181" s="272"/>
      <c r="H181" s="272"/>
      <c r="I181" s="272"/>
      <c r="J181" s="272"/>
      <c r="K181" s="272"/>
      <c r="L181" s="272"/>
      <c r="M181" s="272"/>
      <c r="N181" s="272"/>
      <c r="O181" s="272"/>
      <c r="P181" s="272"/>
      <c r="Q181" s="318">
        <f>Q177-Q180-R180</f>
        <v>63552</v>
      </c>
      <c r="R181" s="306"/>
      <c r="S181" s="272"/>
      <c r="T181" s="318"/>
      <c r="U181" s="275"/>
      <c r="V181" s="5"/>
    </row>
    <row r="182" spans="1:22" ht="16.2" thickBot="1" x14ac:dyDescent="0.35">
      <c r="A182" s="177"/>
      <c r="B182" s="314"/>
      <c r="C182" s="314"/>
      <c r="D182" s="314"/>
      <c r="E182" s="314"/>
      <c r="F182" s="314"/>
      <c r="G182" s="314"/>
      <c r="H182" s="314"/>
      <c r="I182" s="314"/>
      <c r="J182" s="314"/>
      <c r="K182" s="314"/>
      <c r="L182" s="314"/>
      <c r="M182" s="314"/>
      <c r="N182" s="314"/>
      <c r="O182" s="314"/>
      <c r="P182" s="314"/>
      <c r="Q182" s="314"/>
      <c r="R182" s="314"/>
      <c r="S182" s="314"/>
      <c r="T182" s="342"/>
      <c r="U182" s="314"/>
      <c r="V182" s="5"/>
    </row>
    <row r="183" spans="1:22" ht="15.6" x14ac:dyDescent="0.3">
      <c r="A183" s="175"/>
      <c r="B183" s="176"/>
      <c r="C183" s="176"/>
      <c r="D183" s="176"/>
      <c r="E183" s="176"/>
      <c r="F183" s="176"/>
      <c r="G183" s="176"/>
      <c r="H183" s="176"/>
      <c r="I183" s="176"/>
      <c r="J183" s="176"/>
      <c r="K183" s="176"/>
      <c r="L183" s="176"/>
      <c r="M183" s="176"/>
      <c r="N183" s="176"/>
      <c r="O183" s="176"/>
      <c r="P183" s="176"/>
      <c r="Q183" s="176"/>
      <c r="R183" s="176"/>
      <c r="S183" s="176"/>
      <c r="T183" s="196"/>
      <c r="U183" s="176"/>
      <c r="V183" s="5"/>
    </row>
    <row r="184" spans="1:22" ht="15.6" x14ac:dyDescent="0.3">
      <c r="A184" s="177"/>
      <c r="B184" s="204" t="s">
        <v>69</v>
      </c>
      <c r="C184" s="179"/>
      <c r="D184" s="179"/>
      <c r="E184" s="179"/>
      <c r="F184" s="179"/>
      <c r="G184" s="179"/>
      <c r="H184" s="179"/>
      <c r="I184" s="179"/>
      <c r="J184" s="179"/>
      <c r="K184" s="179"/>
      <c r="L184" s="179"/>
      <c r="M184" s="179"/>
      <c r="N184" s="179"/>
      <c r="O184" s="179"/>
      <c r="P184" s="179"/>
      <c r="Q184" s="179"/>
      <c r="R184" s="179"/>
      <c r="S184" s="179"/>
      <c r="T184" s="209"/>
      <c r="U184" s="179"/>
      <c r="V184" s="5"/>
    </row>
    <row r="185" spans="1:22" ht="15.6" x14ac:dyDescent="0.3">
      <c r="A185" s="271"/>
      <c r="B185" s="272" t="s">
        <v>70</v>
      </c>
      <c r="C185" s="272"/>
      <c r="D185" s="272"/>
      <c r="E185" s="272"/>
      <c r="F185" s="272"/>
      <c r="G185" s="272"/>
      <c r="H185" s="272"/>
      <c r="I185" s="272"/>
      <c r="J185" s="272"/>
      <c r="K185" s="272"/>
      <c r="L185" s="272"/>
      <c r="M185" s="272"/>
      <c r="N185" s="272"/>
      <c r="O185" s="272"/>
      <c r="P185" s="272"/>
      <c r="Q185" s="272"/>
      <c r="R185" s="272"/>
      <c r="S185" s="272"/>
      <c r="T185" s="343">
        <f>(T97+T99+T100+T101+T102+T103)/-(T104+T105+T106)</f>
        <v>2.9573863636363638</v>
      </c>
      <c r="U185" s="275" t="s">
        <v>124</v>
      </c>
      <c r="V185" s="5"/>
    </row>
    <row r="186" spans="1:22" ht="15.6" x14ac:dyDescent="0.3">
      <c r="A186" s="271"/>
      <c r="B186" s="272" t="s">
        <v>71</v>
      </c>
      <c r="C186" s="272"/>
      <c r="D186" s="272"/>
      <c r="E186" s="272"/>
      <c r="F186" s="272"/>
      <c r="G186" s="272"/>
      <c r="H186" s="272"/>
      <c r="I186" s="272"/>
      <c r="J186" s="272"/>
      <c r="K186" s="272"/>
      <c r="L186" s="272"/>
      <c r="M186" s="272"/>
      <c r="N186" s="272"/>
      <c r="O186" s="272"/>
      <c r="P186" s="272"/>
      <c r="Q186" s="272"/>
      <c r="R186" s="272"/>
      <c r="S186" s="272"/>
      <c r="T186" s="345">
        <v>1.49</v>
      </c>
      <c r="U186" s="275" t="s">
        <v>124</v>
      </c>
      <c r="V186" s="5"/>
    </row>
    <row r="187" spans="1:22" ht="15.6" x14ac:dyDescent="0.3">
      <c r="A187" s="271"/>
      <c r="B187" s="272" t="s">
        <v>72</v>
      </c>
      <c r="C187" s="272"/>
      <c r="D187" s="272"/>
      <c r="E187" s="272"/>
      <c r="F187" s="272"/>
      <c r="G187" s="272"/>
      <c r="H187" s="272"/>
      <c r="I187" s="272"/>
      <c r="J187" s="272"/>
      <c r="K187" s="272"/>
      <c r="L187" s="272"/>
      <c r="M187" s="272"/>
      <c r="N187" s="272"/>
      <c r="O187" s="272"/>
      <c r="P187" s="272"/>
      <c r="Q187" s="272"/>
      <c r="R187" s="272"/>
      <c r="S187" s="272"/>
      <c r="T187" s="343">
        <f>(T97+T99+T100+T101+T102+T103+T104+T105+T106)/-(T107+T108)</f>
        <v>16.023255813953487</v>
      </c>
      <c r="U187" s="275" t="s">
        <v>124</v>
      </c>
      <c r="V187" s="5"/>
    </row>
    <row r="188" spans="1:22" ht="15.6" x14ac:dyDescent="0.3">
      <c r="A188" s="271"/>
      <c r="B188" s="272" t="s">
        <v>73</v>
      </c>
      <c r="C188" s="272"/>
      <c r="D188" s="272"/>
      <c r="E188" s="272"/>
      <c r="F188" s="272"/>
      <c r="G188" s="272"/>
      <c r="H188" s="272"/>
      <c r="I188" s="272"/>
      <c r="J188" s="272"/>
      <c r="K188" s="272"/>
      <c r="L188" s="272"/>
      <c r="M188" s="272"/>
      <c r="N188" s="272"/>
      <c r="O188" s="272"/>
      <c r="P188" s="272"/>
      <c r="Q188" s="272"/>
      <c r="R188" s="272"/>
      <c r="S188" s="272"/>
      <c r="T188" s="346">
        <v>7.56</v>
      </c>
      <c r="U188" s="275" t="s">
        <v>124</v>
      </c>
      <c r="V188" s="5"/>
    </row>
    <row r="189" spans="1:22" ht="15.6" x14ac:dyDescent="0.3">
      <c r="A189" s="271"/>
      <c r="B189" s="272" t="s">
        <v>243</v>
      </c>
      <c r="C189" s="272"/>
      <c r="D189" s="272"/>
      <c r="E189" s="272"/>
      <c r="F189" s="272"/>
      <c r="G189" s="272"/>
      <c r="H189" s="272"/>
      <c r="I189" s="272"/>
      <c r="J189" s="272"/>
      <c r="K189" s="272"/>
      <c r="L189" s="272"/>
      <c r="M189" s="272"/>
      <c r="N189" s="272"/>
      <c r="O189" s="272"/>
      <c r="P189" s="272"/>
      <c r="Q189" s="272"/>
      <c r="R189" s="272"/>
      <c r="S189" s="272"/>
      <c r="T189" s="343">
        <f>(T97+T99+T100+T101+T102+T103+T104+T105+T106+T107+T108)/-(T109+T110)</f>
        <v>6.2115384615384617</v>
      </c>
      <c r="U189" s="275" t="s">
        <v>124</v>
      </c>
      <c r="V189" s="5"/>
    </row>
    <row r="190" spans="1:22" ht="15.6" x14ac:dyDescent="0.3">
      <c r="A190" s="271"/>
      <c r="B190" s="272" t="s">
        <v>244</v>
      </c>
      <c r="C190" s="272"/>
      <c r="D190" s="272"/>
      <c r="E190" s="272"/>
      <c r="F190" s="272"/>
      <c r="G190" s="272"/>
      <c r="H190" s="272"/>
      <c r="I190" s="272"/>
      <c r="J190" s="272"/>
      <c r="K190" s="272"/>
      <c r="L190" s="272"/>
      <c r="M190" s="272"/>
      <c r="N190" s="272"/>
      <c r="O190" s="272"/>
      <c r="P190" s="272"/>
      <c r="Q190" s="272"/>
      <c r="R190" s="272"/>
      <c r="S190" s="272"/>
      <c r="T190" s="346">
        <v>3.47</v>
      </c>
      <c r="U190" s="275" t="s">
        <v>124</v>
      </c>
      <c r="V190" s="5"/>
    </row>
    <row r="191" spans="1:22" ht="15.6" x14ac:dyDescent="0.3">
      <c r="A191" s="271"/>
      <c r="B191" s="272"/>
      <c r="C191" s="272"/>
      <c r="D191" s="272"/>
      <c r="E191" s="272"/>
      <c r="F191" s="272"/>
      <c r="G191" s="272"/>
      <c r="H191" s="272"/>
      <c r="I191" s="272"/>
      <c r="J191" s="272"/>
      <c r="K191" s="272"/>
      <c r="L191" s="272"/>
      <c r="M191" s="272"/>
      <c r="N191" s="272"/>
      <c r="O191" s="272"/>
      <c r="P191" s="272"/>
      <c r="Q191" s="272"/>
      <c r="R191" s="272"/>
      <c r="S191" s="272"/>
      <c r="T191" s="272"/>
      <c r="U191" s="275"/>
      <c r="V191" s="5"/>
    </row>
    <row r="192" spans="1:22" ht="15.6" x14ac:dyDescent="0.3">
      <c r="A192" s="177"/>
      <c r="B192" s="268"/>
      <c r="C192" s="268"/>
      <c r="D192" s="268"/>
      <c r="E192" s="268"/>
      <c r="F192" s="268"/>
      <c r="G192" s="268"/>
      <c r="H192" s="268"/>
      <c r="I192" s="268"/>
      <c r="J192" s="268"/>
      <c r="K192" s="268"/>
      <c r="L192" s="268"/>
      <c r="M192" s="268"/>
      <c r="N192" s="268"/>
      <c r="O192" s="268"/>
      <c r="P192" s="268"/>
      <c r="Q192" s="268"/>
      <c r="R192" s="268"/>
      <c r="S192" s="268"/>
      <c r="T192" s="268"/>
      <c r="U192" s="268"/>
      <c r="V192" s="5"/>
    </row>
    <row r="193" spans="1:22" ht="15.6" x14ac:dyDescent="0.3">
      <c r="A193" s="177"/>
      <c r="B193" s="234"/>
      <c r="C193" s="234"/>
      <c r="D193" s="234"/>
      <c r="E193" s="234"/>
      <c r="F193" s="234"/>
      <c r="G193" s="234"/>
      <c r="H193" s="234"/>
      <c r="I193" s="234"/>
      <c r="J193" s="234"/>
      <c r="K193" s="234"/>
      <c r="L193" s="234"/>
      <c r="M193" s="234"/>
      <c r="N193" s="234"/>
      <c r="O193" s="234"/>
      <c r="P193" s="234"/>
      <c r="Q193" s="234"/>
      <c r="R193" s="234"/>
      <c r="S193" s="234"/>
      <c r="T193" s="234"/>
      <c r="U193" s="234"/>
      <c r="V193" s="5"/>
    </row>
    <row r="194" spans="1:22" ht="18" thickBot="1" x14ac:dyDescent="0.35">
      <c r="A194" s="195"/>
      <c r="B194" s="238" t="str">
        <f>B133</f>
        <v>PM9 INVESTOR REPORT QUARTER ENDING JANUARY 2011</v>
      </c>
      <c r="C194" s="245"/>
      <c r="D194" s="245"/>
      <c r="E194" s="245"/>
      <c r="F194" s="245"/>
      <c r="G194" s="245"/>
      <c r="H194" s="245"/>
      <c r="I194" s="245"/>
      <c r="J194" s="245"/>
      <c r="K194" s="245"/>
      <c r="L194" s="245"/>
      <c r="M194" s="245"/>
      <c r="N194" s="245"/>
      <c r="O194" s="245"/>
      <c r="P194" s="245"/>
      <c r="Q194" s="245"/>
      <c r="R194" s="245"/>
      <c r="S194" s="245"/>
      <c r="T194" s="245"/>
      <c r="U194" s="246"/>
      <c r="V194" s="5"/>
    </row>
    <row r="195" spans="1:22" ht="15.6" x14ac:dyDescent="0.3">
      <c r="A195" s="321"/>
      <c r="B195" s="324" t="s">
        <v>74</v>
      </c>
      <c r="C195" s="325"/>
      <c r="D195" s="325"/>
      <c r="E195" s="325"/>
      <c r="F195" s="325"/>
      <c r="G195" s="326"/>
      <c r="H195" s="326"/>
      <c r="I195" s="326"/>
      <c r="J195" s="326"/>
      <c r="K195" s="326"/>
      <c r="L195" s="326"/>
      <c r="M195" s="326"/>
      <c r="N195" s="326"/>
      <c r="O195" s="326"/>
      <c r="P195" s="326"/>
      <c r="Q195" s="326"/>
      <c r="R195" s="326">
        <v>40574</v>
      </c>
      <c r="S195" s="322"/>
      <c r="T195" s="322"/>
      <c r="U195" s="322"/>
      <c r="V195" s="5"/>
    </row>
    <row r="196" spans="1:22" ht="15.6" x14ac:dyDescent="0.3">
      <c r="A196" s="210"/>
      <c r="B196" s="211"/>
      <c r="C196" s="212"/>
      <c r="D196" s="212"/>
      <c r="E196" s="212"/>
      <c r="F196" s="212"/>
      <c r="G196" s="213"/>
      <c r="H196" s="213"/>
      <c r="I196" s="213"/>
      <c r="J196" s="213"/>
      <c r="K196" s="213"/>
      <c r="L196" s="213"/>
      <c r="M196" s="213"/>
      <c r="N196" s="213"/>
      <c r="O196" s="213"/>
      <c r="P196" s="213"/>
      <c r="Q196" s="213"/>
      <c r="R196" s="213"/>
      <c r="S196" s="179"/>
      <c r="T196" s="179"/>
      <c r="U196" s="179"/>
      <c r="V196" s="5"/>
    </row>
    <row r="197" spans="1:22" ht="15.6" x14ac:dyDescent="0.3">
      <c r="A197" s="348"/>
      <c r="B197" s="272" t="s">
        <v>75</v>
      </c>
      <c r="C197" s="349"/>
      <c r="D197" s="349"/>
      <c r="E197" s="349"/>
      <c r="F197" s="349"/>
      <c r="G197" s="309"/>
      <c r="H197" s="309"/>
      <c r="I197" s="309"/>
      <c r="J197" s="309"/>
      <c r="K197" s="309"/>
      <c r="L197" s="309"/>
      <c r="M197" s="309"/>
      <c r="N197" s="309"/>
      <c r="O197" s="309"/>
      <c r="P197" s="309"/>
      <c r="Q197" s="309"/>
      <c r="R197" s="304">
        <v>5.8209999999999998E-2</v>
      </c>
      <c r="S197" s="272"/>
      <c r="T197" s="272"/>
      <c r="U197" s="340"/>
      <c r="V197" s="5"/>
    </row>
    <row r="198" spans="1:22" ht="15.6" x14ac:dyDescent="0.3">
      <c r="A198" s="348"/>
      <c r="B198" s="272" t="s">
        <v>164</v>
      </c>
      <c r="C198" s="349"/>
      <c r="D198" s="349"/>
      <c r="E198" s="349"/>
      <c r="F198" s="349"/>
      <c r="G198" s="309"/>
      <c r="H198" s="309"/>
      <c r="I198" s="309"/>
      <c r="J198" s="309"/>
      <c r="K198" s="309"/>
      <c r="L198" s="309"/>
      <c r="M198" s="309"/>
      <c r="N198" s="309"/>
      <c r="O198" s="309"/>
      <c r="P198" s="309"/>
      <c r="Q198" s="309"/>
      <c r="R198" s="304">
        <f>'Oct 05'!R193</f>
        <v>4.8438496428571419E-2</v>
      </c>
      <c r="S198" s="272"/>
      <c r="T198" s="272"/>
      <c r="U198" s="340"/>
      <c r="V198" s="5"/>
    </row>
    <row r="199" spans="1:22" ht="15.6" x14ac:dyDescent="0.3">
      <c r="A199" s="348"/>
      <c r="B199" s="272" t="s">
        <v>76</v>
      </c>
      <c r="C199" s="349"/>
      <c r="D199" s="349"/>
      <c r="E199" s="349"/>
      <c r="F199" s="349"/>
      <c r="G199" s="309"/>
      <c r="H199" s="309"/>
      <c r="I199" s="309"/>
      <c r="J199" s="309"/>
      <c r="K199" s="309"/>
      <c r="L199" s="309"/>
      <c r="M199" s="309"/>
      <c r="N199" s="309"/>
      <c r="O199" s="309"/>
      <c r="P199" s="309"/>
      <c r="Q199" s="309"/>
      <c r="R199" s="304">
        <f>R197-R198</f>
        <v>9.7715035714285789E-3</v>
      </c>
      <c r="S199" s="272"/>
      <c r="T199" s="272"/>
      <c r="U199" s="340"/>
      <c r="V199" s="5"/>
    </row>
    <row r="200" spans="1:22" ht="15.6" x14ac:dyDescent="0.3">
      <c r="A200" s="348"/>
      <c r="B200" s="272" t="s">
        <v>77</v>
      </c>
      <c r="C200" s="349"/>
      <c r="D200" s="349"/>
      <c r="E200" s="349"/>
      <c r="F200" s="349"/>
      <c r="G200" s="309"/>
      <c r="H200" s="309"/>
      <c r="I200" s="309"/>
      <c r="J200" s="309"/>
      <c r="K200" s="309"/>
      <c r="L200" s="309"/>
      <c r="M200" s="309"/>
      <c r="N200" s="309"/>
      <c r="O200" s="309"/>
      <c r="P200" s="309"/>
      <c r="Q200" s="309"/>
      <c r="R200" s="304">
        <v>2.6790000000000001E-2</v>
      </c>
      <c r="S200" s="272"/>
      <c r="T200" s="272"/>
      <c r="U200" s="340"/>
      <c r="V200" s="5"/>
    </row>
    <row r="201" spans="1:22" ht="15.6" x14ac:dyDescent="0.3">
      <c r="A201" s="348"/>
      <c r="B201" s="272" t="s">
        <v>257</v>
      </c>
      <c r="C201" s="349"/>
      <c r="D201" s="349"/>
      <c r="E201" s="349"/>
      <c r="F201" s="349"/>
      <c r="G201" s="309"/>
      <c r="H201" s="309"/>
      <c r="I201" s="309"/>
      <c r="J201" s="309"/>
      <c r="K201" s="309"/>
      <c r="L201" s="309"/>
      <c r="M201" s="309"/>
      <c r="N201" s="309"/>
      <c r="O201" s="309"/>
      <c r="P201" s="309"/>
      <c r="Q201" s="309"/>
      <c r="R201" s="304">
        <f>+T41</f>
        <v>1.2314096183087547E-2</v>
      </c>
      <c r="S201" s="272"/>
      <c r="T201" s="272"/>
      <c r="U201" s="340"/>
      <c r="V201" s="5"/>
    </row>
    <row r="202" spans="1:22" ht="15.6" x14ac:dyDescent="0.3">
      <c r="A202" s="348"/>
      <c r="B202" s="272" t="s">
        <v>78</v>
      </c>
      <c r="C202" s="349"/>
      <c r="D202" s="349"/>
      <c r="E202" s="349"/>
      <c r="F202" s="349"/>
      <c r="G202" s="309"/>
      <c r="H202" s="309"/>
      <c r="I202" s="309"/>
      <c r="J202" s="309"/>
      <c r="K202" s="309"/>
      <c r="L202" s="309"/>
      <c r="M202" s="309"/>
      <c r="N202" s="309"/>
      <c r="O202" s="309"/>
      <c r="P202" s="309"/>
      <c r="Q202" s="309"/>
      <c r="R202" s="304">
        <f>R200-R201</f>
        <v>1.4475903816912454E-2</v>
      </c>
      <c r="S202" s="272"/>
      <c r="T202" s="272"/>
      <c r="U202" s="340"/>
      <c r="V202" s="5"/>
    </row>
    <row r="203" spans="1:22" ht="15.6" x14ac:dyDescent="0.3">
      <c r="A203" s="348"/>
      <c r="B203" s="272" t="s">
        <v>268</v>
      </c>
      <c r="C203" s="349"/>
      <c r="D203" s="349"/>
      <c r="E203" s="349"/>
      <c r="F203" s="349"/>
      <c r="G203" s="309"/>
      <c r="H203" s="309"/>
      <c r="I203" s="309"/>
      <c r="J203" s="309"/>
      <c r="K203" s="309"/>
      <c r="L203" s="309"/>
      <c r="M203" s="309"/>
      <c r="N203" s="309"/>
      <c r="O203" s="309"/>
      <c r="P203" s="309"/>
      <c r="Q203" s="309"/>
      <c r="R203" s="304">
        <f>+T97/L68</f>
        <v>7.5490814610844692E-3</v>
      </c>
      <c r="S203" s="272"/>
      <c r="T203" s="272"/>
      <c r="U203" s="340"/>
      <c r="V203" s="5"/>
    </row>
    <row r="204" spans="1:22" ht="15.6" x14ac:dyDescent="0.3">
      <c r="A204" s="348"/>
      <c r="B204" s="272" t="s">
        <v>249</v>
      </c>
      <c r="C204" s="349"/>
      <c r="D204" s="349"/>
      <c r="E204" s="349"/>
      <c r="F204" s="349"/>
      <c r="G204" s="309"/>
      <c r="H204" s="309"/>
      <c r="I204" s="309"/>
      <c r="J204" s="309"/>
      <c r="K204" s="309"/>
      <c r="L204" s="309"/>
      <c r="M204" s="309"/>
      <c r="N204" s="309"/>
      <c r="O204" s="309"/>
      <c r="P204" s="309"/>
      <c r="Q204" s="309"/>
      <c r="R204" s="350">
        <v>51622</v>
      </c>
      <c r="S204" s="272"/>
      <c r="T204" s="272"/>
      <c r="U204" s="340"/>
      <c r="V204" s="5"/>
    </row>
    <row r="205" spans="1:22" ht="15.6" x14ac:dyDescent="0.3">
      <c r="A205" s="348"/>
      <c r="B205" s="272" t="s">
        <v>250</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251</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79</v>
      </c>
      <c r="C207" s="349"/>
      <c r="D207" s="349"/>
      <c r="E207" s="349"/>
      <c r="F207" s="349"/>
      <c r="G207" s="309"/>
      <c r="H207" s="309"/>
      <c r="I207" s="309"/>
      <c r="J207" s="309"/>
      <c r="K207" s="309"/>
      <c r="L207" s="309"/>
      <c r="M207" s="309"/>
      <c r="N207" s="309"/>
      <c r="O207" s="309"/>
      <c r="P207" s="309"/>
      <c r="Q207" s="309"/>
      <c r="R207" s="308">
        <v>20.95</v>
      </c>
      <c r="S207" s="272" t="s">
        <v>119</v>
      </c>
      <c r="T207" s="272"/>
      <c r="U207" s="340"/>
      <c r="V207" s="5"/>
    </row>
    <row r="208" spans="1:22" ht="15.6" x14ac:dyDescent="0.3">
      <c r="A208" s="348"/>
      <c r="B208" s="272" t="s">
        <v>80</v>
      </c>
      <c r="C208" s="349"/>
      <c r="D208" s="349"/>
      <c r="E208" s="349"/>
      <c r="F208" s="349"/>
      <c r="G208" s="309"/>
      <c r="H208" s="309"/>
      <c r="I208" s="309"/>
      <c r="J208" s="309"/>
      <c r="K208" s="309"/>
      <c r="L208" s="309"/>
      <c r="M208" s="309"/>
      <c r="N208" s="309"/>
      <c r="O208" s="309"/>
      <c r="P208" s="309"/>
      <c r="Q208" s="309"/>
      <c r="R208" s="308">
        <v>15.64</v>
      </c>
      <c r="S208" s="272" t="s">
        <v>119</v>
      </c>
      <c r="T208" s="272"/>
      <c r="U208" s="340"/>
      <c r="V208" s="5"/>
    </row>
    <row r="209" spans="1:22" ht="15.6" x14ac:dyDescent="0.3">
      <c r="A209" s="348"/>
      <c r="B209" s="272" t="s">
        <v>81</v>
      </c>
      <c r="C209" s="349"/>
      <c r="D209" s="349"/>
      <c r="E209" s="349"/>
      <c r="F209" s="349"/>
      <c r="G209" s="309"/>
      <c r="H209" s="309"/>
      <c r="I209" s="309"/>
      <c r="J209" s="309"/>
      <c r="K209" s="309"/>
      <c r="L209" s="309"/>
      <c r="M209" s="309"/>
      <c r="N209" s="309"/>
      <c r="O209" s="309"/>
      <c r="P209" s="309"/>
      <c r="Q209" s="309"/>
      <c r="R209" s="304">
        <f>N65/L65</f>
        <v>6.4519938712274015E-3</v>
      </c>
      <c r="S209" s="272"/>
      <c r="T209" s="272"/>
      <c r="U209" s="340"/>
      <c r="V209" s="5"/>
    </row>
    <row r="210" spans="1:22" ht="15.6" x14ac:dyDescent="0.3">
      <c r="A210" s="348"/>
      <c r="B210" s="272" t="s">
        <v>82</v>
      </c>
      <c r="C210" s="349"/>
      <c r="D210" s="349"/>
      <c r="E210" s="349"/>
      <c r="F210" s="349"/>
      <c r="G210" s="309"/>
      <c r="H210" s="309"/>
      <c r="I210" s="309"/>
      <c r="J210" s="309"/>
      <c r="K210" s="309"/>
      <c r="L210" s="309"/>
      <c r="M210" s="309"/>
      <c r="N210" s="309"/>
      <c r="O210" s="309"/>
      <c r="P210" s="309"/>
      <c r="Q210" s="309"/>
      <c r="R210" s="304">
        <v>0.1457</v>
      </c>
      <c r="S210" s="272"/>
      <c r="T210" s="272"/>
      <c r="U210" s="340"/>
      <c r="V210" s="5"/>
    </row>
    <row r="211" spans="1:22" ht="15.6" x14ac:dyDescent="0.3">
      <c r="A211" s="210"/>
      <c r="B211" s="268"/>
      <c r="C211" s="268"/>
      <c r="D211" s="268"/>
      <c r="E211" s="268"/>
      <c r="F211" s="268"/>
      <c r="G211" s="268"/>
      <c r="H211" s="268"/>
      <c r="I211" s="268"/>
      <c r="J211" s="268"/>
      <c r="K211" s="268"/>
      <c r="L211" s="268"/>
      <c r="M211" s="268"/>
      <c r="N211" s="268"/>
      <c r="O211" s="268"/>
      <c r="P211" s="268"/>
      <c r="Q211" s="268"/>
      <c r="R211" s="344"/>
      <c r="S211" s="268"/>
      <c r="T211" s="347"/>
      <c r="U211" s="314"/>
      <c r="V211" s="5"/>
    </row>
    <row r="212" spans="1:22" ht="15.6" x14ac:dyDescent="0.3">
      <c r="A212" s="327"/>
      <c r="B212" s="259" t="s">
        <v>83</v>
      </c>
      <c r="C212" s="260"/>
      <c r="D212" s="260"/>
      <c r="E212" s="260"/>
      <c r="F212" s="261"/>
      <c r="G212" s="260"/>
      <c r="H212" s="260"/>
      <c r="I212" s="260"/>
      <c r="J212" s="260"/>
      <c r="K212" s="260"/>
      <c r="L212" s="260"/>
      <c r="M212" s="260"/>
      <c r="N212" s="260"/>
      <c r="O212" s="260"/>
      <c r="P212" s="260"/>
      <c r="Q212" s="260" t="s">
        <v>108</v>
      </c>
      <c r="R212" s="261" t="s">
        <v>115</v>
      </c>
      <c r="S212" s="262"/>
      <c r="T212" s="262"/>
      <c r="U212" s="262"/>
      <c r="V212" s="5"/>
    </row>
    <row r="213" spans="1:22" ht="15.6" x14ac:dyDescent="0.3">
      <c r="A213" s="214"/>
      <c r="B213" s="228" t="s">
        <v>84</v>
      </c>
      <c r="C213" s="231"/>
      <c r="D213" s="231"/>
      <c r="E213" s="231"/>
      <c r="F213" s="228"/>
      <c r="G213" s="228"/>
      <c r="H213" s="230"/>
      <c r="I213" s="230"/>
      <c r="J213" s="230"/>
      <c r="K213" s="230"/>
      <c r="L213" s="230"/>
      <c r="M213" s="230"/>
      <c r="N213" s="230"/>
      <c r="O213" s="230"/>
      <c r="P213" s="230"/>
      <c r="Q213" s="230">
        <v>0</v>
      </c>
      <c r="R213" s="248">
        <v>0</v>
      </c>
      <c r="S213" s="228"/>
      <c r="T213" s="247"/>
      <c r="U213" s="215"/>
      <c r="V213" s="5"/>
    </row>
    <row r="214" spans="1:22" ht="15.6" x14ac:dyDescent="0.3">
      <c r="A214" s="358"/>
      <c r="B214" s="272" t="s">
        <v>156</v>
      </c>
      <c r="C214" s="317"/>
      <c r="D214" s="317"/>
      <c r="E214" s="317"/>
      <c r="F214" s="272"/>
      <c r="G214" s="272"/>
      <c r="H214" s="279"/>
      <c r="I214" s="279"/>
      <c r="J214" s="279"/>
      <c r="K214" s="279"/>
      <c r="L214" s="279"/>
      <c r="M214" s="279"/>
      <c r="N214" s="279"/>
      <c r="O214" s="279"/>
      <c r="P214" s="279"/>
      <c r="Q214" s="359">
        <f>+P265</f>
        <v>70</v>
      </c>
      <c r="R214" s="360">
        <f>+R265</f>
        <v>10419</v>
      </c>
      <c r="S214" s="272"/>
      <c r="T214" s="361"/>
      <c r="U214" s="362"/>
      <c r="V214" s="5"/>
    </row>
    <row r="215" spans="1:22" ht="15.6" x14ac:dyDescent="0.3">
      <c r="A215" s="358"/>
      <c r="B215" s="272" t="s">
        <v>85</v>
      </c>
      <c r="C215" s="317"/>
      <c r="D215" s="317"/>
      <c r="E215" s="317"/>
      <c r="F215" s="272"/>
      <c r="G215" s="272"/>
      <c r="H215" s="279"/>
      <c r="I215" s="279"/>
      <c r="J215" s="279"/>
      <c r="K215" s="279"/>
      <c r="L215" s="279"/>
      <c r="M215" s="279"/>
      <c r="N215" s="279"/>
      <c r="O215" s="279"/>
      <c r="P215" s="279"/>
      <c r="Q215" s="359">
        <f>+P277</f>
        <v>0</v>
      </c>
      <c r="R215" s="360">
        <f>+R277</f>
        <v>0</v>
      </c>
      <c r="S215" s="272"/>
      <c r="T215" s="361"/>
      <c r="U215" s="362"/>
      <c r="V215" s="5"/>
    </row>
    <row r="216" spans="1:22" ht="15.6" x14ac:dyDescent="0.3">
      <c r="A216" s="358"/>
      <c r="B216" s="293" t="s">
        <v>86</v>
      </c>
      <c r="C216" s="363"/>
      <c r="D216" s="363"/>
      <c r="E216" s="363"/>
      <c r="F216" s="337"/>
      <c r="G216" s="337"/>
      <c r="H216" s="337"/>
      <c r="I216" s="337"/>
      <c r="J216" s="337"/>
      <c r="K216" s="337"/>
      <c r="L216" s="337"/>
      <c r="M216" s="337"/>
      <c r="N216" s="337"/>
      <c r="O216" s="337"/>
      <c r="P216" s="337"/>
      <c r="Q216" s="337"/>
      <c r="R216" s="360">
        <v>0</v>
      </c>
      <c r="S216" s="337"/>
      <c r="T216" s="364"/>
      <c r="U216" s="362"/>
      <c r="V216" s="5"/>
    </row>
    <row r="217" spans="1:22" ht="15.6" x14ac:dyDescent="0.3">
      <c r="A217" s="358"/>
      <c r="B217" s="293" t="s">
        <v>87</v>
      </c>
      <c r="C217" s="363"/>
      <c r="D217" s="363"/>
      <c r="E217" s="363"/>
      <c r="F217" s="337"/>
      <c r="G217" s="337"/>
      <c r="H217" s="337"/>
      <c r="I217" s="337"/>
      <c r="J217" s="337"/>
      <c r="K217" s="337"/>
      <c r="L217" s="337"/>
      <c r="M217" s="337"/>
      <c r="N217" s="337"/>
      <c r="O217" s="337"/>
      <c r="P217" s="337"/>
      <c r="Q217" s="337"/>
      <c r="R217" s="365" t="s">
        <v>116</v>
      </c>
      <c r="S217" s="337"/>
      <c r="T217" s="364"/>
      <c r="U217" s="362"/>
      <c r="V217" s="5"/>
    </row>
    <row r="218" spans="1:22" ht="15.6" x14ac:dyDescent="0.3">
      <c r="A218" s="366"/>
      <c r="B218" s="293" t="s">
        <v>88</v>
      </c>
      <c r="C218" s="367"/>
      <c r="D218" s="367"/>
      <c r="E218" s="367"/>
      <c r="F218" s="367"/>
      <c r="G218" s="337"/>
      <c r="H218" s="337"/>
      <c r="I218" s="337"/>
      <c r="J218" s="337"/>
      <c r="K218" s="337"/>
      <c r="L218" s="337"/>
      <c r="M218" s="337"/>
      <c r="N218" s="337"/>
      <c r="O218" s="337"/>
      <c r="P218" s="337"/>
      <c r="Q218" s="337"/>
      <c r="R218" s="368"/>
      <c r="S218" s="337"/>
      <c r="T218" s="364"/>
      <c r="U218" s="369"/>
      <c r="V218" s="5"/>
    </row>
    <row r="219" spans="1:22" ht="15.6" x14ac:dyDescent="0.3">
      <c r="A219" s="366"/>
      <c r="B219" s="370" t="s">
        <v>89</v>
      </c>
      <c r="C219" s="370"/>
      <c r="D219" s="370"/>
      <c r="E219" s="370"/>
      <c r="F219" s="370"/>
      <c r="G219" s="370"/>
      <c r="H219" s="370"/>
      <c r="I219" s="370"/>
      <c r="J219" s="370"/>
      <c r="K219" s="370"/>
      <c r="L219" s="370"/>
      <c r="M219" s="370"/>
      <c r="N219" s="370"/>
      <c r="O219" s="370"/>
      <c r="P219" s="370"/>
      <c r="Q219" s="371"/>
      <c r="R219" s="372">
        <f>T163</f>
        <v>165</v>
      </c>
      <c r="S219" s="370"/>
      <c r="T219" s="364"/>
      <c r="U219" s="369"/>
      <c r="V219" s="5"/>
    </row>
    <row r="220" spans="1:22" ht="15.6" x14ac:dyDescent="0.3">
      <c r="A220" s="358"/>
      <c r="B220" s="370" t="s">
        <v>90</v>
      </c>
      <c r="C220" s="373"/>
      <c r="D220" s="373"/>
      <c r="E220" s="373"/>
      <c r="F220" s="373"/>
      <c r="G220" s="370"/>
      <c r="H220" s="370"/>
      <c r="I220" s="370"/>
      <c r="J220" s="370"/>
      <c r="K220" s="370"/>
      <c r="L220" s="370"/>
      <c r="M220" s="370"/>
      <c r="N220" s="370"/>
      <c r="O220" s="370"/>
      <c r="P220" s="370"/>
      <c r="Q220" s="371"/>
      <c r="R220" s="372">
        <f>'Oct 10'!R220+'Jan 11'!R219</f>
        <v>3043</v>
      </c>
      <c r="S220" s="370"/>
      <c r="T220" s="364"/>
      <c r="U220" s="369"/>
      <c r="V220" s="5"/>
    </row>
    <row r="221" spans="1:22" ht="15.6" x14ac:dyDescent="0.3">
      <c r="A221" s="366"/>
      <c r="B221" s="293" t="s">
        <v>288</v>
      </c>
      <c r="C221" s="367"/>
      <c r="D221" s="367"/>
      <c r="E221" s="367"/>
      <c r="F221" s="367"/>
      <c r="G221" s="337"/>
      <c r="H221" s="337"/>
      <c r="I221" s="337"/>
      <c r="J221" s="337"/>
      <c r="K221" s="337"/>
      <c r="L221" s="337"/>
      <c r="M221" s="337"/>
      <c r="N221" s="337"/>
      <c r="O221" s="337"/>
      <c r="P221" s="337"/>
      <c r="Q221" s="374"/>
      <c r="R221" s="368"/>
      <c r="S221" s="337"/>
      <c r="T221" s="364"/>
      <c r="U221" s="369"/>
      <c r="V221" s="5"/>
    </row>
    <row r="222" spans="1:22" ht="15.6" x14ac:dyDescent="0.3">
      <c r="A222" s="375"/>
      <c r="B222" s="272" t="s">
        <v>286</v>
      </c>
      <c r="C222" s="272"/>
      <c r="D222" s="272"/>
      <c r="E222" s="272"/>
      <c r="F222" s="272"/>
      <c r="G222" s="272"/>
      <c r="H222" s="272"/>
      <c r="I222" s="272"/>
      <c r="J222" s="272"/>
      <c r="K222" s="272"/>
      <c r="L222" s="272"/>
      <c r="M222" s="272"/>
      <c r="N222" s="272"/>
      <c r="O222" s="272"/>
      <c r="P222" s="272"/>
      <c r="Q222" s="279">
        <v>0</v>
      </c>
      <c r="R222" s="360">
        <v>0</v>
      </c>
      <c r="S222" s="272"/>
      <c r="T222" s="361"/>
      <c r="U222" s="369"/>
      <c r="V222" s="5"/>
    </row>
    <row r="223" spans="1:22" ht="15.6" x14ac:dyDescent="0.3">
      <c r="A223" s="376"/>
      <c r="B223" s="272" t="s">
        <v>92</v>
      </c>
      <c r="C223" s="306"/>
      <c r="D223" s="306"/>
      <c r="E223" s="306"/>
      <c r="F223" s="377"/>
      <c r="G223" s="272"/>
      <c r="H223" s="272"/>
      <c r="I223" s="272"/>
      <c r="J223" s="272"/>
      <c r="K223" s="272"/>
      <c r="L223" s="272"/>
      <c r="M223" s="272"/>
      <c r="N223" s="272"/>
      <c r="O223" s="272"/>
      <c r="P223" s="272"/>
      <c r="Q223" s="279"/>
      <c r="R223" s="365">
        <v>0</v>
      </c>
      <c r="S223" s="272"/>
      <c r="T223" s="361"/>
      <c r="U223" s="369"/>
      <c r="V223" s="5"/>
    </row>
    <row r="224" spans="1:22" ht="15.6" x14ac:dyDescent="0.3">
      <c r="A224" s="376"/>
      <c r="B224" s="272" t="s">
        <v>93</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58"/>
      <c r="B225" s="293" t="s">
        <v>258</v>
      </c>
      <c r="C225" s="378"/>
      <c r="D225" s="378"/>
      <c r="E225" s="378"/>
      <c r="F225" s="379"/>
      <c r="G225" s="337"/>
      <c r="H225" s="337"/>
      <c r="I225" s="337"/>
      <c r="J225" s="337"/>
      <c r="K225" s="337"/>
      <c r="L225" s="337"/>
      <c r="M225" s="337"/>
      <c r="N225" s="337"/>
      <c r="O225" s="337"/>
      <c r="P225" s="337"/>
      <c r="Q225" s="374"/>
      <c r="R225" s="380"/>
      <c r="S225" s="337"/>
      <c r="T225" s="364"/>
      <c r="U225" s="369"/>
      <c r="V225" s="5"/>
    </row>
    <row r="226" spans="1:23" ht="15.6" x14ac:dyDescent="0.3">
      <c r="A226" s="376"/>
      <c r="B226" s="272" t="s">
        <v>286</v>
      </c>
      <c r="C226" s="306"/>
      <c r="D226" s="306"/>
      <c r="E226" s="306"/>
      <c r="F226" s="377"/>
      <c r="G226" s="272"/>
      <c r="H226" s="272"/>
      <c r="I226" s="272"/>
      <c r="J226" s="272"/>
      <c r="K226" s="272"/>
      <c r="L226" s="272"/>
      <c r="M226" s="272"/>
      <c r="N226" s="272"/>
      <c r="O226" s="272"/>
      <c r="P226" s="272"/>
      <c r="Q226" s="279">
        <v>4</v>
      </c>
      <c r="R226" s="360">
        <v>461</v>
      </c>
      <c r="S226" s="272"/>
      <c r="T226" s="364"/>
      <c r="U226" s="369"/>
      <c r="V226" s="5"/>
    </row>
    <row r="227" spans="1:23" ht="15.6" x14ac:dyDescent="0.3">
      <c r="A227" s="376"/>
      <c r="B227" s="272" t="s">
        <v>259</v>
      </c>
      <c r="C227" s="306"/>
      <c r="D227" s="306"/>
      <c r="E227" s="306"/>
      <c r="F227" s="377"/>
      <c r="G227" s="272"/>
      <c r="H227" s="272"/>
      <c r="I227" s="272"/>
      <c r="J227" s="272"/>
      <c r="K227" s="272"/>
      <c r="L227" s="272"/>
      <c r="M227" s="272"/>
      <c r="N227" s="272"/>
      <c r="O227" s="272"/>
      <c r="P227" s="272"/>
      <c r="Q227" s="272"/>
      <c r="R227" s="365">
        <v>8.84</v>
      </c>
      <c r="S227" s="272"/>
      <c r="T227" s="364"/>
      <c r="U227" s="369"/>
      <c r="V227" s="5"/>
    </row>
    <row r="228" spans="1:23" ht="15.6" x14ac:dyDescent="0.3">
      <c r="A228" s="358"/>
      <c r="B228" s="367"/>
      <c r="C228" s="378"/>
      <c r="D228" s="378"/>
      <c r="E228" s="378"/>
      <c r="F228" s="379"/>
      <c r="G228" s="337"/>
      <c r="H228" s="337"/>
      <c r="I228" s="337"/>
      <c r="J228" s="337"/>
      <c r="K228" s="337"/>
      <c r="L228" s="337"/>
      <c r="M228" s="337"/>
      <c r="N228" s="337"/>
      <c r="O228" s="337"/>
      <c r="P228" s="337"/>
      <c r="Q228" s="337"/>
      <c r="R228" s="381"/>
      <c r="S228" s="337"/>
      <c r="T228" s="364"/>
      <c r="U228" s="369"/>
      <c r="V228" s="5"/>
    </row>
    <row r="229" spans="1:23" ht="17.399999999999999" x14ac:dyDescent="0.3">
      <c r="A229" s="358"/>
      <c r="B229" s="382" t="s">
        <v>208</v>
      </c>
      <c r="C229" s="378"/>
      <c r="D229" s="378"/>
      <c r="E229" s="378"/>
      <c r="F229" s="379"/>
      <c r="G229" s="337"/>
      <c r="H229" s="337"/>
      <c r="I229" s="337"/>
      <c r="J229" s="337"/>
      <c r="K229" s="337"/>
      <c r="L229" s="337"/>
      <c r="M229" s="337"/>
      <c r="N229" s="383" t="s">
        <v>207</v>
      </c>
      <c r="O229" s="337"/>
      <c r="P229" s="337"/>
      <c r="Q229" s="337"/>
      <c r="R229" s="381"/>
      <c r="S229" s="337"/>
      <c r="T229" s="364"/>
      <c r="U229" s="369"/>
      <c r="V229" s="5"/>
    </row>
    <row r="230" spans="1:23" ht="15.6" x14ac:dyDescent="0.3">
      <c r="A230" s="351"/>
      <c r="B230" s="352"/>
      <c r="C230" s="353"/>
      <c r="D230" s="353"/>
      <c r="E230" s="353"/>
      <c r="F230" s="354"/>
      <c r="G230" s="314"/>
      <c r="H230" s="314"/>
      <c r="I230" s="314"/>
      <c r="J230" s="314"/>
      <c r="K230" s="314"/>
      <c r="L230" s="314"/>
      <c r="M230" s="314"/>
      <c r="N230" s="314"/>
      <c r="O230" s="314"/>
      <c r="P230" s="314"/>
      <c r="Q230" s="314"/>
      <c r="R230" s="355"/>
      <c r="S230" s="314"/>
      <c r="T230" s="356"/>
      <c r="U230" s="357"/>
      <c r="V230" s="5"/>
    </row>
    <row r="231" spans="1:23" ht="15.6" x14ac:dyDescent="0.3">
      <c r="A231" s="258"/>
      <c r="B231" s="259" t="s">
        <v>302</v>
      </c>
      <c r="C231" s="260"/>
      <c r="D231" s="260"/>
      <c r="E231" s="260"/>
      <c r="F231" s="261"/>
      <c r="G231" s="260"/>
      <c r="H231" s="260"/>
      <c r="I231" s="260"/>
      <c r="J231" s="260"/>
      <c r="K231" s="260"/>
      <c r="L231" s="260"/>
      <c r="M231" s="260"/>
      <c r="N231" s="260"/>
      <c r="O231" s="260"/>
      <c r="P231" s="261" t="s">
        <v>108</v>
      </c>
      <c r="Q231" s="260" t="s">
        <v>109</v>
      </c>
      <c r="R231" s="261" t="s">
        <v>117</v>
      </c>
      <c r="S231" s="260" t="s">
        <v>109</v>
      </c>
      <c r="T231" s="262"/>
      <c r="U231" s="259"/>
      <c r="V231" s="5"/>
    </row>
    <row r="232" spans="1:23" ht="15.6" x14ac:dyDescent="0.3">
      <c r="A232" s="232"/>
      <c r="B232" s="231" t="s">
        <v>94</v>
      </c>
      <c r="C232" s="249"/>
      <c r="D232" s="249"/>
      <c r="E232" s="249"/>
      <c r="F232" s="228"/>
      <c r="G232" s="249"/>
      <c r="H232" s="249"/>
      <c r="I232" s="249"/>
      <c r="J232" s="249"/>
      <c r="K232" s="249"/>
      <c r="L232" s="249"/>
      <c r="M232" s="249"/>
      <c r="N232" s="249"/>
      <c r="O232" s="249"/>
      <c r="P232" s="317">
        <f t="shared" ref="P232:P239" si="1">+P244+P256+P268</f>
        <v>2634</v>
      </c>
      <c r="Q232" s="388">
        <f t="shared" ref="Q232:Q239" si="2">P232/$P$241</f>
        <v>0.98430493273542596</v>
      </c>
      <c r="R232" s="318">
        <f t="shared" ref="R232:R239" si="3">+R244+R256+R268</f>
        <v>312494</v>
      </c>
      <c r="S232" s="388">
        <f t="shared" ref="S232:S239" si="4">R232/$R$241</f>
        <v>0.97722475350009541</v>
      </c>
      <c r="T232" s="247"/>
      <c r="U232" s="229"/>
      <c r="V232" s="5"/>
    </row>
    <row r="233" spans="1:23" ht="15.6" x14ac:dyDescent="0.3">
      <c r="A233" s="302"/>
      <c r="B233" s="317" t="s">
        <v>95</v>
      </c>
      <c r="C233" s="387"/>
      <c r="D233" s="387"/>
      <c r="E233" s="387"/>
      <c r="F233" s="272"/>
      <c r="G233" s="388"/>
      <c r="H233" s="387"/>
      <c r="I233" s="387"/>
      <c r="J233" s="387"/>
      <c r="K233" s="387"/>
      <c r="L233" s="387"/>
      <c r="M233" s="387"/>
      <c r="N233" s="387"/>
      <c r="O233" s="387"/>
      <c r="P233" s="317">
        <f t="shared" si="1"/>
        <v>17</v>
      </c>
      <c r="Q233" s="388">
        <f t="shared" si="2"/>
        <v>6.3527653213751867E-3</v>
      </c>
      <c r="R233" s="318">
        <f t="shared" si="3"/>
        <v>3094</v>
      </c>
      <c r="S233" s="388">
        <f t="shared" si="4"/>
        <v>9.675492608911835E-3</v>
      </c>
      <c r="T233" s="361"/>
      <c r="U233" s="389"/>
      <c r="V233" s="5"/>
      <c r="W233" s="110"/>
    </row>
    <row r="234" spans="1:23" ht="15.6" x14ac:dyDescent="0.3">
      <c r="A234" s="302"/>
      <c r="B234" s="317" t="s">
        <v>96</v>
      </c>
      <c r="C234" s="387"/>
      <c r="D234" s="387"/>
      <c r="E234" s="387"/>
      <c r="F234" s="272"/>
      <c r="G234" s="388"/>
      <c r="H234" s="387"/>
      <c r="I234" s="387"/>
      <c r="J234" s="387"/>
      <c r="K234" s="387"/>
      <c r="L234" s="387"/>
      <c r="M234" s="387"/>
      <c r="N234" s="387"/>
      <c r="O234" s="387"/>
      <c r="P234" s="317">
        <f t="shared" si="1"/>
        <v>8</v>
      </c>
      <c r="Q234" s="388">
        <f t="shared" si="2"/>
        <v>2.9895366218236174E-3</v>
      </c>
      <c r="R234" s="318">
        <f t="shared" si="3"/>
        <v>1287</v>
      </c>
      <c r="S234" s="388">
        <f t="shared" si="4"/>
        <v>4.0246796986650075E-3</v>
      </c>
      <c r="T234" s="361"/>
      <c r="U234" s="389"/>
      <c r="V234" s="5"/>
    </row>
    <row r="235" spans="1:23" ht="15.6" x14ac:dyDescent="0.3">
      <c r="A235" s="302"/>
      <c r="B235" s="317" t="s">
        <v>171</v>
      </c>
      <c r="C235" s="387"/>
      <c r="D235" s="387"/>
      <c r="E235" s="387"/>
      <c r="F235" s="272"/>
      <c r="G235" s="388"/>
      <c r="H235" s="387"/>
      <c r="I235" s="387"/>
      <c r="J235" s="387"/>
      <c r="K235" s="387"/>
      <c r="L235" s="387"/>
      <c r="M235" s="387"/>
      <c r="N235" s="387"/>
      <c r="O235" s="387"/>
      <c r="P235" s="317">
        <f t="shared" si="1"/>
        <v>3</v>
      </c>
      <c r="Q235" s="388">
        <f t="shared" si="2"/>
        <v>1.1210762331838565E-3</v>
      </c>
      <c r="R235" s="318">
        <f t="shared" si="3"/>
        <v>574</v>
      </c>
      <c r="S235" s="388">
        <f t="shared" si="4"/>
        <v>1.7950008912460871E-3</v>
      </c>
      <c r="T235" s="361"/>
      <c r="U235" s="389"/>
      <c r="V235" s="5"/>
      <c r="W235" s="110"/>
    </row>
    <row r="236" spans="1:23" ht="15.6" x14ac:dyDescent="0.3">
      <c r="A236" s="302"/>
      <c r="B236" s="317" t="s">
        <v>172</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row>
    <row r="237" spans="1:23" ht="15.6" x14ac:dyDescent="0.3">
      <c r="A237" s="302"/>
      <c r="B237" s="317" t="s">
        <v>173</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c r="W237" s="110"/>
    </row>
    <row r="238" spans="1:23" ht="15.6" x14ac:dyDescent="0.3">
      <c r="A238" s="302"/>
      <c r="B238" s="317" t="s">
        <v>174</v>
      </c>
      <c r="C238" s="387"/>
      <c r="D238" s="387"/>
      <c r="E238" s="387"/>
      <c r="F238" s="272"/>
      <c r="G238" s="388"/>
      <c r="H238" s="387"/>
      <c r="I238" s="387"/>
      <c r="J238" s="387"/>
      <c r="K238" s="387"/>
      <c r="L238" s="387"/>
      <c r="M238" s="387"/>
      <c r="N238" s="387"/>
      <c r="O238" s="387"/>
      <c r="P238" s="317">
        <f t="shared" si="1"/>
        <v>3</v>
      </c>
      <c r="Q238" s="388">
        <f t="shared" si="2"/>
        <v>1.1210762331838565E-3</v>
      </c>
      <c r="R238" s="318">
        <f t="shared" si="3"/>
        <v>276</v>
      </c>
      <c r="S238" s="388">
        <f t="shared" si="4"/>
        <v>8.6310147383958195E-4</v>
      </c>
      <c r="T238" s="361"/>
      <c r="U238" s="389"/>
      <c r="V238" s="5"/>
    </row>
    <row r="239" spans="1:23" ht="15.6" x14ac:dyDescent="0.3">
      <c r="A239" s="302"/>
      <c r="B239" s="317" t="s">
        <v>175</v>
      </c>
      <c r="C239" s="387"/>
      <c r="D239" s="387"/>
      <c r="E239" s="387"/>
      <c r="F239" s="272"/>
      <c r="G239" s="388"/>
      <c r="H239" s="387"/>
      <c r="I239" s="387"/>
      <c r="J239" s="387"/>
      <c r="K239" s="387"/>
      <c r="L239" s="387"/>
      <c r="M239" s="387"/>
      <c r="N239" s="387"/>
      <c r="O239" s="387"/>
      <c r="P239" s="317">
        <f t="shared" si="1"/>
        <v>11</v>
      </c>
      <c r="Q239" s="388">
        <f t="shared" si="2"/>
        <v>4.1106128550074741E-3</v>
      </c>
      <c r="R239" s="318">
        <f t="shared" si="3"/>
        <v>2052</v>
      </c>
      <c r="S239" s="388">
        <f t="shared" si="4"/>
        <v>6.4169718272421095E-3</v>
      </c>
      <c r="T239" s="361"/>
      <c r="U239" s="389"/>
      <c r="V239" s="5"/>
      <c r="W239" s="110"/>
    </row>
    <row r="240" spans="1:23" ht="15.6" x14ac:dyDescent="0.3">
      <c r="A240" s="302"/>
      <c r="B240" s="317"/>
      <c r="C240" s="387"/>
      <c r="D240" s="387"/>
      <c r="E240" s="387"/>
      <c r="F240" s="272"/>
      <c r="G240" s="388"/>
      <c r="H240" s="387"/>
      <c r="I240" s="387"/>
      <c r="J240" s="387"/>
      <c r="K240" s="387"/>
      <c r="L240" s="387"/>
      <c r="M240" s="387"/>
      <c r="N240" s="387"/>
      <c r="O240" s="387"/>
      <c r="P240" s="317"/>
      <c r="Q240" s="388"/>
      <c r="R240" s="318"/>
      <c r="S240" s="388"/>
      <c r="T240" s="361"/>
      <c r="U240" s="389"/>
      <c r="V240" s="5"/>
    </row>
    <row r="241" spans="1:23" ht="15.6" x14ac:dyDescent="0.3">
      <c r="A241" s="302"/>
      <c r="B241" s="272"/>
      <c r="C241" s="272"/>
      <c r="D241" s="272"/>
      <c r="E241" s="272"/>
      <c r="F241" s="272"/>
      <c r="G241" s="272"/>
      <c r="H241" s="390"/>
      <c r="I241" s="390"/>
      <c r="J241" s="390"/>
      <c r="K241" s="390"/>
      <c r="L241" s="390"/>
      <c r="M241" s="390"/>
      <c r="N241" s="390"/>
      <c r="O241" s="390"/>
      <c r="P241" s="317">
        <f>SUM(P232:P240)</f>
        <v>2676</v>
      </c>
      <c r="Q241" s="388">
        <f>SUM(Q232:Q240)</f>
        <v>0.99999999999999989</v>
      </c>
      <c r="R241" s="318">
        <f>SUM(R232:R240)</f>
        <v>319777</v>
      </c>
      <c r="S241" s="388">
        <f>SUM(S232:S240)</f>
        <v>1.0000000000000002</v>
      </c>
      <c r="T241" s="272"/>
      <c r="U241" s="275"/>
      <c r="V241" s="5"/>
    </row>
    <row r="242" spans="1:23" ht="15.6" x14ac:dyDescent="0.3">
      <c r="A242" s="351"/>
      <c r="B242" s="352"/>
      <c r="C242" s="353"/>
      <c r="D242" s="353"/>
      <c r="E242" s="353"/>
      <c r="F242" s="354"/>
      <c r="G242" s="314"/>
      <c r="H242" s="314"/>
      <c r="I242" s="314"/>
      <c r="J242" s="314"/>
      <c r="K242" s="314"/>
      <c r="L242" s="314"/>
      <c r="M242" s="314"/>
      <c r="N242" s="314"/>
      <c r="O242" s="314"/>
      <c r="P242" s="314"/>
      <c r="Q242" s="314"/>
      <c r="R242" s="355"/>
      <c r="S242" s="314"/>
      <c r="T242" s="356"/>
      <c r="U242" s="357"/>
      <c r="V242" s="5"/>
    </row>
    <row r="243" spans="1:23" ht="15.6" x14ac:dyDescent="0.3">
      <c r="A243" s="258"/>
      <c r="B243" s="259" t="s">
        <v>177</v>
      </c>
      <c r="C243" s="260"/>
      <c r="D243" s="260"/>
      <c r="E243" s="260"/>
      <c r="F243" s="261"/>
      <c r="G243" s="260"/>
      <c r="H243" s="260"/>
      <c r="I243" s="260"/>
      <c r="J243" s="260"/>
      <c r="K243" s="260"/>
      <c r="L243" s="260"/>
      <c r="M243" s="260"/>
      <c r="N243" s="260"/>
      <c r="O243" s="260"/>
      <c r="P243" s="261" t="s">
        <v>108</v>
      </c>
      <c r="Q243" s="260" t="s">
        <v>109</v>
      </c>
      <c r="R243" s="261" t="s">
        <v>117</v>
      </c>
      <c r="S243" s="260" t="s">
        <v>109</v>
      </c>
      <c r="T243" s="262"/>
      <c r="U243" s="259"/>
      <c r="V243" s="5"/>
    </row>
    <row r="244" spans="1:23" ht="15.6" x14ac:dyDescent="0.3">
      <c r="A244" s="232"/>
      <c r="B244" s="231" t="s">
        <v>94</v>
      </c>
      <c r="C244" s="249"/>
      <c r="D244" s="249"/>
      <c r="E244" s="249"/>
      <c r="F244" s="228"/>
      <c r="G244" s="249"/>
      <c r="H244" s="249"/>
      <c r="I244" s="249"/>
      <c r="J244" s="249"/>
      <c r="K244" s="249"/>
      <c r="L244" s="249"/>
      <c r="M244" s="249"/>
      <c r="N244" s="249"/>
      <c r="O244" s="249"/>
      <c r="P244" s="231">
        <v>2586</v>
      </c>
      <c r="Q244" s="250">
        <f t="shared" ref="Q244:Q251" si="5">P244/$P$253</f>
        <v>0.99232540291634685</v>
      </c>
      <c r="R244" s="242">
        <v>305722</v>
      </c>
      <c r="S244" s="250">
        <f t="shared" ref="S244:S251" si="6">R244/$R$253</f>
        <v>0.98824662688535614</v>
      </c>
      <c r="T244" s="247"/>
      <c r="U244" s="229"/>
      <c r="V244" s="5"/>
    </row>
    <row r="245" spans="1:23" ht="15.6" x14ac:dyDescent="0.3">
      <c r="A245" s="302"/>
      <c r="B245" s="317" t="s">
        <v>95</v>
      </c>
      <c r="C245" s="387"/>
      <c r="D245" s="387"/>
      <c r="E245" s="387"/>
      <c r="F245" s="272"/>
      <c r="G245" s="388"/>
      <c r="H245" s="387"/>
      <c r="I245" s="387"/>
      <c r="J245" s="387"/>
      <c r="K245" s="387"/>
      <c r="L245" s="387"/>
      <c r="M245" s="387"/>
      <c r="N245" s="387"/>
      <c r="O245" s="387"/>
      <c r="P245" s="317">
        <v>15</v>
      </c>
      <c r="Q245" s="388">
        <f t="shared" si="5"/>
        <v>5.7559478127398311E-3</v>
      </c>
      <c r="R245" s="318">
        <v>2834</v>
      </c>
      <c r="S245" s="388">
        <f t="shared" si="6"/>
        <v>9.1609074276404676E-3</v>
      </c>
      <c r="T245" s="361"/>
      <c r="U245" s="389"/>
      <c r="V245" s="5"/>
      <c r="W245" s="110"/>
    </row>
    <row r="246" spans="1:23" ht="15.6" x14ac:dyDescent="0.3">
      <c r="A246" s="302"/>
      <c r="B246" s="317" t="s">
        <v>96</v>
      </c>
      <c r="C246" s="387"/>
      <c r="D246" s="387"/>
      <c r="E246" s="387"/>
      <c r="F246" s="272"/>
      <c r="G246" s="388"/>
      <c r="H246" s="387"/>
      <c r="I246" s="387"/>
      <c r="J246" s="387"/>
      <c r="K246" s="387"/>
      <c r="L246" s="387"/>
      <c r="M246" s="387"/>
      <c r="N246" s="387"/>
      <c r="O246" s="387"/>
      <c r="P246" s="317">
        <v>2</v>
      </c>
      <c r="Q246" s="388">
        <f t="shared" si="5"/>
        <v>7.6745970836531081E-4</v>
      </c>
      <c r="R246" s="318">
        <v>337</v>
      </c>
      <c r="S246" s="388">
        <f t="shared" si="6"/>
        <v>1.0893527886784891E-3</v>
      </c>
      <c r="T246" s="361"/>
      <c r="U246" s="389"/>
      <c r="V246" s="5"/>
    </row>
    <row r="247" spans="1:23" ht="15.6" x14ac:dyDescent="0.3">
      <c r="A247" s="302"/>
      <c r="B247" s="317" t="s">
        <v>171</v>
      </c>
      <c r="C247" s="387"/>
      <c r="D247" s="387"/>
      <c r="E247" s="387"/>
      <c r="F247" s="272"/>
      <c r="G247" s="388"/>
      <c r="H247" s="387"/>
      <c r="I247" s="387"/>
      <c r="J247" s="387"/>
      <c r="K247" s="387"/>
      <c r="L247" s="387"/>
      <c r="M247" s="387"/>
      <c r="N247" s="387"/>
      <c r="O247" s="387"/>
      <c r="P247" s="317">
        <v>1</v>
      </c>
      <c r="Q247" s="388">
        <f t="shared" si="5"/>
        <v>3.8372985418265541E-4</v>
      </c>
      <c r="R247" s="318">
        <v>94</v>
      </c>
      <c r="S247" s="388">
        <f t="shared" si="6"/>
        <v>3.0385508052159635E-4</v>
      </c>
      <c r="T247" s="361"/>
      <c r="U247" s="389"/>
      <c r="V247" s="5"/>
      <c r="W247" s="110"/>
    </row>
    <row r="248" spans="1:23" ht="15.6" x14ac:dyDescent="0.3">
      <c r="A248" s="302"/>
      <c r="B248" s="317" t="s">
        <v>172</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row>
    <row r="249" spans="1:23" ht="15.6" x14ac:dyDescent="0.3">
      <c r="A249" s="302"/>
      <c r="B249" s="317" t="s">
        <v>173</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c r="W249" s="110"/>
    </row>
    <row r="250" spans="1:23" ht="15.6" x14ac:dyDescent="0.3">
      <c r="A250" s="302"/>
      <c r="B250" s="317" t="s">
        <v>174</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row>
    <row r="251" spans="1:23" ht="15.6" x14ac:dyDescent="0.3">
      <c r="A251" s="302"/>
      <c r="B251" s="317" t="s">
        <v>175</v>
      </c>
      <c r="C251" s="387"/>
      <c r="D251" s="387"/>
      <c r="E251" s="387"/>
      <c r="F251" s="272"/>
      <c r="G251" s="388"/>
      <c r="H251" s="387"/>
      <c r="I251" s="387"/>
      <c r="J251" s="387"/>
      <c r="K251" s="387"/>
      <c r="L251" s="387"/>
      <c r="M251" s="387"/>
      <c r="N251" s="387"/>
      <c r="O251" s="387"/>
      <c r="P251" s="317">
        <v>2</v>
      </c>
      <c r="Q251" s="388">
        <f t="shared" si="5"/>
        <v>7.6745970836531081E-4</v>
      </c>
      <c r="R251" s="318">
        <v>371</v>
      </c>
      <c r="S251" s="388">
        <f t="shared" si="6"/>
        <v>1.1992578178033218E-3</v>
      </c>
      <c r="T251" s="361"/>
      <c r="U251" s="389"/>
      <c r="V251" s="5"/>
      <c r="W251" s="110"/>
    </row>
    <row r="252" spans="1:23" ht="15.6" x14ac:dyDescent="0.3">
      <c r="A252" s="302"/>
      <c r="B252" s="317"/>
      <c r="C252" s="387"/>
      <c r="D252" s="387"/>
      <c r="E252" s="387"/>
      <c r="F252" s="272"/>
      <c r="G252" s="388"/>
      <c r="H252" s="387"/>
      <c r="I252" s="387"/>
      <c r="J252" s="387"/>
      <c r="K252" s="387"/>
      <c r="L252" s="387"/>
      <c r="M252" s="387"/>
      <c r="N252" s="387"/>
      <c r="O252" s="387"/>
      <c r="P252" s="317"/>
      <c r="Q252" s="388"/>
      <c r="R252" s="318"/>
      <c r="S252" s="388"/>
      <c r="T252" s="361"/>
      <c r="U252" s="389"/>
      <c r="V252" s="5"/>
    </row>
    <row r="253" spans="1:23" ht="15.6" x14ac:dyDescent="0.3">
      <c r="A253" s="302"/>
      <c r="B253" s="272"/>
      <c r="C253" s="272"/>
      <c r="D253" s="272"/>
      <c r="E253" s="272"/>
      <c r="F253" s="272"/>
      <c r="G253" s="272"/>
      <c r="H253" s="390"/>
      <c r="I253" s="390"/>
      <c r="J253" s="390"/>
      <c r="K253" s="390"/>
      <c r="L253" s="390"/>
      <c r="M253" s="390"/>
      <c r="N253" s="390"/>
      <c r="O253" s="390"/>
      <c r="P253" s="317">
        <f>SUM(P244:P252)</f>
        <v>2606</v>
      </c>
      <c r="Q253" s="388">
        <f>SUM(Q244:Q252)</f>
        <v>1</v>
      </c>
      <c r="R253" s="318">
        <f>SUM(R244:R252)</f>
        <v>309358</v>
      </c>
      <c r="S253" s="388">
        <f>SUM(S244:S252)</f>
        <v>0.99999999999999989</v>
      </c>
      <c r="T253" s="272"/>
      <c r="U253" s="275"/>
      <c r="V253" s="5"/>
    </row>
    <row r="254" spans="1:23" ht="15.6" x14ac:dyDescent="0.3">
      <c r="A254" s="177"/>
      <c r="B254" s="314"/>
      <c r="C254" s="314"/>
      <c r="D254" s="314"/>
      <c r="E254" s="314"/>
      <c r="F254" s="314"/>
      <c r="G254" s="314"/>
      <c r="H254" s="384"/>
      <c r="I254" s="384"/>
      <c r="J254" s="384"/>
      <c r="K254" s="384"/>
      <c r="L254" s="384"/>
      <c r="M254" s="384"/>
      <c r="N254" s="384"/>
      <c r="O254" s="384"/>
      <c r="P254" s="315"/>
      <c r="Q254" s="385"/>
      <c r="R254" s="386"/>
      <c r="S254" s="385"/>
      <c r="T254" s="314"/>
      <c r="U254" s="314"/>
      <c r="V254" s="5"/>
    </row>
    <row r="255" spans="1:23" ht="15.6" x14ac:dyDescent="0.3">
      <c r="A255" s="263"/>
      <c r="B255" s="259" t="s">
        <v>279</v>
      </c>
      <c r="C255" s="260"/>
      <c r="D255" s="260"/>
      <c r="E255" s="260"/>
      <c r="F255" s="261"/>
      <c r="G255" s="260"/>
      <c r="H255" s="260"/>
      <c r="I255" s="260"/>
      <c r="J255" s="260"/>
      <c r="K255" s="260"/>
      <c r="L255" s="260"/>
      <c r="M255" s="260"/>
      <c r="N255" s="260"/>
      <c r="O255" s="260"/>
      <c r="P255" s="261" t="s">
        <v>108</v>
      </c>
      <c r="Q255" s="260" t="s">
        <v>109</v>
      </c>
      <c r="R255" s="261" t="s">
        <v>117</v>
      </c>
      <c r="S255" s="260" t="s">
        <v>109</v>
      </c>
      <c r="T255" s="264"/>
      <c r="U255" s="265"/>
      <c r="V255" s="5"/>
    </row>
    <row r="256" spans="1:23" ht="15.6" x14ac:dyDescent="0.3">
      <c r="A256" s="232"/>
      <c r="B256" s="231" t="s">
        <v>94</v>
      </c>
      <c r="C256" s="249"/>
      <c r="D256" s="249"/>
      <c r="E256" s="249"/>
      <c r="F256" s="228"/>
      <c r="G256" s="249"/>
      <c r="H256" s="249"/>
      <c r="I256" s="249"/>
      <c r="J256" s="249"/>
      <c r="K256" s="249"/>
      <c r="L256" s="249"/>
      <c r="M256" s="249"/>
      <c r="N256" s="249"/>
      <c r="O256" s="249"/>
      <c r="P256" s="231">
        <v>48</v>
      </c>
      <c r="Q256" s="250">
        <f t="shared" ref="Q256:Q263" si="7">P256/$P$265</f>
        <v>0.68571428571428572</v>
      </c>
      <c r="R256" s="242">
        <v>6772</v>
      </c>
      <c r="S256" s="250">
        <f t="shared" ref="S256:S263" si="8">R256/$R$265</f>
        <v>0.64996640752471446</v>
      </c>
      <c r="T256" s="228"/>
      <c r="U256" s="194"/>
      <c r="V256" s="5"/>
    </row>
    <row r="257" spans="1:22" ht="15.6" x14ac:dyDescent="0.3">
      <c r="A257" s="302"/>
      <c r="B257" s="317" t="s">
        <v>95</v>
      </c>
      <c r="C257" s="387"/>
      <c r="D257" s="387"/>
      <c r="E257" s="387"/>
      <c r="F257" s="272"/>
      <c r="G257" s="388"/>
      <c r="H257" s="387"/>
      <c r="I257" s="387"/>
      <c r="J257" s="387"/>
      <c r="K257" s="387"/>
      <c r="L257" s="387"/>
      <c r="M257" s="387"/>
      <c r="N257" s="387"/>
      <c r="O257" s="387"/>
      <c r="P257" s="317">
        <v>2</v>
      </c>
      <c r="Q257" s="388">
        <f t="shared" si="7"/>
        <v>2.8571428571428571E-2</v>
      </c>
      <c r="R257" s="318">
        <v>260</v>
      </c>
      <c r="S257" s="388">
        <f t="shared" si="8"/>
        <v>2.4954410212112487E-2</v>
      </c>
      <c r="T257" s="272"/>
      <c r="U257" s="340"/>
      <c r="V257" s="5"/>
    </row>
    <row r="258" spans="1:22" ht="15.6" x14ac:dyDescent="0.3">
      <c r="A258" s="302"/>
      <c r="B258" s="317" t="s">
        <v>96</v>
      </c>
      <c r="C258" s="387"/>
      <c r="D258" s="387"/>
      <c r="E258" s="387"/>
      <c r="F258" s="272"/>
      <c r="G258" s="388"/>
      <c r="H258" s="387"/>
      <c r="I258" s="387"/>
      <c r="J258" s="387"/>
      <c r="K258" s="387"/>
      <c r="L258" s="387"/>
      <c r="M258" s="387"/>
      <c r="N258" s="387"/>
      <c r="O258" s="387"/>
      <c r="P258" s="317">
        <v>6</v>
      </c>
      <c r="Q258" s="388">
        <f t="shared" si="7"/>
        <v>8.5714285714285715E-2</v>
      </c>
      <c r="R258" s="318">
        <v>950</v>
      </c>
      <c r="S258" s="388">
        <f t="shared" si="8"/>
        <v>9.1179575775026389E-2</v>
      </c>
      <c r="T258" s="272"/>
      <c r="U258" s="340"/>
      <c r="V258" s="5"/>
    </row>
    <row r="259" spans="1:22" ht="15.6" x14ac:dyDescent="0.3">
      <c r="A259" s="302"/>
      <c r="B259" s="317" t="s">
        <v>171</v>
      </c>
      <c r="C259" s="387"/>
      <c r="D259" s="387"/>
      <c r="E259" s="387"/>
      <c r="F259" s="272"/>
      <c r="G259" s="388"/>
      <c r="H259" s="387"/>
      <c r="I259" s="387"/>
      <c r="J259" s="387"/>
      <c r="K259" s="387"/>
      <c r="L259" s="387"/>
      <c r="M259" s="387"/>
      <c r="N259" s="387"/>
      <c r="O259" s="387"/>
      <c r="P259" s="317">
        <v>2</v>
      </c>
      <c r="Q259" s="388">
        <f t="shared" si="7"/>
        <v>2.8571428571428571E-2</v>
      </c>
      <c r="R259" s="318">
        <v>480</v>
      </c>
      <c r="S259" s="388">
        <f t="shared" si="8"/>
        <v>4.6069680391592281E-2</v>
      </c>
      <c r="T259" s="272"/>
      <c r="U259" s="340"/>
      <c r="V259" s="5"/>
    </row>
    <row r="260" spans="1:22" ht="15.6" x14ac:dyDescent="0.3">
      <c r="A260" s="302"/>
      <c r="B260" s="317" t="s">
        <v>172</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173</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174</v>
      </c>
      <c r="C262" s="387"/>
      <c r="D262" s="387"/>
      <c r="E262" s="387"/>
      <c r="F262" s="272"/>
      <c r="G262" s="388"/>
      <c r="H262" s="387"/>
      <c r="I262" s="387"/>
      <c r="J262" s="387"/>
      <c r="K262" s="387"/>
      <c r="L262" s="387"/>
      <c r="M262" s="387"/>
      <c r="N262" s="387"/>
      <c r="O262" s="387"/>
      <c r="P262" s="317">
        <v>3</v>
      </c>
      <c r="Q262" s="388">
        <f t="shared" si="7"/>
        <v>4.2857142857142858E-2</v>
      </c>
      <c r="R262" s="318">
        <v>276</v>
      </c>
      <c r="S262" s="388">
        <f t="shared" si="8"/>
        <v>2.6490066225165563E-2</v>
      </c>
      <c r="T262" s="272"/>
      <c r="U262" s="340"/>
      <c r="V262" s="5"/>
    </row>
    <row r="263" spans="1:22" ht="15.6" x14ac:dyDescent="0.3">
      <c r="A263" s="302"/>
      <c r="B263" s="317" t="s">
        <v>175</v>
      </c>
      <c r="C263" s="387"/>
      <c r="D263" s="387"/>
      <c r="E263" s="387"/>
      <c r="F263" s="272"/>
      <c r="G263" s="388"/>
      <c r="H263" s="387"/>
      <c r="I263" s="387"/>
      <c r="J263" s="387"/>
      <c r="K263" s="387"/>
      <c r="L263" s="387"/>
      <c r="M263" s="387"/>
      <c r="N263" s="387"/>
      <c r="O263" s="387"/>
      <c r="P263" s="317">
        <v>9</v>
      </c>
      <c r="Q263" s="388">
        <f t="shared" si="7"/>
        <v>0.12857142857142856</v>
      </c>
      <c r="R263" s="318">
        <v>1681</v>
      </c>
      <c r="S263" s="388">
        <f t="shared" si="8"/>
        <v>0.1613398598713888</v>
      </c>
      <c r="T263" s="272"/>
      <c r="U263" s="340"/>
      <c r="V263" s="5"/>
    </row>
    <row r="264" spans="1:22" ht="15.6" x14ac:dyDescent="0.3">
      <c r="A264" s="302"/>
      <c r="B264" s="317"/>
      <c r="C264" s="387"/>
      <c r="D264" s="387"/>
      <c r="E264" s="387"/>
      <c r="F264" s="272"/>
      <c r="G264" s="388"/>
      <c r="H264" s="387"/>
      <c r="I264" s="387"/>
      <c r="J264" s="387"/>
      <c r="K264" s="387"/>
      <c r="L264" s="387"/>
      <c r="M264" s="387"/>
      <c r="N264" s="387"/>
      <c r="O264" s="387"/>
      <c r="P264" s="317"/>
      <c r="Q264" s="388"/>
      <c r="R264" s="318"/>
      <c r="S264" s="388"/>
      <c r="T264" s="272"/>
      <c r="U264" s="340"/>
      <c r="V264" s="5"/>
    </row>
    <row r="265" spans="1:22" ht="15.6" x14ac:dyDescent="0.3">
      <c r="A265" s="302"/>
      <c r="B265" s="272"/>
      <c r="C265" s="272"/>
      <c r="D265" s="272"/>
      <c r="E265" s="272"/>
      <c r="F265" s="272"/>
      <c r="G265" s="272"/>
      <c r="H265" s="390"/>
      <c r="I265" s="390"/>
      <c r="J265" s="390"/>
      <c r="K265" s="390"/>
      <c r="L265" s="390"/>
      <c r="M265" s="390"/>
      <c r="N265" s="390"/>
      <c r="O265" s="390"/>
      <c r="P265" s="317">
        <f>SUM(P256:P264)</f>
        <v>70</v>
      </c>
      <c r="Q265" s="388">
        <f>SUM(Q256:Q264)</f>
        <v>1</v>
      </c>
      <c r="R265" s="318">
        <f>SUM(R256:R264)</f>
        <v>10419</v>
      </c>
      <c r="S265" s="388">
        <f>SUM(S256:S264)</f>
        <v>1</v>
      </c>
      <c r="T265" s="272"/>
      <c r="U265" s="340"/>
      <c r="V265" s="5"/>
    </row>
    <row r="266" spans="1:22" ht="15.6" x14ac:dyDescent="0.3">
      <c r="A266" s="233"/>
      <c r="B266" s="268"/>
      <c r="C266" s="268"/>
      <c r="D266" s="268"/>
      <c r="E266" s="268"/>
      <c r="F266" s="268"/>
      <c r="G266" s="268"/>
      <c r="H266" s="391"/>
      <c r="I266" s="391"/>
      <c r="J266" s="391"/>
      <c r="K266" s="391"/>
      <c r="L266" s="391"/>
      <c r="M266" s="391"/>
      <c r="N266" s="391"/>
      <c r="O266" s="391"/>
      <c r="P266" s="333"/>
      <c r="Q266" s="392"/>
      <c r="R266" s="393"/>
      <c r="S266" s="392"/>
      <c r="T266" s="268"/>
      <c r="U266" s="314"/>
      <c r="V266" s="5"/>
    </row>
    <row r="267" spans="1:22" ht="15.6" x14ac:dyDescent="0.3">
      <c r="A267" s="263"/>
      <c r="B267" s="259" t="s">
        <v>179</v>
      </c>
      <c r="C267" s="264"/>
      <c r="D267" s="264"/>
      <c r="E267" s="264"/>
      <c r="F267" s="264"/>
      <c r="G267" s="264"/>
      <c r="H267" s="266"/>
      <c r="I267" s="266"/>
      <c r="J267" s="266"/>
      <c r="K267" s="266"/>
      <c r="L267" s="266"/>
      <c r="M267" s="266"/>
      <c r="N267" s="266"/>
      <c r="O267" s="266"/>
      <c r="P267" s="261" t="s">
        <v>108</v>
      </c>
      <c r="Q267" s="260" t="s">
        <v>109</v>
      </c>
      <c r="R267" s="261" t="s">
        <v>117</v>
      </c>
      <c r="S267" s="260" t="s">
        <v>109</v>
      </c>
      <c r="T267" s="264"/>
      <c r="U267" s="265"/>
      <c r="V267" s="5"/>
    </row>
    <row r="268" spans="1:22" ht="15.6" x14ac:dyDescent="0.3">
      <c r="A268" s="232"/>
      <c r="B268" s="231" t="s">
        <v>94</v>
      </c>
      <c r="C268" s="228"/>
      <c r="D268" s="228"/>
      <c r="E268" s="228"/>
      <c r="F268" s="228"/>
      <c r="G268" s="228"/>
      <c r="H268" s="251"/>
      <c r="I268" s="251"/>
      <c r="J268" s="251"/>
      <c r="K268" s="251"/>
      <c r="L268" s="251"/>
      <c r="M268" s="251"/>
      <c r="N268" s="251"/>
      <c r="O268" s="251"/>
      <c r="P268" s="231">
        <v>0</v>
      </c>
      <c r="Q268" s="250">
        <v>0</v>
      </c>
      <c r="R268" s="242">
        <v>0</v>
      </c>
      <c r="S268" s="250">
        <v>0</v>
      </c>
      <c r="T268" s="228"/>
      <c r="U268" s="194"/>
      <c r="V268" s="5"/>
    </row>
    <row r="269" spans="1:22" ht="15.6" x14ac:dyDescent="0.3">
      <c r="A269" s="302"/>
      <c r="B269" s="317" t="s">
        <v>95</v>
      </c>
      <c r="C269" s="272"/>
      <c r="D269" s="272"/>
      <c r="E269" s="272"/>
      <c r="F269" s="272"/>
      <c r="G269" s="272"/>
      <c r="H269" s="390"/>
      <c r="I269" s="390"/>
      <c r="J269" s="390"/>
      <c r="K269" s="390"/>
      <c r="L269" s="390"/>
      <c r="M269" s="390"/>
      <c r="N269" s="390"/>
      <c r="O269" s="390"/>
      <c r="P269" s="317">
        <v>0</v>
      </c>
      <c r="Q269" s="388">
        <v>0</v>
      </c>
      <c r="R269" s="318">
        <v>0</v>
      </c>
      <c r="S269" s="388">
        <v>0</v>
      </c>
      <c r="T269" s="272"/>
      <c r="U269" s="340"/>
      <c r="V269" s="5"/>
    </row>
    <row r="270" spans="1:22" ht="15.6" x14ac:dyDescent="0.3">
      <c r="A270" s="302"/>
      <c r="B270" s="317" t="s">
        <v>96</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171</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172</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173</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174</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175</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c r="C276" s="272"/>
      <c r="D276" s="272"/>
      <c r="E276" s="272"/>
      <c r="F276" s="272"/>
      <c r="G276" s="272"/>
      <c r="H276" s="390"/>
      <c r="I276" s="390"/>
      <c r="J276" s="390"/>
      <c r="K276" s="390"/>
      <c r="L276" s="390"/>
      <c r="M276" s="390"/>
      <c r="N276" s="390"/>
      <c r="O276" s="390"/>
      <c r="P276" s="317"/>
      <c r="Q276" s="388"/>
      <c r="R276" s="318"/>
      <c r="S276" s="388"/>
      <c r="T276" s="272"/>
      <c r="U276" s="340"/>
      <c r="V276" s="5"/>
    </row>
    <row r="277" spans="1:22" ht="15.6" x14ac:dyDescent="0.3">
      <c r="A277" s="302"/>
      <c r="B277" s="272" t="s">
        <v>123</v>
      </c>
      <c r="C277" s="272"/>
      <c r="D277" s="272"/>
      <c r="E277" s="272"/>
      <c r="F277" s="272"/>
      <c r="G277" s="272"/>
      <c r="H277" s="390"/>
      <c r="I277" s="390"/>
      <c r="J277" s="390"/>
      <c r="K277" s="390"/>
      <c r="L277" s="390"/>
      <c r="M277" s="390"/>
      <c r="N277" s="390"/>
      <c r="O277" s="390"/>
      <c r="P277" s="317">
        <f>SUM(P268:P275)</f>
        <v>0</v>
      </c>
      <c r="Q277" s="388">
        <f>SUM(Q268:Q275)</f>
        <v>0</v>
      </c>
      <c r="R277" s="318">
        <f>SUM(R268:R275)</f>
        <v>0</v>
      </c>
      <c r="S277" s="388">
        <f>SUM(S268:S275)</f>
        <v>0</v>
      </c>
      <c r="T277" s="272"/>
      <c r="U277" s="340"/>
      <c r="V277" s="5"/>
    </row>
    <row r="278" spans="1:22" ht="15.6" x14ac:dyDescent="0.3">
      <c r="A278" s="302"/>
      <c r="B278" s="272"/>
      <c r="C278" s="272"/>
      <c r="D278" s="272"/>
      <c r="E278" s="272"/>
      <c r="F278" s="272"/>
      <c r="G278" s="272"/>
      <c r="H278" s="390"/>
      <c r="I278" s="390"/>
      <c r="J278" s="390"/>
      <c r="K278" s="390"/>
      <c r="L278" s="390"/>
      <c r="M278" s="390"/>
      <c r="N278" s="390"/>
      <c r="O278" s="390"/>
      <c r="P278" s="317"/>
      <c r="Q278" s="388"/>
      <c r="R278" s="318"/>
      <c r="S278" s="388"/>
      <c r="T278" s="272"/>
      <c r="U278" s="340"/>
      <c r="V278" s="5"/>
    </row>
    <row r="279" spans="1:22" ht="15.6" x14ac:dyDescent="0.3">
      <c r="A279" s="302"/>
      <c r="B279" s="394" t="s">
        <v>180</v>
      </c>
      <c r="C279" s="272"/>
      <c r="D279" s="272"/>
      <c r="E279" s="272"/>
      <c r="F279" s="272"/>
      <c r="G279" s="272"/>
      <c r="H279" s="390"/>
      <c r="I279" s="390"/>
      <c r="J279" s="390"/>
      <c r="K279" s="390"/>
      <c r="L279" s="390"/>
      <c r="M279" s="390"/>
      <c r="N279" s="390"/>
      <c r="O279" s="390"/>
      <c r="P279" s="395">
        <f>+P253+P265+P277</f>
        <v>2676</v>
      </c>
      <c r="Q279" s="388"/>
      <c r="R279" s="396">
        <f>+R277+R265+R253</f>
        <v>319777</v>
      </c>
      <c r="S279" s="388"/>
      <c r="T279" s="272"/>
      <c r="U279" s="340"/>
      <c r="V279" s="5"/>
    </row>
    <row r="280" spans="1:22" ht="15.6" x14ac:dyDescent="0.3">
      <c r="A280" s="233"/>
      <c r="B280" s="268"/>
      <c r="C280" s="268"/>
      <c r="D280" s="268"/>
      <c r="E280" s="268"/>
      <c r="F280" s="268"/>
      <c r="G280" s="268"/>
      <c r="H280" s="391"/>
      <c r="I280" s="391"/>
      <c r="J280" s="391"/>
      <c r="K280" s="391"/>
      <c r="L280" s="391"/>
      <c r="M280" s="391"/>
      <c r="N280" s="391"/>
      <c r="O280" s="391"/>
      <c r="P280" s="391"/>
      <c r="Q280" s="391"/>
      <c r="R280" s="393"/>
      <c r="S280" s="391"/>
      <c r="T280" s="268"/>
      <c r="U280" s="314"/>
      <c r="V280" s="5"/>
    </row>
    <row r="281" spans="1:22" ht="15.6" x14ac:dyDescent="0.3">
      <c r="A281" s="233"/>
      <c r="B281" s="234"/>
      <c r="C281" s="234"/>
      <c r="D281" s="234"/>
      <c r="E281" s="234"/>
      <c r="F281" s="234"/>
      <c r="G281" s="234"/>
      <c r="H281" s="252"/>
      <c r="I281" s="252"/>
      <c r="J281" s="252"/>
      <c r="K281" s="252"/>
      <c r="L281" s="252"/>
      <c r="M281" s="252"/>
      <c r="N281" s="252"/>
      <c r="O281" s="252"/>
      <c r="P281" s="252"/>
      <c r="Q281" s="252"/>
      <c r="R281" s="253"/>
      <c r="S281" s="252"/>
      <c r="T281" s="234"/>
      <c r="U281" s="179"/>
      <c r="V281" s="5"/>
    </row>
    <row r="282" spans="1:22" ht="15.6" x14ac:dyDescent="0.3">
      <c r="A282" s="254"/>
      <c r="B282" s="220" t="s">
        <v>97</v>
      </c>
      <c r="C282" s="234"/>
      <c r="D282" s="234"/>
      <c r="E282" s="234"/>
      <c r="F282" s="225" t="s">
        <v>103</v>
      </c>
      <c r="G282" s="234"/>
      <c r="H282" s="220" t="s">
        <v>105</v>
      </c>
      <c r="I282" s="255"/>
      <c r="J282" s="255"/>
      <c r="K282" s="255"/>
      <c r="L282" s="255"/>
      <c r="M282" s="255"/>
      <c r="N282" s="255"/>
      <c r="O282" s="255"/>
      <c r="P282" s="255"/>
      <c r="Q282" s="255"/>
      <c r="R282" s="255"/>
      <c r="S282" s="255"/>
      <c r="T282" s="255"/>
      <c r="U282" s="192"/>
      <c r="V282" s="5"/>
    </row>
    <row r="283" spans="1:22" ht="15.6" x14ac:dyDescent="0.3">
      <c r="A283" s="254"/>
      <c r="B283" s="255"/>
      <c r="C283" s="234"/>
      <c r="D283" s="234"/>
      <c r="E283" s="234"/>
      <c r="F283" s="234"/>
      <c r="G283" s="234"/>
      <c r="H283" s="234"/>
      <c r="I283" s="255"/>
      <c r="J283" s="255"/>
      <c r="K283" s="255"/>
      <c r="L283" s="255"/>
      <c r="M283" s="255"/>
      <c r="N283" s="255"/>
      <c r="O283" s="255"/>
      <c r="P283" s="255"/>
      <c r="Q283" s="255"/>
      <c r="R283" s="255"/>
      <c r="S283" s="255"/>
      <c r="T283" s="255"/>
      <c r="U283" s="192"/>
      <c r="V283" s="5"/>
    </row>
    <row r="284" spans="1:22" ht="15.6" x14ac:dyDescent="0.3">
      <c r="A284" s="254"/>
      <c r="B284" s="220" t="s">
        <v>98</v>
      </c>
      <c r="C284" s="220"/>
      <c r="D284" s="220"/>
      <c r="E284" s="220"/>
      <c r="F284" s="256" t="s">
        <v>159</v>
      </c>
      <c r="G284" s="220"/>
      <c r="H284" s="220" t="s">
        <v>167</v>
      </c>
      <c r="I284" s="255"/>
      <c r="J284" s="255"/>
      <c r="K284" s="255"/>
      <c r="L284" s="255"/>
      <c r="M284" s="255"/>
      <c r="N284" s="255"/>
      <c r="O284" s="255"/>
      <c r="P284" s="255"/>
      <c r="Q284" s="255"/>
      <c r="R284" s="255"/>
      <c r="S284" s="255"/>
      <c r="T284" s="255"/>
      <c r="U284" s="192"/>
      <c r="V284" s="5"/>
    </row>
    <row r="285" spans="1:22" ht="15.6" x14ac:dyDescent="0.3">
      <c r="A285" s="254"/>
      <c r="B285" s="220" t="s">
        <v>273</v>
      </c>
      <c r="C285" s="220"/>
      <c r="D285" s="220"/>
      <c r="E285" s="220"/>
      <c r="F285" s="256" t="s">
        <v>274</v>
      </c>
      <c r="G285" s="220"/>
      <c r="H285" s="220" t="s">
        <v>275</v>
      </c>
      <c r="I285" s="255"/>
      <c r="J285" s="255"/>
      <c r="K285" s="255"/>
      <c r="L285" s="255"/>
      <c r="M285" s="255"/>
      <c r="N285" s="255"/>
      <c r="O285" s="255"/>
      <c r="P285" s="255"/>
      <c r="Q285" s="255"/>
      <c r="R285" s="255"/>
      <c r="S285" s="255"/>
      <c r="T285" s="255"/>
      <c r="U285" s="192"/>
      <c r="V285" s="5"/>
    </row>
    <row r="286" spans="1:22" ht="15.6" x14ac:dyDescent="0.3">
      <c r="A286" s="254"/>
      <c r="B286" s="220" t="s">
        <v>99</v>
      </c>
      <c r="C286" s="220"/>
      <c r="D286" s="220"/>
      <c r="E286" s="220"/>
      <c r="F286" s="256" t="s">
        <v>158</v>
      </c>
      <c r="G286" s="220"/>
      <c r="H286" s="220" t="s">
        <v>168</v>
      </c>
      <c r="I286" s="255"/>
      <c r="J286" s="255"/>
      <c r="K286" s="255"/>
      <c r="L286" s="255"/>
      <c r="M286" s="255"/>
      <c r="N286" s="255"/>
      <c r="O286" s="255"/>
      <c r="P286" s="255"/>
      <c r="Q286" s="255"/>
      <c r="R286" s="255"/>
      <c r="S286" s="255"/>
      <c r="T286" s="255"/>
      <c r="U286" s="192"/>
      <c r="V286" s="5"/>
    </row>
    <row r="287" spans="1:22" ht="15.6" x14ac:dyDescent="0.3">
      <c r="A287" s="254"/>
      <c r="B287" s="220"/>
      <c r="C287" s="220"/>
      <c r="D287" s="220"/>
      <c r="E287" s="220"/>
      <c r="F287" s="220"/>
      <c r="G287" s="257"/>
      <c r="H287" s="255"/>
      <c r="I287" s="255"/>
      <c r="J287" s="255"/>
      <c r="K287" s="255"/>
      <c r="L287" s="255"/>
      <c r="M287" s="255"/>
      <c r="N287" s="255"/>
      <c r="O287" s="255"/>
      <c r="P287" s="255"/>
      <c r="Q287" s="255"/>
      <c r="R287" s="255"/>
      <c r="S287" s="255"/>
      <c r="T287" s="255"/>
      <c r="U287" s="192"/>
      <c r="V287" s="5"/>
    </row>
    <row r="288" spans="1:22" ht="15.6" x14ac:dyDescent="0.3">
      <c r="A288" s="216"/>
      <c r="B288" s="185"/>
      <c r="C288" s="185"/>
      <c r="D288" s="185"/>
      <c r="E288" s="185"/>
      <c r="F288" s="185"/>
      <c r="G288" s="217"/>
      <c r="H288" s="192"/>
      <c r="I288" s="192"/>
      <c r="J288" s="192"/>
      <c r="K288" s="192"/>
      <c r="L288" s="192"/>
      <c r="M288" s="192"/>
      <c r="N288" s="192"/>
      <c r="O288" s="192"/>
      <c r="P288" s="192"/>
      <c r="Q288" s="192"/>
      <c r="R288" s="192"/>
      <c r="S288" s="192"/>
      <c r="T288" s="192"/>
      <c r="U288" s="192"/>
      <c r="V288" s="5"/>
    </row>
    <row r="289" spans="1:22" ht="18" thickBot="1" x14ac:dyDescent="0.35">
      <c r="A289" s="216"/>
      <c r="B289" s="267" t="str">
        <f>B194</f>
        <v>PM9 INVESTOR REPORT QUARTER ENDING JANUARY 2011</v>
      </c>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x14ac:dyDescent="0.25">
      <c r="A290" s="101"/>
      <c r="B290" s="101"/>
      <c r="C290" s="101"/>
      <c r="D290" s="101"/>
      <c r="E290" s="101"/>
      <c r="F290" s="101"/>
      <c r="G290" s="101"/>
      <c r="H290" s="101"/>
      <c r="I290" s="101"/>
      <c r="J290" s="101"/>
      <c r="K290" s="101"/>
      <c r="L290" s="101"/>
      <c r="M290" s="101"/>
      <c r="N290" s="101"/>
      <c r="O290" s="101"/>
      <c r="P290" s="101"/>
      <c r="Q290" s="101"/>
      <c r="R290" s="101"/>
      <c r="S290" s="101"/>
      <c r="T290" s="101"/>
      <c r="U290" s="101"/>
    </row>
  </sheetData>
  <phoneticPr fontId="0" type="noConversion"/>
  <hyperlinks>
    <hyperlink ref="J9" r:id="rId1" xr:uid="{00000000-0004-0000-1500-000000000000}"/>
    <hyperlink ref="N229" r:id="rId2" xr:uid="{00000000-0004-0000-15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1" man="1"/>
    <brk id="133" max="14" man="1"/>
    <brk id="194" max="14" man="1"/>
  </rowBreak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89CB31"/>
  </sheetPr>
  <dimension ref="A1:W290"/>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0.71870000000000001</v>
      </c>
      <c r="R16" s="225" t="s">
        <v>149</v>
      </c>
      <c r="S16" s="224">
        <v>0.28129999999999999</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40681</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150</v>
      </c>
      <c r="E25" s="398"/>
      <c r="F25" s="398" t="s">
        <v>150</v>
      </c>
      <c r="G25" s="398"/>
      <c r="H25" s="398" t="s">
        <v>150</v>
      </c>
      <c r="I25" s="398"/>
      <c r="J25" s="398" t="s">
        <v>192</v>
      </c>
      <c r="K25" s="398"/>
      <c r="L25" s="398" t="s">
        <v>192</v>
      </c>
      <c r="M25" s="398"/>
      <c r="N25" s="398" t="s">
        <v>151</v>
      </c>
      <c r="O25" s="398"/>
      <c r="P25" s="398" t="s">
        <v>151</v>
      </c>
      <c r="Q25" s="398"/>
      <c r="R25" s="273"/>
      <c r="S25" s="274"/>
      <c r="T25" s="274"/>
      <c r="U25" s="275"/>
      <c r="V25" s="5"/>
    </row>
    <row r="26" spans="1:22" ht="15.6" x14ac:dyDescent="0.3">
      <c r="A26" s="276"/>
      <c r="B26" s="277" t="s">
        <v>10</v>
      </c>
      <c r="C26" s="398"/>
      <c r="D26" s="398" t="s">
        <v>152</v>
      </c>
      <c r="E26" s="398"/>
      <c r="F26" s="398" t="s">
        <v>152</v>
      </c>
      <c r="G26" s="398"/>
      <c r="H26" s="398" t="s">
        <v>152</v>
      </c>
      <c r="I26" s="398"/>
      <c r="J26" s="398" t="s">
        <v>193</v>
      </c>
      <c r="K26" s="398"/>
      <c r="L26" s="398" t="s">
        <v>193</v>
      </c>
      <c r="M26" s="398"/>
      <c r="N26" s="398" t="s">
        <v>153</v>
      </c>
      <c r="O26" s="398"/>
      <c r="P26" s="398" t="s">
        <v>153</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138923.77479999998</v>
      </c>
      <c r="E30" s="280"/>
      <c r="F30" s="282">
        <f>F29*F36</f>
        <v>142537.399</v>
      </c>
      <c r="G30" s="281"/>
      <c r="H30" s="283">
        <f>H29*H36</f>
        <v>24090.78</v>
      </c>
      <c r="I30" s="281"/>
      <c r="J30" s="281">
        <f>J29*J36</f>
        <v>6395.5402000000004</v>
      </c>
      <c r="K30" s="281"/>
      <c r="L30" s="282">
        <f>L29*L36</f>
        <v>26952.633700000002</v>
      </c>
      <c r="M30" s="281"/>
      <c r="N30" s="284">
        <f>N29*N36</f>
        <v>2740.9458</v>
      </c>
      <c r="O30" s="281"/>
      <c r="P30" s="282">
        <f>P29*P36</f>
        <v>60300.8076</v>
      </c>
      <c r="Q30" s="281"/>
      <c r="R30" s="281"/>
      <c r="S30" s="285"/>
      <c r="T30" s="281"/>
      <c r="U30" s="286"/>
      <c r="V30" s="5"/>
    </row>
    <row r="31" spans="1:22" ht="15.6" x14ac:dyDescent="0.3">
      <c r="A31" s="276"/>
      <c r="B31" s="277" t="s">
        <v>143</v>
      </c>
      <c r="C31" s="287"/>
      <c r="D31" s="288">
        <f>D35*D29</f>
        <v>138325.81760000001</v>
      </c>
      <c r="E31" s="287"/>
      <c r="F31" s="289">
        <f>F35*F29</f>
        <v>141923.88800000001</v>
      </c>
      <c r="G31" s="288"/>
      <c r="H31" s="290">
        <f>H35*H29</f>
        <v>23987.088</v>
      </c>
      <c r="I31" s="288"/>
      <c r="J31" s="288">
        <f>J35*J29</f>
        <v>6368.0119999999997</v>
      </c>
      <c r="K31" s="288"/>
      <c r="L31" s="289">
        <f>L35*L29</f>
        <v>26836.621999999999</v>
      </c>
      <c r="M31" s="288"/>
      <c r="N31" s="291">
        <f>N35*N29</f>
        <v>2729.1479999999997</v>
      </c>
      <c r="O31" s="288"/>
      <c r="P31" s="289">
        <f>P35*P29</f>
        <v>60041.256000000001</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138923.77479999998</v>
      </c>
      <c r="E33" s="280"/>
      <c r="F33" s="281">
        <f>F32*F36</f>
        <v>98170.124100000001</v>
      </c>
      <c r="G33" s="281"/>
      <c r="H33" s="281">
        <f>H32*H36</f>
        <v>13611.2907</v>
      </c>
      <c r="I33" s="281"/>
      <c r="J33" s="281">
        <f>J32*J36</f>
        <v>6395.5402000000004</v>
      </c>
      <c r="K33" s="281"/>
      <c r="L33" s="281">
        <f>L32*L36</f>
        <v>18547.066580000002</v>
      </c>
      <c r="M33" s="281"/>
      <c r="N33" s="281">
        <f>N32*N36</f>
        <v>2740.9458</v>
      </c>
      <c r="O33" s="281"/>
      <c r="P33" s="281">
        <f>P32*P36</f>
        <v>41388.281580000003</v>
      </c>
      <c r="Q33" s="281"/>
      <c r="R33" s="281"/>
      <c r="S33" s="285"/>
      <c r="T33" s="281">
        <f>SUM(C33:P33)</f>
        <v>319777.02375999995</v>
      </c>
      <c r="U33" s="286"/>
      <c r="V33" s="5"/>
    </row>
    <row r="34" spans="1:22" ht="15.6" x14ac:dyDescent="0.3">
      <c r="A34" s="276"/>
      <c r="B34" s="277" t="s">
        <v>291</v>
      </c>
      <c r="C34" s="287"/>
      <c r="D34" s="288">
        <f>D35*D32</f>
        <v>138325.81760000001</v>
      </c>
      <c r="E34" s="287"/>
      <c r="F34" s="288">
        <f>F35*F32</f>
        <v>97747.579200000007</v>
      </c>
      <c r="G34" s="288"/>
      <c r="H34" s="288">
        <f>H35*H32</f>
        <v>13552.70472</v>
      </c>
      <c r="I34" s="288"/>
      <c r="J34" s="288">
        <f>J35*J32</f>
        <v>6368.0119999999997</v>
      </c>
      <c r="K34" s="288"/>
      <c r="L34" s="288">
        <f>L35*L32</f>
        <v>18467.234799999998</v>
      </c>
      <c r="M34" s="288"/>
      <c r="N34" s="288">
        <f>N35*N32</f>
        <v>2729.1479999999997</v>
      </c>
      <c r="O34" s="288"/>
      <c r="P34" s="288">
        <f>P35*P32</f>
        <v>41210.1348</v>
      </c>
      <c r="Q34" s="288"/>
      <c r="R34" s="288"/>
      <c r="S34" s="292"/>
      <c r="T34" s="288">
        <f>SUM(C34:P34)</f>
        <v>318400.63111999998</v>
      </c>
      <c r="U34" s="286"/>
      <c r="V34" s="5"/>
    </row>
    <row r="35" spans="1:22" ht="15.6" x14ac:dyDescent="0.3">
      <c r="A35" s="276"/>
      <c r="B35" s="293" t="s">
        <v>139</v>
      </c>
      <c r="C35" s="294"/>
      <c r="D35" s="295">
        <v>0.39978560000000002</v>
      </c>
      <c r="E35" s="296"/>
      <c r="F35" s="295">
        <v>0.39978560000000002</v>
      </c>
      <c r="G35" s="295"/>
      <c r="H35" s="295">
        <v>0.3997848</v>
      </c>
      <c r="I35" s="297"/>
      <c r="J35" s="295">
        <v>0.90971599999999997</v>
      </c>
      <c r="K35" s="297"/>
      <c r="L35" s="295">
        <v>0.90971599999999997</v>
      </c>
      <c r="M35" s="297"/>
      <c r="N35" s="295">
        <v>0.90971599999999997</v>
      </c>
      <c r="O35" s="297"/>
      <c r="P35" s="295">
        <v>0.90971599999999997</v>
      </c>
      <c r="Q35" s="298"/>
      <c r="R35" s="298"/>
      <c r="S35" s="299"/>
      <c r="T35" s="298"/>
      <c r="U35" s="300"/>
      <c r="V35" s="5"/>
    </row>
    <row r="36" spans="1:22" ht="15.6" x14ac:dyDescent="0.3">
      <c r="A36" s="276"/>
      <c r="B36" s="293" t="s">
        <v>140</v>
      </c>
      <c r="C36" s="294"/>
      <c r="D36" s="295">
        <v>0.40151379999999998</v>
      </c>
      <c r="E36" s="296"/>
      <c r="F36" s="295">
        <v>0.40151379999999998</v>
      </c>
      <c r="G36" s="295"/>
      <c r="H36" s="295">
        <v>0.40151300000000001</v>
      </c>
      <c r="I36" s="297"/>
      <c r="J36" s="295">
        <v>0.91364860000000003</v>
      </c>
      <c r="K36" s="297"/>
      <c r="L36" s="295">
        <v>0.91364860000000003</v>
      </c>
      <c r="M36" s="297"/>
      <c r="N36" s="295">
        <v>0.91364860000000003</v>
      </c>
      <c r="O36" s="297"/>
      <c r="P36" s="295">
        <v>0.91364860000000003</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1.16338E-2</v>
      </c>
      <c r="E38" s="272"/>
      <c r="F38" s="303">
        <v>1.453E-2</v>
      </c>
      <c r="G38" s="304"/>
      <c r="H38" s="303">
        <v>6.7299999999999999E-3</v>
      </c>
      <c r="I38" s="304"/>
      <c r="J38" s="303">
        <v>1.38338E-2</v>
      </c>
      <c r="K38" s="304"/>
      <c r="L38" s="303">
        <v>1.6729999999999998E-2</v>
      </c>
      <c r="M38" s="304"/>
      <c r="N38" s="303">
        <v>1.84338E-2</v>
      </c>
      <c r="O38" s="304"/>
      <c r="P38" s="303">
        <v>2.1329999999999998E-2</v>
      </c>
      <c r="Q38" s="304"/>
      <c r="R38" s="303"/>
      <c r="S38" s="274"/>
      <c r="T38" s="304"/>
      <c r="U38" s="275"/>
      <c r="V38" s="5"/>
    </row>
    <row r="39" spans="1:22" ht="15.6" x14ac:dyDescent="0.3">
      <c r="A39" s="302"/>
      <c r="B39" s="272" t="s">
        <v>14</v>
      </c>
      <c r="C39" s="272"/>
      <c r="D39" s="303">
        <v>1.0975E-2</v>
      </c>
      <c r="E39" s="272"/>
      <c r="F39" s="303">
        <v>1.41E-2</v>
      </c>
      <c r="G39" s="304"/>
      <c r="H39" s="303">
        <v>6.4562999999999999E-3</v>
      </c>
      <c r="I39" s="304"/>
      <c r="J39" s="303">
        <v>1.3174999999999999E-2</v>
      </c>
      <c r="K39" s="304"/>
      <c r="L39" s="303">
        <v>1.6299999999999999E-2</v>
      </c>
      <c r="M39" s="304"/>
      <c r="N39" s="303">
        <v>1.7774999999999999E-2</v>
      </c>
      <c r="O39" s="304"/>
      <c r="P39" s="303">
        <v>2.0899999999999998E-2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1.16338E-2</v>
      </c>
      <c r="E41" s="272"/>
      <c r="F41" s="303">
        <v>1.18338E-2</v>
      </c>
      <c r="G41" s="304"/>
      <c r="H41" s="303">
        <v>1.20938E-2</v>
      </c>
      <c r="I41" s="304"/>
      <c r="J41" s="303">
        <f>+J38</f>
        <v>1.38338E-2</v>
      </c>
      <c r="K41" s="304"/>
      <c r="L41" s="303">
        <v>1.4423800000000001E-2</v>
      </c>
      <c r="M41" s="304"/>
      <c r="N41" s="303">
        <f>+N38</f>
        <v>1.84338E-2</v>
      </c>
      <c r="O41" s="304"/>
      <c r="P41" s="303">
        <v>1.9313799999999999E-2</v>
      </c>
      <c r="Q41" s="304"/>
      <c r="R41" s="303"/>
      <c r="S41" s="274"/>
      <c r="T41" s="304">
        <f>SUMPRODUCT(D41:P41,D33:P33)/T33</f>
        <v>1.2972896072881032E-2</v>
      </c>
      <c r="U41" s="275"/>
      <c r="V41" s="5"/>
    </row>
    <row r="42" spans="1:22" ht="15.6" x14ac:dyDescent="0.3">
      <c r="A42" s="302"/>
      <c r="B42" s="272" t="s">
        <v>294</v>
      </c>
      <c r="C42" s="272"/>
      <c r="D42" s="303">
        <f>+D39</f>
        <v>1.0975E-2</v>
      </c>
      <c r="E42" s="272"/>
      <c r="F42" s="303">
        <v>1.1174999999999999E-2</v>
      </c>
      <c r="G42" s="304"/>
      <c r="H42" s="303">
        <v>1.1435000000000001E-2</v>
      </c>
      <c r="I42" s="304"/>
      <c r="J42" s="303">
        <f>+J39</f>
        <v>1.3174999999999999E-2</v>
      </c>
      <c r="K42" s="304"/>
      <c r="L42" s="303">
        <v>1.3764999999999999E-2</v>
      </c>
      <c r="M42" s="304"/>
      <c r="N42" s="303">
        <f>+N39</f>
        <v>1.7774999999999999E-2</v>
      </c>
      <c r="O42" s="304"/>
      <c r="P42" s="303">
        <v>1.8655000000000001E-2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0.2755101697347534</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40679</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92</v>
      </c>
      <c r="Q54" s="272"/>
      <c r="R54" s="312">
        <v>40497</v>
      </c>
      <c r="S54" s="313"/>
      <c r="T54" s="312">
        <v>40588</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90</v>
      </c>
      <c r="Q55" s="272"/>
      <c r="R55" s="312">
        <v>40589</v>
      </c>
      <c r="S55" s="313"/>
      <c r="T55" s="312">
        <v>40678</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40666</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305</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319777</v>
      </c>
      <c r="M65" s="317"/>
      <c r="N65" s="317">
        <f>1376+271+41</f>
        <v>1688</v>
      </c>
      <c r="O65" s="317"/>
      <c r="P65" s="317">
        <f>271+41</f>
        <v>312</v>
      </c>
      <c r="Q65" s="317"/>
      <c r="R65" s="317">
        <v>0</v>
      </c>
      <c r="S65" s="317"/>
      <c r="T65" s="318">
        <f>+L65-N65+P65-R65</f>
        <v>318401</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319777</v>
      </c>
      <c r="M68" s="317"/>
      <c r="N68" s="317">
        <f>SUM(N65:N67)</f>
        <v>1688</v>
      </c>
      <c r="O68" s="317"/>
      <c r="P68" s="317">
        <f>SUM(P65:P67)</f>
        <v>312</v>
      </c>
      <c r="Q68" s="317"/>
      <c r="R68" s="317">
        <f>SUM(R65:R67)</f>
        <v>0</v>
      </c>
      <c r="S68" s="317"/>
      <c r="T68" s="317">
        <f>SUM(T65:T67)</f>
        <v>318401</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319777</v>
      </c>
      <c r="M81" s="317"/>
      <c r="N81" s="317"/>
      <c r="O81" s="317"/>
      <c r="P81" s="317"/>
      <c r="Q81" s="317"/>
      <c r="R81" s="317"/>
      <c r="S81" s="317"/>
      <c r="T81" s="317">
        <f>SUM(T68:T80)</f>
        <v>318401</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+R195</f>
        <v>40661</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1689-157</f>
        <v>1532</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2034+794-479-180+47</f>
        <v>2216</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8+38</f>
        <v>46</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18</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160</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1532</v>
      </c>
      <c r="S93" s="272"/>
      <c r="T93" s="317">
        <f>SUM(T85:T92)</f>
        <v>2440</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-29</v>
      </c>
      <c r="S94" s="272"/>
      <c r="T94" s="317">
        <f>-R94</f>
        <v>29</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95</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1503</v>
      </c>
      <c r="S97" s="272"/>
      <c r="T97" s="317">
        <f>T93+T95+T94+T96</f>
        <v>2564</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160</v>
      </c>
      <c r="C101" s="272"/>
      <c r="D101" s="272"/>
      <c r="E101" s="272"/>
      <c r="F101" s="272"/>
      <c r="G101" s="272"/>
      <c r="H101" s="272"/>
      <c r="I101" s="272"/>
      <c r="J101" s="272"/>
      <c r="K101" s="272"/>
      <c r="L101" s="272"/>
      <c r="M101" s="272"/>
      <c r="N101" s="272"/>
      <c r="O101" s="272"/>
      <c r="P101" s="272"/>
      <c r="Q101" s="272"/>
      <c r="R101" s="272"/>
      <c r="S101" s="272"/>
      <c r="T101" s="318">
        <f>-119-151-4</f>
        <v>-274</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-140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-1</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-399</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-286</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-41</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-22</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-66</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-13</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-197</v>
      </c>
      <c r="U110" s="340"/>
      <c r="V110" s="5"/>
      <c r="W110" s="110"/>
    </row>
    <row r="111" spans="1:23" ht="15.6" x14ac:dyDescent="0.3">
      <c r="A111" s="302">
        <v>7</v>
      </c>
      <c r="B111" s="272" t="s">
        <v>38</v>
      </c>
      <c r="C111" s="272"/>
      <c r="D111" s="272"/>
      <c r="E111" s="272"/>
      <c r="F111" s="272"/>
      <c r="G111" s="272"/>
      <c r="H111" s="272"/>
      <c r="I111" s="272"/>
      <c r="J111" s="272"/>
      <c r="K111" s="272"/>
      <c r="L111" s="272"/>
      <c r="M111" s="272"/>
      <c r="N111" s="272"/>
      <c r="O111" s="272"/>
      <c r="P111" s="272"/>
      <c r="Q111" s="272"/>
      <c r="R111" s="272"/>
      <c r="S111" s="272"/>
      <c r="T111" s="318">
        <v>-8</v>
      </c>
      <c r="U111" s="340"/>
      <c r="V111" s="5"/>
    </row>
    <row r="112" spans="1:23" ht="15.6" x14ac:dyDescent="0.3">
      <c r="A112" s="302">
        <f t="shared" ref="A112:A117" si="0">+A111+1</f>
        <v>8</v>
      </c>
      <c r="B112" s="272" t="s">
        <v>49</v>
      </c>
      <c r="C112" s="272"/>
      <c r="D112" s="272"/>
      <c r="E112" s="272"/>
      <c r="F112" s="272"/>
      <c r="G112" s="272"/>
      <c r="H112" s="272"/>
      <c r="I112" s="272"/>
      <c r="J112" s="272"/>
      <c r="K112" s="272"/>
      <c r="L112" s="272"/>
      <c r="M112" s="272"/>
      <c r="N112" s="272"/>
      <c r="O112" s="272"/>
      <c r="P112" s="272"/>
      <c r="Q112" s="272"/>
      <c r="R112" s="317">
        <f>-T112</f>
        <v>157</v>
      </c>
      <c r="S112" s="272"/>
      <c r="T112" s="318">
        <v>-157</v>
      </c>
      <c r="U112" s="340"/>
      <c r="V112" s="5"/>
    </row>
    <row r="113" spans="1:22" ht="15.6" x14ac:dyDescent="0.3">
      <c r="A113" s="302">
        <f t="shared" si="0"/>
        <v>9</v>
      </c>
      <c r="B113" s="272" t="s">
        <v>134</v>
      </c>
      <c r="C113" s="272"/>
      <c r="D113" s="272"/>
      <c r="E113" s="272"/>
      <c r="F113" s="272"/>
      <c r="G113" s="272"/>
      <c r="H113" s="272"/>
      <c r="I113" s="272"/>
      <c r="J113" s="272"/>
      <c r="K113" s="272"/>
      <c r="L113" s="272"/>
      <c r="M113" s="272"/>
      <c r="N113" s="272"/>
      <c r="O113" s="272"/>
      <c r="P113" s="272"/>
      <c r="Q113" s="272"/>
      <c r="R113" s="272"/>
      <c r="S113" s="272"/>
      <c r="T113" s="318">
        <v>0</v>
      </c>
      <c r="U113" s="340"/>
      <c r="V113" s="5"/>
    </row>
    <row r="114" spans="1:22" ht="15.6" x14ac:dyDescent="0.3">
      <c r="A114" s="302">
        <f t="shared" si="0"/>
        <v>10</v>
      </c>
      <c r="B114" s="272" t="s">
        <v>39</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40</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161</v>
      </c>
      <c r="C116" s="272"/>
      <c r="D116" s="272"/>
      <c r="E116" s="272"/>
      <c r="F116" s="272"/>
      <c r="G116" s="272"/>
      <c r="H116" s="272"/>
      <c r="I116" s="272"/>
      <c r="J116" s="272"/>
      <c r="K116" s="272"/>
      <c r="L116" s="272"/>
      <c r="M116" s="272"/>
      <c r="N116" s="272"/>
      <c r="O116" s="272"/>
      <c r="P116" s="272"/>
      <c r="Q116" s="272"/>
      <c r="R116" s="272"/>
      <c r="S116" s="272"/>
      <c r="T116" s="318">
        <v>-118</v>
      </c>
      <c r="U116" s="340"/>
      <c r="V116" s="5"/>
    </row>
    <row r="117" spans="1:22" ht="15.6" x14ac:dyDescent="0.3">
      <c r="A117" s="302">
        <f t="shared" si="0"/>
        <v>13</v>
      </c>
      <c r="B117" s="272" t="s">
        <v>135</v>
      </c>
      <c r="C117" s="272"/>
      <c r="D117" s="272"/>
      <c r="E117" s="272"/>
      <c r="F117" s="272"/>
      <c r="G117" s="272"/>
      <c r="H117" s="272"/>
      <c r="I117" s="272"/>
      <c r="J117" s="272"/>
      <c r="K117" s="272"/>
      <c r="L117" s="272"/>
      <c r="M117" s="272"/>
      <c r="N117" s="272"/>
      <c r="O117" s="272"/>
      <c r="P117" s="272"/>
      <c r="Q117" s="272"/>
      <c r="R117" s="272"/>
      <c r="S117" s="272"/>
      <c r="T117" s="318">
        <f>-T97-SUM(T99:T116)</f>
        <v>-840</v>
      </c>
      <c r="U117" s="340"/>
      <c r="V117" s="5"/>
    </row>
    <row r="118" spans="1:22" ht="15.6" x14ac:dyDescent="0.3">
      <c r="A118" s="271"/>
      <c r="B118" s="336" t="s">
        <v>41</v>
      </c>
      <c r="C118" s="337"/>
      <c r="D118" s="337"/>
      <c r="E118" s="337"/>
      <c r="F118" s="337"/>
      <c r="G118" s="337"/>
      <c r="H118" s="337"/>
      <c r="I118" s="337"/>
      <c r="J118" s="337"/>
      <c r="K118" s="337"/>
      <c r="L118" s="337"/>
      <c r="M118" s="337"/>
      <c r="N118" s="337"/>
      <c r="O118" s="337"/>
      <c r="P118" s="337"/>
      <c r="Q118" s="337"/>
      <c r="R118" s="337"/>
      <c r="S118" s="337"/>
      <c r="T118" s="341"/>
      <c r="U118" s="340"/>
      <c r="V118" s="5"/>
    </row>
    <row r="119" spans="1:22" ht="15.6" x14ac:dyDescent="0.3">
      <c r="A119" s="302"/>
      <c r="B119" s="272" t="s">
        <v>229</v>
      </c>
      <c r="C119" s="272"/>
      <c r="D119" s="272"/>
      <c r="E119" s="272"/>
      <c r="F119" s="272"/>
      <c r="G119" s="272"/>
      <c r="H119" s="272"/>
      <c r="I119" s="272"/>
      <c r="J119" s="272"/>
      <c r="K119" s="272"/>
      <c r="L119" s="272"/>
      <c r="M119" s="272"/>
      <c r="N119" s="272"/>
      <c r="O119" s="272"/>
      <c r="P119" s="272"/>
      <c r="Q119" s="272"/>
      <c r="R119" s="317">
        <f>-R179</f>
        <v>0</v>
      </c>
      <c r="S119" s="317"/>
      <c r="T119" s="318"/>
      <c r="U119" s="275"/>
      <c r="V119" s="5"/>
    </row>
    <row r="120" spans="1:22" ht="15.6" x14ac:dyDescent="0.3">
      <c r="A120" s="302"/>
      <c r="B120" s="272" t="s">
        <v>230</v>
      </c>
      <c r="C120" s="272"/>
      <c r="D120" s="272"/>
      <c r="E120" s="272"/>
      <c r="F120" s="272"/>
      <c r="G120" s="272"/>
      <c r="H120" s="272"/>
      <c r="I120" s="272"/>
      <c r="J120" s="272"/>
      <c r="K120" s="272"/>
      <c r="L120" s="272"/>
      <c r="M120" s="272"/>
      <c r="N120" s="272"/>
      <c r="O120" s="272"/>
      <c r="P120" s="272"/>
      <c r="Q120" s="272"/>
      <c r="R120" s="317">
        <v>-12</v>
      </c>
      <c r="S120" s="317"/>
      <c r="T120" s="318"/>
      <c r="U120" s="275"/>
      <c r="V120" s="5"/>
    </row>
    <row r="121" spans="1:22" ht="15.6" x14ac:dyDescent="0.3">
      <c r="A121" s="302"/>
      <c r="B121" s="272" t="s">
        <v>42</v>
      </c>
      <c r="C121" s="272"/>
      <c r="D121" s="272"/>
      <c r="E121" s="272"/>
      <c r="F121" s="272"/>
      <c r="G121" s="272"/>
      <c r="H121" s="272"/>
      <c r="I121" s="272"/>
      <c r="J121" s="272"/>
      <c r="K121" s="272"/>
      <c r="L121" s="272"/>
      <c r="M121" s="272"/>
      <c r="N121" s="272"/>
      <c r="O121" s="272"/>
      <c r="P121" s="272"/>
      <c r="Q121" s="272"/>
      <c r="R121" s="317">
        <f>-Q179</f>
        <v>-271</v>
      </c>
      <c r="S121" s="317"/>
      <c r="T121" s="318"/>
      <c r="U121" s="275"/>
      <c r="V121" s="5"/>
    </row>
    <row r="122" spans="1:22" ht="15.6" x14ac:dyDescent="0.3">
      <c r="A122" s="302"/>
      <c r="B122" s="272" t="s">
        <v>235</v>
      </c>
      <c r="C122" s="272"/>
      <c r="D122" s="272"/>
      <c r="E122" s="272"/>
      <c r="F122" s="272"/>
      <c r="G122" s="272"/>
      <c r="H122" s="272"/>
      <c r="I122" s="272"/>
      <c r="J122" s="272"/>
      <c r="K122" s="272"/>
      <c r="L122" s="272"/>
      <c r="M122" s="272"/>
      <c r="N122" s="272"/>
      <c r="O122" s="272"/>
      <c r="P122" s="272"/>
      <c r="Q122" s="272"/>
      <c r="R122" s="317">
        <v>-598</v>
      </c>
      <c r="S122" s="317"/>
      <c r="T122" s="318"/>
      <c r="U122" s="275"/>
      <c r="V122" s="5"/>
    </row>
    <row r="123" spans="1:22" ht="15.6" x14ac:dyDescent="0.3">
      <c r="A123" s="302"/>
      <c r="B123" s="272" t="s">
        <v>236</v>
      </c>
      <c r="C123" s="272"/>
      <c r="D123" s="272"/>
      <c r="E123" s="272"/>
      <c r="F123" s="272"/>
      <c r="G123" s="272"/>
      <c r="H123" s="272"/>
      <c r="I123" s="272"/>
      <c r="J123" s="272"/>
      <c r="K123" s="272"/>
      <c r="L123" s="272"/>
      <c r="M123" s="272"/>
      <c r="N123" s="272"/>
      <c r="O123" s="272"/>
      <c r="P123" s="272"/>
      <c r="Q123" s="272"/>
      <c r="R123" s="317">
        <v>-422</v>
      </c>
      <c r="S123" s="317"/>
      <c r="T123" s="318"/>
      <c r="U123" s="275"/>
      <c r="V123" s="5"/>
    </row>
    <row r="124" spans="1:22" ht="15.6" x14ac:dyDescent="0.3">
      <c r="A124" s="302"/>
      <c r="B124" s="272" t="s">
        <v>241</v>
      </c>
      <c r="C124" s="272"/>
      <c r="D124" s="272"/>
      <c r="E124" s="272"/>
      <c r="F124" s="272"/>
      <c r="G124" s="272"/>
      <c r="H124" s="272"/>
      <c r="I124" s="272"/>
      <c r="J124" s="272"/>
      <c r="K124" s="272"/>
      <c r="L124" s="272"/>
      <c r="M124" s="272"/>
      <c r="N124" s="272"/>
      <c r="O124" s="272"/>
      <c r="P124" s="272"/>
      <c r="Q124" s="272"/>
      <c r="R124" s="317">
        <v>-59</v>
      </c>
      <c r="S124" s="317"/>
      <c r="T124" s="318"/>
      <c r="U124" s="275"/>
      <c r="V124" s="5"/>
    </row>
    <row r="125" spans="1:22" ht="15.6" x14ac:dyDescent="0.3">
      <c r="A125" s="302"/>
      <c r="B125" s="272" t="s">
        <v>237</v>
      </c>
      <c r="C125" s="272"/>
      <c r="D125" s="272"/>
      <c r="E125" s="272"/>
      <c r="F125" s="272"/>
      <c r="G125" s="272"/>
      <c r="H125" s="272"/>
      <c r="I125" s="272"/>
      <c r="J125" s="272"/>
      <c r="K125" s="272"/>
      <c r="L125" s="272"/>
      <c r="M125" s="272"/>
      <c r="N125" s="272"/>
      <c r="O125" s="272"/>
      <c r="P125" s="272"/>
      <c r="Q125" s="272"/>
      <c r="R125" s="317">
        <v>-28</v>
      </c>
      <c r="S125" s="317"/>
      <c r="T125" s="318"/>
      <c r="U125" s="275"/>
      <c r="V125" s="5"/>
    </row>
    <row r="126" spans="1:22" ht="15.6" x14ac:dyDescent="0.3">
      <c r="A126" s="302"/>
      <c r="B126" s="272" t="s">
        <v>238</v>
      </c>
      <c r="C126" s="272"/>
      <c r="D126" s="272"/>
      <c r="E126" s="272"/>
      <c r="F126" s="272"/>
      <c r="G126" s="272"/>
      <c r="H126" s="272"/>
      <c r="I126" s="272"/>
      <c r="J126" s="272"/>
      <c r="K126" s="272"/>
      <c r="L126" s="272"/>
      <c r="M126" s="272"/>
      <c r="N126" s="272"/>
      <c r="O126" s="272"/>
      <c r="P126" s="272"/>
      <c r="Q126" s="272"/>
      <c r="R126" s="317">
        <v>-80</v>
      </c>
      <c r="S126" s="317"/>
      <c r="T126" s="318"/>
      <c r="U126" s="275"/>
      <c r="V126" s="5"/>
    </row>
    <row r="127" spans="1:22" ht="15.6" x14ac:dyDescent="0.3">
      <c r="A127" s="302"/>
      <c r="B127" s="272" t="s">
        <v>239</v>
      </c>
      <c r="C127" s="272"/>
      <c r="D127" s="272"/>
      <c r="E127" s="272"/>
      <c r="F127" s="272"/>
      <c r="G127" s="272"/>
      <c r="H127" s="272"/>
      <c r="I127" s="272"/>
      <c r="J127" s="272"/>
      <c r="K127" s="272"/>
      <c r="L127" s="272"/>
      <c r="M127" s="272"/>
      <c r="N127" s="272"/>
      <c r="O127" s="272"/>
      <c r="P127" s="272"/>
      <c r="Q127" s="272"/>
      <c r="R127" s="317">
        <v>-12</v>
      </c>
      <c r="S127" s="317"/>
      <c r="T127" s="318"/>
      <c r="U127" s="275"/>
      <c r="V127" s="5"/>
    </row>
    <row r="128" spans="1:22" ht="15.6" x14ac:dyDescent="0.3">
      <c r="A128" s="302"/>
      <c r="B128" s="272" t="s">
        <v>240</v>
      </c>
      <c r="C128" s="272"/>
      <c r="D128" s="272"/>
      <c r="E128" s="272"/>
      <c r="F128" s="272"/>
      <c r="G128" s="272"/>
      <c r="H128" s="272"/>
      <c r="I128" s="272"/>
      <c r="J128" s="272"/>
      <c r="K128" s="272"/>
      <c r="L128" s="272"/>
      <c r="M128" s="272"/>
      <c r="N128" s="272"/>
      <c r="O128" s="272"/>
      <c r="P128" s="272"/>
      <c r="Q128" s="272"/>
      <c r="R128" s="317">
        <v>-178</v>
      </c>
      <c r="S128" s="317"/>
      <c r="T128" s="318"/>
      <c r="U128" s="275"/>
      <c r="V128" s="5"/>
    </row>
    <row r="129" spans="1:22" ht="15.6" x14ac:dyDescent="0.3">
      <c r="A129" s="302"/>
      <c r="B129" s="272" t="s">
        <v>43</v>
      </c>
      <c r="C129" s="272"/>
      <c r="D129" s="272"/>
      <c r="E129" s="272"/>
      <c r="F129" s="272"/>
      <c r="G129" s="272"/>
      <c r="H129" s="272"/>
      <c r="I129" s="272"/>
      <c r="J129" s="272"/>
      <c r="K129" s="272"/>
      <c r="L129" s="272"/>
      <c r="M129" s="272"/>
      <c r="N129" s="272"/>
      <c r="O129" s="272"/>
      <c r="P129" s="272"/>
      <c r="Q129" s="272"/>
      <c r="R129" s="317">
        <f>SUM(R119:R128)</f>
        <v>-1660</v>
      </c>
      <c r="S129" s="317"/>
      <c r="T129" s="317">
        <f>SUM(T98:T127)</f>
        <v>-2564</v>
      </c>
      <c r="U129" s="275"/>
      <c r="V129" s="5"/>
    </row>
    <row r="130" spans="1:22" ht="15.6" x14ac:dyDescent="0.3">
      <c r="A130" s="302"/>
      <c r="B130" s="272" t="s">
        <v>44</v>
      </c>
      <c r="C130" s="272"/>
      <c r="D130" s="272"/>
      <c r="E130" s="272"/>
      <c r="F130" s="272"/>
      <c r="G130" s="272"/>
      <c r="H130" s="272"/>
      <c r="I130" s="272"/>
      <c r="J130" s="272"/>
      <c r="K130" s="272"/>
      <c r="L130" s="272"/>
      <c r="M130" s="272"/>
      <c r="N130" s="272"/>
      <c r="O130" s="272"/>
      <c r="P130" s="272"/>
      <c r="Q130" s="272"/>
      <c r="R130" s="317">
        <f>R97+R129+R112</f>
        <v>0</v>
      </c>
      <c r="S130" s="317"/>
      <c r="T130" s="317">
        <f>T97+T129</f>
        <v>0</v>
      </c>
      <c r="U130" s="275"/>
      <c r="V130" s="5"/>
    </row>
    <row r="131" spans="1:22" ht="15.6" x14ac:dyDescent="0.3">
      <c r="A131" s="233"/>
      <c r="B131" s="268"/>
      <c r="C131" s="268"/>
      <c r="D131" s="268"/>
      <c r="E131" s="268"/>
      <c r="F131" s="268"/>
      <c r="G131" s="268"/>
      <c r="H131" s="268"/>
      <c r="I131" s="268"/>
      <c r="J131" s="268"/>
      <c r="K131" s="268"/>
      <c r="L131" s="268"/>
      <c r="M131" s="268"/>
      <c r="N131" s="268"/>
      <c r="O131" s="268"/>
      <c r="P131" s="268"/>
      <c r="Q131" s="268"/>
      <c r="R131" s="333"/>
      <c r="S131" s="333"/>
      <c r="T131" s="333"/>
      <c r="U131" s="268"/>
      <c r="V131" s="5"/>
    </row>
    <row r="132" spans="1:22" ht="15.6" x14ac:dyDescent="0.3">
      <c r="A132" s="233"/>
      <c r="B132" s="234"/>
      <c r="C132" s="234"/>
      <c r="D132" s="234"/>
      <c r="E132" s="234"/>
      <c r="F132" s="234"/>
      <c r="G132" s="234"/>
      <c r="H132" s="234"/>
      <c r="I132" s="234"/>
      <c r="J132" s="234"/>
      <c r="K132" s="234"/>
      <c r="L132" s="234"/>
      <c r="M132" s="234"/>
      <c r="N132" s="234"/>
      <c r="O132" s="234"/>
      <c r="P132" s="234"/>
      <c r="Q132" s="234"/>
      <c r="R132" s="234"/>
      <c r="S132" s="234"/>
      <c r="T132" s="243"/>
      <c r="U132" s="234"/>
      <c r="V132" s="5"/>
    </row>
    <row r="133" spans="1:22" ht="18" thickBot="1" x14ac:dyDescent="0.35">
      <c r="A133" s="237"/>
      <c r="B133" s="238" t="str">
        <f>B61</f>
        <v>PM9 INVESTOR REPORT QUARTER ENDING APRIL 2011</v>
      </c>
      <c r="C133" s="239"/>
      <c r="D133" s="239"/>
      <c r="E133" s="239"/>
      <c r="F133" s="239"/>
      <c r="G133" s="239"/>
      <c r="H133" s="239"/>
      <c r="I133" s="239"/>
      <c r="J133" s="239"/>
      <c r="K133" s="239"/>
      <c r="L133" s="239"/>
      <c r="M133" s="239"/>
      <c r="N133" s="239"/>
      <c r="O133" s="239"/>
      <c r="P133" s="239"/>
      <c r="Q133" s="239"/>
      <c r="R133" s="239"/>
      <c r="S133" s="239"/>
      <c r="T133" s="244"/>
      <c r="U133" s="241"/>
      <c r="V133" s="5"/>
    </row>
    <row r="134" spans="1:22" ht="15.6" x14ac:dyDescent="0.3">
      <c r="A134" s="321"/>
      <c r="B134" s="324" t="s">
        <v>45</v>
      </c>
      <c r="C134" s="322"/>
      <c r="D134" s="322"/>
      <c r="E134" s="322"/>
      <c r="F134" s="322"/>
      <c r="G134" s="322"/>
      <c r="H134" s="322"/>
      <c r="I134" s="322"/>
      <c r="J134" s="322"/>
      <c r="K134" s="322"/>
      <c r="L134" s="322"/>
      <c r="M134" s="322"/>
      <c r="N134" s="322"/>
      <c r="O134" s="322"/>
      <c r="P134" s="322"/>
      <c r="Q134" s="322"/>
      <c r="R134" s="322"/>
      <c r="S134" s="322"/>
      <c r="T134" s="323"/>
      <c r="U134" s="322"/>
      <c r="V134" s="5"/>
    </row>
    <row r="135" spans="1:22" ht="15.6" x14ac:dyDescent="0.3">
      <c r="A135" s="177"/>
      <c r="B135" s="191"/>
      <c r="C135" s="179"/>
      <c r="D135" s="179"/>
      <c r="E135" s="179"/>
      <c r="F135" s="179"/>
      <c r="G135" s="179"/>
      <c r="H135" s="179"/>
      <c r="I135" s="179"/>
      <c r="J135" s="179"/>
      <c r="K135" s="179"/>
      <c r="L135" s="179"/>
      <c r="M135" s="179"/>
      <c r="N135" s="179"/>
      <c r="O135" s="179"/>
      <c r="P135" s="179"/>
      <c r="Q135" s="179"/>
      <c r="R135" s="179"/>
      <c r="S135" s="179"/>
      <c r="T135" s="197"/>
      <c r="U135" s="179"/>
      <c r="V135" s="5"/>
    </row>
    <row r="136" spans="1:22" ht="15.6" x14ac:dyDescent="0.3">
      <c r="A136" s="177"/>
      <c r="B136" s="204" t="s">
        <v>46</v>
      </c>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271"/>
      <c r="B137" s="272" t="s">
        <v>47</v>
      </c>
      <c r="C137" s="272"/>
      <c r="D137" s="272"/>
      <c r="E137" s="272"/>
      <c r="F137" s="272"/>
      <c r="G137" s="272"/>
      <c r="H137" s="272"/>
      <c r="I137" s="272"/>
      <c r="J137" s="272"/>
      <c r="K137" s="272"/>
      <c r="L137" s="272"/>
      <c r="M137" s="272"/>
      <c r="N137" s="272"/>
      <c r="O137" s="272"/>
      <c r="P137" s="272"/>
      <c r="Q137" s="272"/>
      <c r="R137" s="272"/>
      <c r="S137" s="272"/>
      <c r="T137" s="318">
        <f>+T32*0.0176</f>
        <v>12320</v>
      </c>
      <c r="U137" s="275"/>
      <c r="V137" s="5"/>
    </row>
    <row r="138" spans="1:22" ht="15.6" x14ac:dyDescent="0.3">
      <c r="A138" s="271"/>
      <c r="B138" s="272" t="s">
        <v>48</v>
      </c>
      <c r="C138" s="272"/>
      <c r="D138" s="272"/>
      <c r="E138" s="272"/>
      <c r="F138" s="272"/>
      <c r="G138" s="272"/>
      <c r="H138" s="272"/>
      <c r="I138" s="272"/>
      <c r="J138" s="272"/>
      <c r="K138" s="272"/>
      <c r="L138" s="272"/>
      <c r="M138" s="272"/>
      <c r="N138" s="272"/>
      <c r="O138" s="272"/>
      <c r="P138" s="272"/>
      <c r="Q138" s="272"/>
      <c r="R138" s="272"/>
      <c r="S138" s="272"/>
      <c r="T138" s="318">
        <v>12320</v>
      </c>
      <c r="U138" s="275"/>
      <c r="V138" s="5"/>
    </row>
    <row r="139" spans="1:22" ht="15.6" x14ac:dyDescent="0.3">
      <c r="A139" s="271"/>
      <c r="B139" s="272" t="s">
        <v>145</v>
      </c>
      <c r="C139" s="272"/>
      <c r="D139" s="272"/>
      <c r="E139" s="272"/>
      <c r="F139" s="272"/>
      <c r="G139" s="272"/>
      <c r="H139" s="272"/>
      <c r="I139" s="272"/>
      <c r="J139" s="272"/>
      <c r="K139" s="272"/>
      <c r="L139" s="272"/>
      <c r="M139" s="272"/>
      <c r="N139" s="272"/>
      <c r="O139" s="272"/>
      <c r="P139" s="272"/>
      <c r="Q139" s="272"/>
      <c r="R139" s="272"/>
      <c r="S139" s="272"/>
      <c r="T139" s="318">
        <v>0</v>
      </c>
      <c r="U139" s="275"/>
      <c r="V139" s="5"/>
    </row>
    <row r="140" spans="1:22" ht="15.6" x14ac:dyDescent="0.3">
      <c r="A140" s="271"/>
      <c r="B140" s="272" t="s">
        <v>132</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133</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232</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49</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138</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231</v>
      </c>
      <c r="C145" s="272"/>
      <c r="D145" s="272"/>
      <c r="E145" s="272"/>
      <c r="F145" s="272"/>
      <c r="G145" s="272"/>
      <c r="H145" s="272"/>
      <c r="I145" s="272"/>
      <c r="J145" s="272"/>
      <c r="K145" s="272"/>
      <c r="L145" s="272"/>
      <c r="M145" s="272"/>
      <c r="N145" s="272"/>
      <c r="O145" s="272"/>
      <c r="P145" s="272"/>
      <c r="Q145" s="272"/>
      <c r="R145" s="272"/>
      <c r="S145" s="272"/>
      <c r="T145" s="318">
        <v>0</v>
      </c>
      <c r="U145" s="275"/>
      <c r="V145" s="5"/>
      <c r="W145" s="110"/>
    </row>
    <row r="146" spans="1:23" ht="15.6" x14ac:dyDescent="0.3">
      <c r="A146" s="271"/>
      <c r="B146" s="272" t="s">
        <v>50</v>
      </c>
      <c r="C146" s="272"/>
      <c r="D146" s="272"/>
      <c r="E146" s="272"/>
      <c r="F146" s="272"/>
      <c r="G146" s="272"/>
      <c r="H146" s="272"/>
      <c r="I146" s="272"/>
      <c r="J146" s="272"/>
      <c r="K146" s="272"/>
      <c r="L146" s="272"/>
      <c r="M146" s="272"/>
      <c r="N146" s="272"/>
      <c r="O146" s="272"/>
      <c r="P146" s="272"/>
      <c r="Q146" s="272"/>
      <c r="R146" s="272"/>
      <c r="S146" s="272"/>
      <c r="T146" s="318">
        <f>SUM(T138:T145)</f>
        <v>12320</v>
      </c>
      <c r="U146" s="275"/>
      <c r="V146" s="5"/>
    </row>
    <row r="147" spans="1:23" ht="15.6" x14ac:dyDescent="0.3">
      <c r="A147" s="271"/>
      <c r="B147" s="337"/>
      <c r="C147" s="337"/>
      <c r="D147" s="337"/>
      <c r="E147" s="337"/>
      <c r="F147" s="337"/>
      <c r="G147" s="337"/>
      <c r="H147" s="337"/>
      <c r="I147" s="337"/>
      <c r="J147" s="337"/>
      <c r="K147" s="337"/>
      <c r="L147" s="337"/>
      <c r="M147" s="337"/>
      <c r="N147" s="337"/>
      <c r="O147" s="337"/>
      <c r="P147" s="337"/>
      <c r="Q147" s="337"/>
      <c r="R147" s="337"/>
      <c r="S147" s="337"/>
      <c r="T147" s="339"/>
      <c r="U147" s="340"/>
      <c r="V147" s="5"/>
    </row>
    <row r="148" spans="1:23" ht="15.6" x14ac:dyDescent="0.3">
      <c r="A148" s="271"/>
      <c r="B148" s="336" t="s">
        <v>264</v>
      </c>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272" t="s">
        <v>170</v>
      </c>
      <c r="C149" s="272"/>
      <c r="D149" s="272"/>
      <c r="E149" s="272"/>
      <c r="F149" s="272"/>
      <c r="G149" s="272"/>
      <c r="H149" s="272"/>
      <c r="I149" s="272"/>
      <c r="J149" s="272"/>
      <c r="K149" s="272"/>
      <c r="L149" s="272"/>
      <c r="M149" s="272"/>
      <c r="N149" s="272"/>
      <c r="O149" s="272"/>
      <c r="P149" s="272"/>
      <c r="Q149" s="272"/>
      <c r="R149" s="272"/>
      <c r="S149" s="272"/>
      <c r="T149" s="318">
        <v>10000</v>
      </c>
      <c r="U149" s="275"/>
      <c r="V149" s="5"/>
    </row>
    <row r="150" spans="1:23" ht="15.6" x14ac:dyDescent="0.3">
      <c r="A150" s="271"/>
      <c r="B150" s="272" t="s">
        <v>260</v>
      </c>
      <c r="C150" s="272"/>
      <c r="D150" s="272"/>
      <c r="E150" s="272"/>
      <c r="F150" s="272"/>
      <c r="G150" s="272"/>
      <c r="H150" s="272"/>
      <c r="I150" s="272"/>
      <c r="J150" s="272"/>
      <c r="K150" s="272"/>
      <c r="L150" s="272"/>
      <c r="M150" s="272"/>
      <c r="N150" s="272"/>
      <c r="O150" s="272"/>
      <c r="P150" s="272"/>
      <c r="Q150" s="272"/>
      <c r="R150" s="272"/>
      <c r="S150" s="272"/>
      <c r="T150" s="318">
        <v>1819</v>
      </c>
      <c r="U150" s="275"/>
      <c r="V150" s="5"/>
    </row>
    <row r="151" spans="1:23" ht="15.6" x14ac:dyDescent="0.3">
      <c r="A151" s="271"/>
      <c r="B151" s="272" t="s">
        <v>228</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300</v>
      </c>
      <c r="C152" s="272"/>
      <c r="D152" s="272"/>
      <c r="E152" s="272"/>
      <c r="F152" s="272"/>
      <c r="G152" s="272"/>
      <c r="H152" s="272"/>
      <c r="I152" s="272"/>
      <c r="J152" s="272"/>
      <c r="K152" s="272"/>
      <c r="L152" s="272"/>
      <c r="M152" s="272"/>
      <c r="N152" s="272"/>
      <c r="O152" s="272"/>
      <c r="P152" s="272"/>
      <c r="Q152" s="272"/>
      <c r="R152" s="272"/>
      <c r="S152" s="272"/>
      <c r="T152" s="318">
        <v>1819</v>
      </c>
      <c r="U152" s="275"/>
      <c r="V152" s="5"/>
    </row>
    <row r="153" spans="1:23" ht="15.6" x14ac:dyDescent="0.3">
      <c r="A153" s="271"/>
      <c r="B153" s="337"/>
      <c r="C153" s="337"/>
      <c r="D153" s="337"/>
      <c r="E153" s="337"/>
      <c r="F153" s="337"/>
      <c r="G153" s="337"/>
      <c r="H153" s="337"/>
      <c r="I153" s="337"/>
      <c r="J153" s="337"/>
      <c r="K153" s="337"/>
      <c r="L153" s="337"/>
      <c r="M153" s="337"/>
      <c r="N153" s="337"/>
      <c r="O153" s="337"/>
      <c r="P153" s="337"/>
      <c r="Q153" s="337"/>
      <c r="R153" s="337"/>
      <c r="S153" s="337"/>
      <c r="T153" s="339"/>
      <c r="U153" s="340"/>
      <c r="V153" s="5"/>
    </row>
    <row r="154" spans="1:23" ht="15.6" x14ac:dyDescent="0.3">
      <c r="A154" s="177"/>
      <c r="B154" s="314"/>
      <c r="C154" s="314"/>
      <c r="D154" s="314"/>
      <c r="E154" s="314"/>
      <c r="F154" s="314"/>
      <c r="G154" s="314"/>
      <c r="H154" s="314"/>
      <c r="I154" s="314"/>
      <c r="J154" s="314"/>
      <c r="K154" s="314"/>
      <c r="L154" s="314"/>
      <c r="M154" s="314"/>
      <c r="N154" s="314"/>
      <c r="O154" s="314"/>
      <c r="P154" s="314"/>
      <c r="Q154" s="314"/>
      <c r="R154" s="314"/>
      <c r="S154" s="314"/>
      <c r="T154" s="342"/>
      <c r="U154" s="314"/>
      <c r="V154" s="5"/>
    </row>
    <row r="155" spans="1:23" ht="15.6" x14ac:dyDescent="0.3">
      <c r="A155" s="177"/>
      <c r="B155" s="204" t="s">
        <v>25</v>
      </c>
      <c r="C155" s="179"/>
      <c r="D155" s="179"/>
      <c r="E155" s="179"/>
      <c r="F155" s="179"/>
      <c r="G155" s="179"/>
      <c r="H155" s="179"/>
      <c r="I155" s="179"/>
      <c r="J155" s="179"/>
      <c r="K155" s="179"/>
      <c r="L155" s="179"/>
      <c r="M155" s="179"/>
      <c r="N155" s="179"/>
      <c r="O155" s="179"/>
      <c r="P155" s="179"/>
      <c r="Q155" s="179"/>
      <c r="R155" s="179"/>
      <c r="S155" s="179"/>
      <c r="T155" s="197"/>
      <c r="U155" s="179"/>
      <c r="V155" s="5"/>
    </row>
    <row r="156" spans="1:23" ht="15.6" x14ac:dyDescent="0.3">
      <c r="A156" s="271"/>
      <c r="B156" s="272" t="s">
        <v>51</v>
      </c>
      <c r="C156" s="272"/>
      <c r="D156" s="272"/>
      <c r="E156" s="272"/>
      <c r="F156" s="272"/>
      <c r="G156" s="272"/>
      <c r="H156" s="272"/>
      <c r="I156" s="272"/>
      <c r="J156" s="272"/>
      <c r="K156" s="272"/>
      <c r="L156" s="272"/>
      <c r="M156" s="272"/>
      <c r="N156" s="272"/>
      <c r="O156" s="272"/>
      <c r="P156" s="272"/>
      <c r="Q156" s="272"/>
      <c r="R156" s="272"/>
      <c r="S156" s="272"/>
      <c r="T156" s="343" t="s">
        <v>127</v>
      </c>
      <c r="U156" s="340"/>
      <c r="V156" s="5"/>
    </row>
    <row r="157" spans="1:23" ht="15.6" x14ac:dyDescent="0.3">
      <c r="A157" s="271"/>
      <c r="B157" s="272" t="s">
        <v>52</v>
      </c>
      <c r="C157" s="274"/>
      <c r="D157" s="274"/>
      <c r="E157" s="274"/>
      <c r="F157" s="274"/>
      <c r="G157" s="274"/>
      <c r="H157" s="274"/>
      <c r="I157" s="274"/>
      <c r="J157" s="274"/>
      <c r="K157" s="274"/>
      <c r="L157" s="274"/>
      <c r="M157" s="274"/>
      <c r="N157" s="274"/>
      <c r="O157" s="274"/>
      <c r="P157" s="274"/>
      <c r="Q157" s="274"/>
      <c r="R157" s="274"/>
      <c r="S157" s="274"/>
      <c r="T157" s="343" t="s">
        <v>127</v>
      </c>
      <c r="U157" s="340"/>
      <c r="V157" s="5"/>
    </row>
    <row r="158" spans="1:23" ht="15.6" x14ac:dyDescent="0.3">
      <c r="A158" s="271"/>
      <c r="B158" s="272" t="s">
        <v>53</v>
      </c>
      <c r="C158" s="272"/>
      <c r="D158" s="272"/>
      <c r="E158" s="272"/>
      <c r="F158" s="272"/>
      <c r="G158" s="272"/>
      <c r="H158" s="272"/>
      <c r="I158" s="272"/>
      <c r="J158" s="272"/>
      <c r="K158" s="272"/>
      <c r="L158" s="272"/>
      <c r="M158" s="272"/>
      <c r="N158" s="272"/>
      <c r="O158" s="272"/>
      <c r="P158" s="272"/>
      <c r="Q158" s="272"/>
      <c r="R158" s="272"/>
      <c r="S158" s="272"/>
      <c r="T158" s="343" t="s">
        <v>127</v>
      </c>
      <c r="U158" s="340"/>
      <c r="V158" s="5"/>
    </row>
    <row r="159" spans="1:23" ht="15.6" x14ac:dyDescent="0.3">
      <c r="A159" s="271"/>
      <c r="B159" s="272" t="s">
        <v>54</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177"/>
      <c r="B160" s="314"/>
      <c r="C160" s="314"/>
      <c r="D160" s="314"/>
      <c r="E160" s="314"/>
      <c r="F160" s="314"/>
      <c r="G160" s="314"/>
      <c r="H160" s="314"/>
      <c r="I160" s="314"/>
      <c r="J160" s="314"/>
      <c r="K160" s="314"/>
      <c r="L160" s="314"/>
      <c r="M160" s="314"/>
      <c r="N160" s="314"/>
      <c r="O160" s="314"/>
      <c r="P160" s="314"/>
      <c r="Q160" s="314"/>
      <c r="R160" s="314"/>
      <c r="S160" s="314"/>
      <c r="T160" s="342"/>
      <c r="U160" s="314"/>
      <c r="V160" s="5"/>
    </row>
    <row r="161" spans="1:22" ht="15.6" x14ac:dyDescent="0.3">
      <c r="A161" s="177"/>
      <c r="B161" s="204" t="s">
        <v>55</v>
      </c>
      <c r="C161" s="179"/>
      <c r="D161" s="179"/>
      <c r="E161" s="179"/>
      <c r="F161" s="179"/>
      <c r="G161" s="179"/>
      <c r="H161" s="179"/>
      <c r="I161" s="179"/>
      <c r="J161" s="179"/>
      <c r="K161" s="179"/>
      <c r="L161" s="179"/>
      <c r="M161" s="179"/>
      <c r="N161" s="179"/>
      <c r="O161" s="179"/>
      <c r="P161" s="179"/>
      <c r="Q161" s="179"/>
      <c r="R161" s="179"/>
      <c r="S161" s="179"/>
      <c r="T161" s="205"/>
      <c r="U161" s="179"/>
      <c r="V161" s="5"/>
    </row>
    <row r="162" spans="1:22" ht="15.6" x14ac:dyDescent="0.3">
      <c r="A162" s="271"/>
      <c r="B162" s="272" t="s">
        <v>56</v>
      </c>
      <c r="C162" s="272"/>
      <c r="D162" s="272"/>
      <c r="E162" s="272"/>
      <c r="F162" s="272"/>
      <c r="G162" s="272"/>
      <c r="H162" s="272"/>
      <c r="I162" s="272"/>
      <c r="J162" s="272"/>
      <c r="K162" s="272"/>
      <c r="L162" s="272"/>
      <c r="M162" s="272"/>
      <c r="N162" s="272"/>
      <c r="O162" s="272"/>
      <c r="P162" s="272"/>
      <c r="Q162" s="272"/>
      <c r="R162" s="272"/>
      <c r="S162" s="272"/>
      <c r="T162" s="318">
        <v>0</v>
      </c>
      <c r="U162" s="340"/>
      <c r="V162" s="5"/>
    </row>
    <row r="163" spans="1:22" ht="15.6" x14ac:dyDescent="0.3">
      <c r="A163" s="271"/>
      <c r="B163" s="272" t="s">
        <v>57</v>
      </c>
      <c r="C163" s="272"/>
      <c r="D163" s="272"/>
      <c r="E163" s="272"/>
      <c r="F163" s="272"/>
      <c r="G163" s="272"/>
      <c r="H163" s="272"/>
      <c r="I163" s="272"/>
      <c r="J163" s="272"/>
      <c r="K163" s="272"/>
      <c r="L163" s="272"/>
      <c r="M163" s="272"/>
      <c r="N163" s="272"/>
      <c r="O163" s="272"/>
      <c r="P163" s="272"/>
      <c r="Q163" s="272"/>
      <c r="R163" s="272"/>
      <c r="S163" s="272"/>
      <c r="T163" s="318">
        <f>-T112</f>
        <v>157</v>
      </c>
      <c r="U163" s="340"/>
      <c r="V163" s="5"/>
    </row>
    <row r="164" spans="1:22" ht="15.6" x14ac:dyDescent="0.3">
      <c r="A164" s="271"/>
      <c r="B164" s="272" t="s">
        <v>58</v>
      </c>
      <c r="C164" s="272"/>
      <c r="D164" s="272"/>
      <c r="E164" s="272"/>
      <c r="F164" s="272"/>
      <c r="G164" s="272"/>
      <c r="H164" s="272"/>
      <c r="I164" s="272"/>
      <c r="J164" s="272"/>
      <c r="K164" s="272"/>
      <c r="L164" s="272"/>
      <c r="M164" s="272"/>
      <c r="N164" s="272"/>
      <c r="O164" s="272"/>
      <c r="P164" s="272"/>
      <c r="Q164" s="272"/>
      <c r="R164" s="272"/>
      <c r="S164" s="272"/>
      <c r="T164" s="318">
        <f>T163+T162</f>
        <v>157</v>
      </c>
      <c r="U164" s="340"/>
      <c r="V164" s="5"/>
    </row>
    <row r="165" spans="1:22" ht="15.6" x14ac:dyDescent="0.3">
      <c r="A165" s="271"/>
      <c r="B165" s="400" t="s">
        <v>309</v>
      </c>
      <c r="C165" s="272"/>
      <c r="D165" s="272"/>
      <c r="E165" s="272"/>
      <c r="F165" s="272"/>
      <c r="G165" s="272"/>
      <c r="H165" s="272"/>
      <c r="I165" s="272"/>
      <c r="J165" s="272"/>
      <c r="K165" s="272"/>
      <c r="L165" s="272"/>
      <c r="M165" s="272"/>
      <c r="N165" s="272"/>
      <c r="O165" s="272"/>
      <c r="P165" s="272"/>
      <c r="Q165" s="272"/>
      <c r="R165" s="272"/>
      <c r="S165" s="272"/>
      <c r="T165" s="318">
        <f>T112</f>
        <v>-157</v>
      </c>
      <c r="U165" s="340"/>
      <c r="V165" s="5"/>
    </row>
    <row r="166" spans="1:22" ht="15.6" x14ac:dyDescent="0.3">
      <c r="A166" s="271"/>
      <c r="B166" s="272" t="s">
        <v>59</v>
      </c>
      <c r="C166" s="272"/>
      <c r="D166" s="272"/>
      <c r="E166" s="272"/>
      <c r="F166" s="272"/>
      <c r="G166" s="272"/>
      <c r="H166" s="272"/>
      <c r="I166" s="272"/>
      <c r="J166" s="272"/>
      <c r="K166" s="272"/>
      <c r="L166" s="272"/>
      <c r="M166" s="272"/>
      <c r="N166" s="272"/>
      <c r="O166" s="272"/>
      <c r="P166" s="272"/>
      <c r="Q166" s="272"/>
      <c r="R166" s="272"/>
      <c r="S166" s="272"/>
      <c r="T166" s="318">
        <f>T164+T165</f>
        <v>0</v>
      </c>
      <c r="U166" s="340"/>
      <c r="V166" s="5"/>
    </row>
    <row r="167" spans="1:22" ht="15.6" x14ac:dyDescent="0.3">
      <c r="A167" s="271"/>
      <c r="B167" s="272" t="s">
        <v>278</v>
      </c>
      <c r="C167" s="272"/>
      <c r="D167" s="272"/>
      <c r="E167" s="272"/>
      <c r="F167" s="272"/>
      <c r="G167" s="272"/>
      <c r="H167" s="272"/>
      <c r="I167" s="272"/>
      <c r="J167" s="272"/>
      <c r="K167" s="272"/>
      <c r="L167" s="272"/>
      <c r="M167" s="272"/>
      <c r="N167" s="272"/>
      <c r="O167" s="272"/>
      <c r="P167" s="272"/>
      <c r="Q167" s="272"/>
      <c r="R167" s="272"/>
      <c r="S167" s="272"/>
      <c r="T167" s="318">
        <v>0</v>
      </c>
      <c r="U167" s="340"/>
      <c r="V167" s="5"/>
    </row>
    <row r="168" spans="1:22" ht="16.2" thickBot="1" x14ac:dyDescent="0.35">
      <c r="A168" s="177"/>
      <c r="B168" s="268"/>
      <c r="C168" s="268"/>
      <c r="D168" s="268"/>
      <c r="E168" s="268"/>
      <c r="F168" s="268"/>
      <c r="G168" s="268"/>
      <c r="H168" s="268"/>
      <c r="I168" s="268"/>
      <c r="J168" s="268"/>
      <c r="K168" s="268"/>
      <c r="L168" s="268"/>
      <c r="M168" s="268"/>
      <c r="N168" s="268"/>
      <c r="O168" s="268"/>
      <c r="P168" s="268"/>
      <c r="Q168" s="268"/>
      <c r="R168" s="268"/>
      <c r="S168" s="268"/>
      <c r="T168" s="344"/>
      <c r="U168" s="314"/>
      <c r="V168" s="5"/>
    </row>
    <row r="169" spans="1:22" ht="15.6" x14ac:dyDescent="0.3">
      <c r="A169" s="175"/>
      <c r="B169" s="176"/>
      <c r="C169" s="176"/>
      <c r="D169" s="176"/>
      <c r="E169" s="176"/>
      <c r="F169" s="176"/>
      <c r="G169" s="176"/>
      <c r="H169" s="176"/>
      <c r="I169" s="176"/>
      <c r="J169" s="176"/>
      <c r="K169" s="176"/>
      <c r="L169" s="176"/>
      <c r="M169" s="176"/>
      <c r="N169" s="176"/>
      <c r="O169" s="176"/>
      <c r="P169" s="176"/>
      <c r="Q169" s="176"/>
      <c r="R169" s="176"/>
      <c r="S169" s="176"/>
      <c r="T169" s="196"/>
      <c r="U169" s="176"/>
      <c r="V169" s="5"/>
    </row>
    <row r="170" spans="1:22" ht="15.6" x14ac:dyDescent="0.3">
      <c r="A170" s="177"/>
      <c r="B170" s="204" t="s">
        <v>60</v>
      </c>
      <c r="C170" s="179"/>
      <c r="D170" s="179"/>
      <c r="E170" s="179"/>
      <c r="F170" s="179"/>
      <c r="G170" s="179"/>
      <c r="H170" s="179"/>
      <c r="I170" s="179"/>
      <c r="J170" s="179"/>
      <c r="K170" s="179"/>
      <c r="L170" s="179"/>
      <c r="M170" s="179"/>
      <c r="N170" s="179"/>
      <c r="O170" s="179"/>
      <c r="P170" s="179"/>
      <c r="Q170" s="179"/>
      <c r="R170" s="179"/>
      <c r="S170" s="179"/>
      <c r="T170" s="197"/>
      <c r="U170" s="179"/>
      <c r="V170" s="5"/>
    </row>
    <row r="171" spans="1:22" ht="15.6" x14ac:dyDescent="0.3">
      <c r="A171" s="177"/>
      <c r="B171" s="191"/>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271"/>
      <c r="B172" s="272" t="s">
        <v>61</v>
      </c>
      <c r="C172" s="272"/>
      <c r="D172" s="272"/>
      <c r="E172" s="272"/>
      <c r="F172" s="272"/>
      <c r="G172" s="272"/>
      <c r="H172" s="272"/>
      <c r="I172" s="272"/>
      <c r="J172" s="272"/>
      <c r="K172" s="272"/>
      <c r="L172" s="272"/>
      <c r="M172" s="272"/>
      <c r="N172" s="272"/>
      <c r="O172" s="272"/>
      <c r="P172" s="272"/>
      <c r="Q172" s="272"/>
      <c r="R172" s="272"/>
      <c r="S172" s="272"/>
      <c r="T172" s="318">
        <f>T68</f>
        <v>318401</v>
      </c>
      <c r="U172" s="340"/>
      <c r="V172" s="5"/>
    </row>
    <row r="173" spans="1:22" ht="15.6" x14ac:dyDescent="0.3">
      <c r="A173" s="271"/>
      <c r="B173" s="272" t="s">
        <v>62</v>
      </c>
      <c r="C173" s="272"/>
      <c r="D173" s="272"/>
      <c r="E173" s="272"/>
      <c r="F173" s="272"/>
      <c r="G173" s="272"/>
      <c r="H173" s="272"/>
      <c r="I173" s="272"/>
      <c r="J173" s="272"/>
      <c r="K173" s="272"/>
      <c r="L173" s="272"/>
      <c r="M173" s="272"/>
      <c r="N173" s="272"/>
      <c r="O173" s="272"/>
      <c r="P173" s="272"/>
      <c r="Q173" s="272"/>
      <c r="R173" s="272"/>
      <c r="S173" s="272"/>
      <c r="T173" s="318">
        <f>T81</f>
        <v>318401</v>
      </c>
      <c r="U173" s="340"/>
      <c r="V173" s="5"/>
    </row>
    <row r="174" spans="1:22" ht="16.2" thickBot="1" x14ac:dyDescent="0.35">
      <c r="A174" s="177"/>
      <c r="B174" s="314"/>
      <c r="C174" s="314"/>
      <c r="D174" s="314"/>
      <c r="E174" s="314"/>
      <c r="F174" s="314"/>
      <c r="G174" s="314"/>
      <c r="H174" s="314"/>
      <c r="I174" s="314"/>
      <c r="J174" s="314"/>
      <c r="K174" s="314"/>
      <c r="L174" s="314"/>
      <c r="M174" s="314"/>
      <c r="N174" s="314"/>
      <c r="O174" s="314"/>
      <c r="P174" s="314"/>
      <c r="Q174" s="314"/>
      <c r="R174" s="314"/>
      <c r="S174" s="314"/>
      <c r="T174" s="342"/>
      <c r="U174" s="314"/>
      <c r="V174" s="5"/>
    </row>
    <row r="175" spans="1:22" ht="15.6" x14ac:dyDescent="0.3">
      <c r="A175" s="175"/>
      <c r="B175" s="176"/>
      <c r="C175" s="176"/>
      <c r="D175" s="176"/>
      <c r="E175" s="176"/>
      <c r="F175" s="176"/>
      <c r="G175" s="176"/>
      <c r="H175" s="176"/>
      <c r="I175" s="176"/>
      <c r="J175" s="176"/>
      <c r="K175" s="176"/>
      <c r="L175" s="176"/>
      <c r="M175" s="176"/>
      <c r="N175" s="176"/>
      <c r="O175" s="176"/>
      <c r="P175" s="176"/>
      <c r="Q175" s="176"/>
      <c r="R175" s="176"/>
      <c r="S175" s="176"/>
      <c r="T175" s="196"/>
      <c r="U175" s="176"/>
      <c r="V175" s="5"/>
    </row>
    <row r="176" spans="1:22" ht="15.6" x14ac:dyDescent="0.3">
      <c r="A176" s="177"/>
      <c r="B176" s="204" t="s">
        <v>63</v>
      </c>
      <c r="C176" s="201"/>
      <c r="D176" s="201"/>
      <c r="E176" s="201"/>
      <c r="F176" s="201"/>
      <c r="G176" s="201"/>
      <c r="H176" s="206"/>
      <c r="I176" s="206"/>
      <c r="J176" s="206"/>
      <c r="K176" s="206"/>
      <c r="L176" s="206"/>
      <c r="M176" s="206"/>
      <c r="N176" s="206"/>
      <c r="O176" s="206"/>
      <c r="P176" s="206"/>
      <c r="Q176" s="206" t="s">
        <v>107</v>
      </c>
      <c r="R176" s="206" t="s">
        <v>234</v>
      </c>
      <c r="S176" s="181"/>
      <c r="T176" s="207" t="s">
        <v>123</v>
      </c>
      <c r="U176" s="208"/>
      <c r="V176" s="5"/>
    </row>
    <row r="177" spans="1:22" ht="15.6" x14ac:dyDescent="0.3">
      <c r="A177" s="271"/>
      <c r="B177" s="272" t="s">
        <v>64</v>
      </c>
      <c r="C177" s="272"/>
      <c r="D177" s="272"/>
      <c r="E177" s="272"/>
      <c r="F177" s="272"/>
      <c r="G177" s="272"/>
      <c r="H177" s="272"/>
      <c r="I177" s="272"/>
      <c r="J177" s="272"/>
      <c r="K177" s="272"/>
      <c r="L177" s="272"/>
      <c r="M177" s="272"/>
      <c r="N177" s="272"/>
      <c r="O177" s="272"/>
      <c r="P177" s="272"/>
      <c r="Q177" s="318">
        <v>112000</v>
      </c>
      <c r="R177" s="306"/>
      <c r="S177" s="272"/>
      <c r="T177" s="318"/>
      <c r="U177" s="275"/>
      <c r="V177" s="5"/>
    </row>
    <row r="178" spans="1:22" ht="15.6" x14ac:dyDescent="0.3">
      <c r="A178" s="271"/>
      <c r="B178" s="272" t="s">
        <v>65</v>
      </c>
      <c r="C178" s="272"/>
      <c r="D178" s="272"/>
      <c r="E178" s="272"/>
      <c r="F178" s="272"/>
      <c r="G178" s="272"/>
      <c r="H178" s="272"/>
      <c r="I178" s="272"/>
      <c r="J178" s="272"/>
      <c r="K178" s="272"/>
      <c r="L178" s="272"/>
      <c r="M178" s="272"/>
      <c r="N178" s="272"/>
      <c r="O178" s="272"/>
      <c r="P178" s="272"/>
      <c r="Q178" s="318">
        <f>+'Jan 11'!Q180</f>
        <v>46013</v>
      </c>
      <c r="R178" s="318">
        <f>+'Jan 11'!R180</f>
        <v>2435</v>
      </c>
      <c r="S178" s="272"/>
      <c r="T178" s="318">
        <f>Q178+R178</f>
        <v>48448</v>
      </c>
      <c r="U178" s="275"/>
      <c r="V178" s="5"/>
    </row>
    <row r="179" spans="1:22" ht="15.6" x14ac:dyDescent="0.3">
      <c r="A179" s="271"/>
      <c r="B179" s="272" t="s">
        <v>66</v>
      </c>
      <c r="C179" s="272"/>
      <c r="D179" s="272"/>
      <c r="E179" s="272"/>
      <c r="F179" s="272"/>
      <c r="G179" s="272"/>
      <c r="H179" s="272"/>
      <c r="I179" s="272"/>
      <c r="J179" s="272"/>
      <c r="K179" s="272"/>
      <c r="L179" s="272"/>
      <c r="M179" s="272"/>
      <c r="N179" s="272"/>
      <c r="O179" s="272"/>
      <c r="P179" s="272"/>
      <c r="Q179" s="317">
        <v>271</v>
      </c>
      <c r="R179" s="317">
        <v>0</v>
      </c>
      <c r="S179" s="272"/>
      <c r="T179" s="318">
        <f>Q179+R179</f>
        <v>271</v>
      </c>
      <c r="U179" s="275"/>
      <c r="V179" s="5"/>
    </row>
    <row r="180" spans="1:22" ht="15.6" x14ac:dyDescent="0.3">
      <c r="A180" s="271"/>
      <c r="B180" s="272" t="s">
        <v>67</v>
      </c>
      <c r="C180" s="272"/>
      <c r="D180" s="272"/>
      <c r="E180" s="272"/>
      <c r="F180" s="272"/>
      <c r="G180" s="272"/>
      <c r="H180" s="272"/>
      <c r="I180" s="272"/>
      <c r="J180" s="272"/>
      <c r="K180" s="272"/>
      <c r="L180" s="272"/>
      <c r="M180" s="272"/>
      <c r="N180" s="272"/>
      <c r="O180" s="272"/>
      <c r="P180" s="272"/>
      <c r="Q180" s="318">
        <f>Q178+Q179</f>
        <v>46284</v>
      </c>
      <c r="R180" s="318">
        <f>R179+R178</f>
        <v>2435</v>
      </c>
      <c r="S180" s="272"/>
      <c r="T180" s="318">
        <f>Q180+R180</f>
        <v>48719</v>
      </c>
      <c r="U180" s="275"/>
      <c r="V180" s="5"/>
    </row>
    <row r="181" spans="1:22" ht="15.6" x14ac:dyDescent="0.3">
      <c r="A181" s="271"/>
      <c r="B181" s="272" t="s">
        <v>68</v>
      </c>
      <c r="C181" s="272"/>
      <c r="D181" s="272"/>
      <c r="E181" s="272"/>
      <c r="F181" s="272"/>
      <c r="G181" s="272"/>
      <c r="H181" s="272"/>
      <c r="I181" s="272"/>
      <c r="J181" s="272"/>
      <c r="K181" s="272"/>
      <c r="L181" s="272"/>
      <c r="M181" s="272"/>
      <c r="N181" s="272"/>
      <c r="O181" s="272"/>
      <c r="P181" s="272"/>
      <c r="Q181" s="318">
        <f>Q177-Q180-R180</f>
        <v>63281</v>
      </c>
      <c r="R181" s="306"/>
      <c r="S181" s="272"/>
      <c r="T181" s="318"/>
      <c r="U181" s="275"/>
      <c r="V181" s="5"/>
    </row>
    <row r="182" spans="1:22" ht="16.2" thickBot="1" x14ac:dyDescent="0.35">
      <c r="A182" s="177"/>
      <c r="B182" s="314"/>
      <c r="C182" s="314"/>
      <c r="D182" s="314"/>
      <c r="E182" s="314"/>
      <c r="F182" s="314"/>
      <c r="G182" s="314"/>
      <c r="H182" s="314"/>
      <c r="I182" s="314"/>
      <c r="J182" s="314"/>
      <c r="K182" s="314"/>
      <c r="L182" s="314"/>
      <c r="M182" s="314"/>
      <c r="N182" s="314"/>
      <c r="O182" s="314"/>
      <c r="P182" s="314"/>
      <c r="Q182" s="314"/>
      <c r="R182" s="314"/>
      <c r="S182" s="314"/>
      <c r="T182" s="342"/>
      <c r="U182" s="314"/>
      <c r="V182" s="5"/>
    </row>
    <row r="183" spans="1:22" ht="15.6" x14ac:dyDescent="0.3">
      <c r="A183" s="175"/>
      <c r="B183" s="176"/>
      <c r="C183" s="176"/>
      <c r="D183" s="176"/>
      <c r="E183" s="176"/>
      <c r="F183" s="176"/>
      <c r="G183" s="176"/>
      <c r="H183" s="176"/>
      <c r="I183" s="176"/>
      <c r="J183" s="176"/>
      <c r="K183" s="176"/>
      <c r="L183" s="176"/>
      <c r="M183" s="176"/>
      <c r="N183" s="176"/>
      <c r="O183" s="176"/>
      <c r="P183" s="176"/>
      <c r="Q183" s="176"/>
      <c r="R183" s="176"/>
      <c r="S183" s="176"/>
      <c r="T183" s="196"/>
      <c r="U183" s="176"/>
      <c r="V183" s="5"/>
    </row>
    <row r="184" spans="1:22" ht="15.6" x14ac:dyDescent="0.3">
      <c r="A184" s="177"/>
      <c r="B184" s="204" t="s">
        <v>69</v>
      </c>
      <c r="C184" s="179"/>
      <c r="D184" s="179"/>
      <c r="E184" s="179"/>
      <c r="F184" s="179"/>
      <c r="G184" s="179"/>
      <c r="H184" s="179"/>
      <c r="I184" s="179"/>
      <c r="J184" s="179"/>
      <c r="K184" s="179"/>
      <c r="L184" s="179"/>
      <c r="M184" s="179"/>
      <c r="N184" s="179"/>
      <c r="O184" s="179"/>
      <c r="P184" s="179"/>
      <c r="Q184" s="179"/>
      <c r="R184" s="179"/>
      <c r="S184" s="179"/>
      <c r="T184" s="209"/>
      <c r="U184" s="179"/>
      <c r="V184" s="5"/>
    </row>
    <row r="185" spans="1:22" ht="15.6" x14ac:dyDescent="0.3">
      <c r="A185" s="271"/>
      <c r="B185" s="272" t="s">
        <v>70</v>
      </c>
      <c r="C185" s="272"/>
      <c r="D185" s="272"/>
      <c r="E185" s="272"/>
      <c r="F185" s="272"/>
      <c r="G185" s="272"/>
      <c r="H185" s="272"/>
      <c r="I185" s="272"/>
      <c r="J185" s="272"/>
      <c r="K185" s="272"/>
      <c r="L185" s="272"/>
      <c r="M185" s="272"/>
      <c r="N185" s="272"/>
      <c r="O185" s="272"/>
      <c r="P185" s="272"/>
      <c r="Q185" s="272"/>
      <c r="R185" s="272"/>
      <c r="S185" s="272"/>
      <c r="T185" s="343">
        <f>(T97+T99+T100+T101+T102+T103)/-(T104+T105+T106)</f>
        <v>2.9573002754820936</v>
      </c>
      <c r="U185" s="275" t="s">
        <v>124</v>
      </c>
      <c r="V185" s="5"/>
    </row>
    <row r="186" spans="1:22" ht="15.6" x14ac:dyDescent="0.3">
      <c r="A186" s="271"/>
      <c r="B186" s="272" t="s">
        <v>71</v>
      </c>
      <c r="C186" s="272"/>
      <c r="D186" s="272"/>
      <c r="E186" s="272"/>
      <c r="F186" s="272"/>
      <c r="G186" s="272"/>
      <c r="H186" s="272"/>
      <c r="I186" s="272"/>
      <c r="J186" s="272"/>
      <c r="K186" s="272"/>
      <c r="L186" s="272"/>
      <c r="M186" s="272"/>
      <c r="N186" s="272"/>
      <c r="O186" s="272"/>
      <c r="P186" s="272"/>
      <c r="Q186" s="272"/>
      <c r="R186" s="272"/>
      <c r="S186" s="272"/>
      <c r="T186" s="345">
        <v>1.5</v>
      </c>
      <c r="U186" s="275" t="s">
        <v>124</v>
      </c>
      <c r="V186" s="5"/>
    </row>
    <row r="187" spans="1:22" ht="15.6" x14ac:dyDescent="0.3">
      <c r="A187" s="271"/>
      <c r="B187" s="272" t="s">
        <v>72</v>
      </c>
      <c r="C187" s="272"/>
      <c r="D187" s="272"/>
      <c r="E187" s="272"/>
      <c r="F187" s="272"/>
      <c r="G187" s="272"/>
      <c r="H187" s="272"/>
      <c r="I187" s="272"/>
      <c r="J187" s="272"/>
      <c r="K187" s="272"/>
      <c r="L187" s="272"/>
      <c r="M187" s="272"/>
      <c r="N187" s="272"/>
      <c r="O187" s="272"/>
      <c r="P187" s="272"/>
      <c r="Q187" s="272"/>
      <c r="R187" s="272"/>
      <c r="S187" s="272"/>
      <c r="T187" s="343">
        <f>(T97+T99+T100+T101+T102+T103+T104+T105+T106)/-(T107+T108)</f>
        <v>16.147727272727273</v>
      </c>
      <c r="U187" s="275" t="s">
        <v>124</v>
      </c>
      <c r="V187" s="5"/>
    </row>
    <row r="188" spans="1:22" ht="15.6" x14ac:dyDescent="0.3">
      <c r="A188" s="271"/>
      <c r="B188" s="272" t="s">
        <v>73</v>
      </c>
      <c r="C188" s="272"/>
      <c r="D188" s="272"/>
      <c r="E188" s="272"/>
      <c r="F188" s="272"/>
      <c r="G188" s="272"/>
      <c r="H188" s="272"/>
      <c r="I188" s="272"/>
      <c r="J188" s="272"/>
      <c r="K188" s="272"/>
      <c r="L188" s="272"/>
      <c r="M188" s="272"/>
      <c r="N188" s="272"/>
      <c r="O188" s="272"/>
      <c r="P188" s="272"/>
      <c r="Q188" s="272"/>
      <c r="R188" s="272"/>
      <c r="S188" s="272"/>
      <c r="T188" s="346">
        <v>7.68</v>
      </c>
      <c r="U188" s="275" t="s">
        <v>124</v>
      </c>
      <c r="V188" s="5"/>
    </row>
    <row r="189" spans="1:22" ht="15.6" x14ac:dyDescent="0.3">
      <c r="A189" s="271"/>
      <c r="B189" s="272" t="s">
        <v>243</v>
      </c>
      <c r="C189" s="272"/>
      <c r="D189" s="272"/>
      <c r="E189" s="272"/>
      <c r="F189" s="272"/>
      <c r="G189" s="272"/>
      <c r="H189" s="272"/>
      <c r="I189" s="272"/>
      <c r="J189" s="272"/>
      <c r="K189" s="272"/>
      <c r="L189" s="272"/>
      <c r="M189" s="272"/>
      <c r="N189" s="272"/>
      <c r="O189" s="272"/>
      <c r="P189" s="272"/>
      <c r="Q189" s="272"/>
      <c r="R189" s="272"/>
      <c r="S189" s="272"/>
      <c r="T189" s="343">
        <f>(T97+T99+T100+T101+T102+T103+T104+T105+T106+T107+T108)/-(T109+T110)</f>
        <v>6.3476190476190473</v>
      </c>
      <c r="U189" s="275" t="s">
        <v>124</v>
      </c>
      <c r="V189" s="5"/>
    </row>
    <row r="190" spans="1:22" ht="15.6" x14ac:dyDescent="0.3">
      <c r="A190" s="271"/>
      <c r="B190" s="272" t="s">
        <v>244</v>
      </c>
      <c r="C190" s="272"/>
      <c r="D190" s="272"/>
      <c r="E190" s="272"/>
      <c r="F190" s="272"/>
      <c r="G190" s="272"/>
      <c r="H190" s="272"/>
      <c r="I190" s="272"/>
      <c r="J190" s="272"/>
      <c r="K190" s="272"/>
      <c r="L190" s="272"/>
      <c r="M190" s="272"/>
      <c r="N190" s="272"/>
      <c r="O190" s="272"/>
      <c r="P190" s="272"/>
      <c r="Q190" s="272"/>
      <c r="R190" s="272"/>
      <c r="S190" s="272"/>
      <c r="T190" s="346">
        <v>3.52</v>
      </c>
      <c r="U190" s="275" t="s">
        <v>124</v>
      </c>
      <c r="V190" s="5"/>
    </row>
    <row r="191" spans="1:22" ht="15.6" x14ac:dyDescent="0.3">
      <c r="A191" s="271"/>
      <c r="B191" s="272"/>
      <c r="C191" s="272"/>
      <c r="D191" s="272"/>
      <c r="E191" s="272"/>
      <c r="F191" s="272"/>
      <c r="G191" s="272"/>
      <c r="H191" s="272"/>
      <c r="I191" s="272"/>
      <c r="J191" s="272"/>
      <c r="K191" s="272"/>
      <c r="L191" s="272"/>
      <c r="M191" s="272"/>
      <c r="N191" s="272"/>
      <c r="O191" s="272"/>
      <c r="P191" s="272"/>
      <c r="Q191" s="272"/>
      <c r="R191" s="272"/>
      <c r="S191" s="272"/>
      <c r="T191" s="272"/>
      <c r="U191" s="275"/>
      <c r="V191" s="5"/>
    </row>
    <row r="192" spans="1:22" ht="15.6" x14ac:dyDescent="0.3">
      <c r="A192" s="177"/>
      <c r="B192" s="268"/>
      <c r="C192" s="268"/>
      <c r="D192" s="268"/>
      <c r="E192" s="268"/>
      <c r="F192" s="268"/>
      <c r="G192" s="268"/>
      <c r="H192" s="268"/>
      <c r="I192" s="268"/>
      <c r="J192" s="268"/>
      <c r="K192" s="268"/>
      <c r="L192" s="268"/>
      <c r="M192" s="268"/>
      <c r="N192" s="268"/>
      <c r="O192" s="268"/>
      <c r="P192" s="268"/>
      <c r="Q192" s="268"/>
      <c r="R192" s="268"/>
      <c r="S192" s="268"/>
      <c r="T192" s="268"/>
      <c r="U192" s="268"/>
      <c r="V192" s="5"/>
    </row>
    <row r="193" spans="1:22" ht="15.6" x14ac:dyDescent="0.3">
      <c r="A193" s="177"/>
      <c r="B193" s="234"/>
      <c r="C193" s="234"/>
      <c r="D193" s="234"/>
      <c r="E193" s="234"/>
      <c r="F193" s="234"/>
      <c r="G193" s="234"/>
      <c r="H193" s="234"/>
      <c r="I193" s="234"/>
      <c r="J193" s="234"/>
      <c r="K193" s="234"/>
      <c r="L193" s="234"/>
      <c r="M193" s="234"/>
      <c r="N193" s="234"/>
      <c r="O193" s="234"/>
      <c r="P193" s="234"/>
      <c r="Q193" s="234"/>
      <c r="R193" s="234"/>
      <c r="S193" s="234"/>
      <c r="T193" s="234"/>
      <c r="U193" s="234"/>
      <c r="V193" s="5"/>
    </row>
    <row r="194" spans="1:22" ht="18" thickBot="1" x14ac:dyDescent="0.35">
      <c r="A194" s="195"/>
      <c r="B194" s="238" t="str">
        <f>B133</f>
        <v>PM9 INVESTOR REPORT QUARTER ENDING APRIL 2011</v>
      </c>
      <c r="C194" s="245"/>
      <c r="D194" s="245"/>
      <c r="E194" s="245"/>
      <c r="F194" s="245"/>
      <c r="G194" s="245"/>
      <c r="H194" s="245"/>
      <c r="I194" s="245"/>
      <c r="J194" s="245"/>
      <c r="K194" s="245"/>
      <c r="L194" s="245"/>
      <c r="M194" s="245"/>
      <c r="N194" s="245"/>
      <c r="O194" s="245"/>
      <c r="P194" s="245"/>
      <c r="Q194" s="245"/>
      <c r="R194" s="245"/>
      <c r="S194" s="245"/>
      <c r="T194" s="245"/>
      <c r="U194" s="246"/>
      <c r="V194" s="5"/>
    </row>
    <row r="195" spans="1:22" ht="15.6" x14ac:dyDescent="0.3">
      <c r="A195" s="321"/>
      <c r="B195" s="324" t="s">
        <v>74</v>
      </c>
      <c r="C195" s="325"/>
      <c r="D195" s="325"/>
      <c r="E195" s="325"/>
      <c r="F195" s="325"/>
      <c r="G195" s="326"/>
      <c r="H195" s="326"/>
      <c r="I195" s="326"/>
      <c r="J195" s="326"/>
      <c r="K195" s="326"/>
      <c r="L195" s="326"/>
      <c r="M195" s="326"/>
      <c r="N195" s="326"/>
      <c r="O195" s="326"/>
      <c r="P195" s="326"/>
      <c r="Q195" s="326"/>
      <c r="R195" s="326">
        <v>40661</v>
      </c>
      <c r="S195" s="322"/>
      <c r="T195" s="322"/>
      <c r="U195" s="322"/>
      <c r="V195" s="5"/>
    </row>
    <row r="196" spans="1:22" ht="15.6" x14ac:dyDescent="0.3">
      <c r="A196" s="210"/>
      <c r="B196" s="211"/>
      <c r="C196" s="212"/>
      <c r="D196" s="212"/>
      <c r="E196" s="212"/>
      <c r="F196" s="212"/>
      <c r="G196" s="213"/>
      <c r="H196" s="213"/>
      <c r="I196" s="213"/>
      <c r="J196" s="213"/>
      <c r="K196" s="213"/>
      <c r="L196" s="213"/>
      <c r="M196" s="213"/>
      <c r="N196" s="213"/>
      <c r="O196" s="213"/>
      <c r="P196" s="213"/>
      <c r="Q196" s="213"/>
      <c r="R196" s="213"/>
      <c r="S196" s="179"/>
      <c r="T196" s="179"/>
      <c r="U196" s="179"/>
      <c r="V196" s="5"/>
    </row>
    <row r="197" spans="1:22" ht="15.6" x14ac:dyDescent="0.3">
      <c r="A197" s="348"/>
      <c r="B197" s="272" t="s">
        <v>75</v>
      </c>
      <c r="C197" s="349"/>
      <c r="D197" s="349"/>
      <c r="E197" s="349"/>
      <c r="F197" s="349"/>
      <c r="G197" s="309"/>
      <c r="H197" s="309"/>
      <c r="I197" s="309"/>
      <c r="J197" s="309"/>
      <c r="K197" s="309"/>
      <c r="L197" s="309"/>
      <c r="M197" s="309"/>
      <c r="N197" s="309"/>
      <c r="O197" s="309"/>
      <c r="P197" s="309"/>
      <c r="Q197" s="309"/>
      <c r="R197" s="304">
        <v>5.8209999999999998E-2</v>
      </c>
      <c r="S197" s="272"/>
      <c r="T197" s="272"/>
      <c r="U197" s="340"/>
      <c r="V197" s="5"/>
    </row>
    <row r="198" spans="1:22" ht="15.6" x14ac:dyDescent="0.3">
      <c r="A198" s="348"/>
      <c r="B198" s="272" t="s">
        <v>164</v>
      </c>
      <c r="C198" s="349"/>
      <c r="D198" s="349"/>
      <c r="E198" s="349"/>
      <c r="F198" s="349"/>
      <c r="G198" s="309"/>
      <c r="H198" s="309"/>
      <c r="I198" s="309"/>
      <c r="J198" s="309"/>
      <c r="K198" s="309"/>
      <c r="L198" s="309"/>
      <c r="M198" s="309"/>
      <c r="N198" s="309"/>
      <c r="O198" s="309"/>
      <c r="P198" s="309"/>
      <c r="Q198" s="309"/>
      <c r="R198" s="304">
        <f>'Oct 05'!R193</f>
        <v>4.8438496428571419E-2</v>
      </c>
      <c r="S198" s="272"/>
      <c r="T198" s="272"/>
      <c r="U198" s="340"/>
      <c r="V198" s="5"/>
    </row>
    <row r="199" spans="1:22" ht="15.6" x14ac:dyDescent="0.3">
      <c r="A199" s="348"/>
      <c r="B199" s="272" t="s">
        <v>76</v>
      </c>
      <c r="C199" s="349"/>
      <c r="D199" s="349"/>
      <c r="E199" s="349"/>
      <c r="F199" s="349"/>
      <c r="G199" s="309"/>
      <c r="H199" s="309"/>
      <c r="I199" s="309"/>
      <c r="J199" s="309"/>
      <c r="K199" s="309"/>
      <c r="L199" s="309"/>
      <c r="M199" s="309"/>
      <c r="N199" s="309"/>
      <c r="O199" s="309"/>
      <c r="P199" s="309"/>
      <c r="Q199" s="309"/>
      <c r="R199" s="304">
        <f>R197-R198</f>
        <v>9.7715035714285789E-3</v>
      </c>
      <c r="S199" s="272"/>
      <c r="T199" s="272"/>
      <c r="U199" s="340"/>
      <c r="V199" s="5"/>
    </row>
    <row r="200" spans="1:22" ht="15.6" x14ac:dyDescent="0.3">
      <c r="A200" s="348"/>
      <c r="B200" s="272" t="s">
        <v>77</v>
      </c>
      <c r="C200" s="349"/>
      <c r="D200" s="349"/>
      <c r="E200" s="349"/>
      <c r="F200" s="349"/>
      <c r="G200" s="309"/>
      <c r="H200" s="309"/>
      <c r="I200" s="309"/>
      <c r="J200" s="309"/>
      <c r="K200" s="309"/>
      <c r="L200" s="309"/>
      <c r="M200" s="309"/>
      <c r="N200" s="309"/>
      <c r="O200" s="309"/>
      <c r="P200" s="309"/>
      <c r="Q200" s="309"/>
      <c r="R200" s="304">
        <v>2.7230000000000001E-2</v>
      </c>
      <c r="S200" s="272"/>
      <c r="T200" s="272"/>
      <c r="U200" s="340"/>
      <c r="V200" s="5"/>
    </row>
    <row r="201" spans="1:22" ht="15.6" x14ac:dyDescent="0.3">
      <c r="A201" s="348"/>
      <c r="B201" s="272" t="s">
        <v>257</v>
      </c>
      <c r="C201" s="349"/>
      <c r="D201" s="349"/>
      <c r="E201" s="349"/>
      <c r="F201" s="349"/>
      <c r="G201" s="309"/>
      <c r="H201" s="309"/>
      <c r="I201" s="309"/>
      <c r="J201" s="309"/>
      <c r="K201" s="309"/>
      <c r="L201" s="309"/>
      <c r="M201" s="309"/>
      <c r="N201" s="309"/>
      <c r="O201" s="309"/>
      <c r="P201" s="309"/>
      <c r="Q201" s="309"/>
      <c r="R201" s="304">
        <f>+T41</f>
        <v>1.2972896072881032E-2</v>
      </c>
      <c r="S201" s="272"/>
      <c r="T201" s="272"/>
      <c r="U201" s="340"/>
      <c r="V201" s="5"/>
    </row>
    <row r="202" spans="1:22" ht="15.6" x14ac:dyDescent="0.3">
      <c r="A202" s="348"/>
      <c r="B202" s="272" t="s">
        <v>78</v>
      </c>
      <c r="C202" s="349"/>
      <c r="D202" s="349"/>
      <c r="E202" s="349"/>
      <c r="F202" s="349"/>
      <c r="G202" s="309"/>
      <c r="H202" s="309"/>
      <c r="I202" s="309"/>
      <c r="J202" s="309"/>
      <c r="K202" s="309"/>
      <c r="L202" s="309"/>
      <c r="M202" s="309"/>
      <c r="N202" s="309"/>
      <c r="O202" s="309"/>
      <c r="P202" s="309"/>
      <c r="Q202" s="309"/>
      <c r="R202" s="304">
        <f>R200-R201</f>
        <v>1.4257103927118969E-2</v>
      </c>
      <c r="S202" s="272"/>
      <c r="T202" s="272"/>
      <c r="U202" s="340"/>
      <c r="V202" s="5"/>
    </row>
    <row r="203" spans="1:22" ht="15.6" x14ac:dyDescent="0.3">
      <c r="A203" s="348"/>
      <c r="B203" s="272" t="s">
        <v>268</v>
      </c>
      <c r="C203" s="349"/>
      <c r="D203" s="349"/>
      <c r="E203" s="349"/>
      <c r="F203" s="349"/>
      <c r="G203" s="309"/>
      <c r="H203" s="309"/>
      <c r="I203" s="309"/>
      <c r="J203" s="309"/>
      <c r="K203" s="309"/>
      <c r="L203" s="309"/>
      <c r="M203" s="309"/>
      <c r="N203" s="309"/>
      <c r="O203" s="309"/>
      <c r="P203" s="309"/>
      <c r="Q203" s="309"/>
      <c r="R203" s="304">
        <f>+T97/L68</f>
        <v>8.0180876047995942E-3</v>
      </c>
      <c r="S203" s="272"/>
      <c r="T203" s="272"/>
      <c r="U203" s="340"/>
      <c r="V203" s="5"/>
    </row>
    <row r="204" spans="1:22" ht="15.6" x14ac:dyDescent="0.3">
      <c r="A204" s="348"/>
      <c r="B204" s="272" t="s">
        <v>249</v>
      </c>
      <c r="C204" s="349"/>
      <c r="D204" s="349"/>
      <c r="E204" s="349"/>
      <c r="F204" s="349"/>
      <c r="G204" s="309"/>
      <c r="H204" s="309"/>
      <c r="I204" s="309"/>
      <c r="J204" s="309"/>
      <c r="K204" s="309"/>
      <c r="L204" s="309"/>
      <c r="M204" s="309"/>
      <c r="N204" s="309"/>
      <c r="O204" s="309"/>
      <c r="P204" s="309"/>
      <c r="Q204" s="309"/>
      <c r="R204" s="350">
        <v>51622</v>
      </c>
      <c r="S204" s="272"/>
      <c r="T204" s="272"/>
      <c r="U204" s="340"/>
      <c r="V204" s="5"/>
    </row>
    <row r="205" spans="1:22" ht="15.6" x14ac:dyDescent="0.3">
      <c r="A205" s="348"/>
      <c r="B205" s="272" t="s">
        <v>250</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251</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79</v>
      </c>
      <c r="C207" s="349"/>
      <c r="D207" s="349"/>
      <c r="E207" s="349"/>
      <c r="F207" s="349"/>
      <c r="G207" s="309"/>
      <c r="H207" s="309"/>
      <c r="I207" s="309"/>
      <c r="J207" s="309"/>
      <c r="K207" s="309"/>
      <c r="L207" s="309"/>
      <c r="M207" s="309"/>
      <c r="N207" s="309"/>
      <c r="O207" s="309"/>
      <c r="P207" s="309"/>
      <c r="Q207" s="309"/>
      <c r="R207" s="308">
        <v>20.95</v>
      </c>
      <c r="S207" s="272" t="s">
        <v>119</v>
      </c>
      <c r="T207" s="272"/>
      <c r="U207" s="340"/>
      <c r="V207" s="5"/>
    </row>
    <row r="208" spans="1:22" ht="15.6" x14ac:dyDescent="0.3">
      <c r="A208" s="348"/>
      <c r="B208" s="272" t="s">
        <v>80</v>
      </c>
      <c r="C208" s="349"/>
      <c r="D208" s="349"/>
      <c r="E208" s="349"/>
      <c r="F208" s="349"/>
      <c r="G208" s="309"/>
      <c r="H208" s="309"/>
      <c r="I208" s="309"/>
      <c r="J208" s="309"/>
      <c r="K208" s="309"/>
      <c r="L208" s="309"/>
      <c r="M208" s="309"/>
      <c r="N208" s="309"/>
      <c r="O208" s="309"/>
      <c r="P208" s="309"/>
      <c r="Q208" s="309"/>
      <c r="R208" s="308">
        <v>15.39</v>
      </c>
      <c r="S208" s="272" t="s">
        <v>119</v>
      </c>
      <c r="T208" s="272"/>
      <c r="U208" s="340"/>
      <c r="V208" s="5"/>
    </row>
    <row r="209" spans="1:22" ht="15.6" x14ac:dyDescent="0.3">
      <c r="A209" s="348"/>
      <c r="B209" s="272" t="s">
        <v>81</v>
      </c>
      <c r="C209" s="349"/>
      <c r="D209" s="349"/>
      <c r="E209" s="349"/>
      <c r="F209" s="349"/>
      <c r="G209" s="309"/>
      <c r="H209" s="309"/>
      <c r="I209" s="309"/>
      <c r="J209" s="309"/>
      <c r="K209" s="309"/>
      <c r="L209" s="309"/>
      <c r="M209" s="309"/>
      <c r="N209" s="309"/>
      <c r="O209" s="309"/>
      <c r="P209" s="309"/>
      <c r="Q209" s="309"/>
      <c r="R209" s="304">
        <f>N65/L65</f>
        <v>5.2786785791348349E-3</v>
      </c>
      <c r="S209" s="272"/>
      <c r="T209" s="272"/>
      <c r="U209" s="340"/>
      <c r="V209" s="5"/>
    </row>
    <row r="210" spans="1:22" ht="15.6" x14ac:dyDescent="0.3">
      <c r="A210" s="348"/>
      <c r="B210" s="272" t="s">
        <v>82</v>
      </c>
      <c r="C210" s="349"/>
      <c r="D210" s="349"/>
      <c r="E210" s="349"/>
      <c r="F210" s="349"/>
      <c r="G210" s="309"/>
      <c r="H210" s="309"/>
      <c r="I210" s="309"/>
      <c r="J210" s="309"/>
      <c r="K210" s="309"/>
      <c r="L210" s="309"/>
      <c r="M210" s="309"/>
      <c r="N210" s="309"/>
      <c r="O210" s="309"/>
      <c r="P210" s="309"/>
      <c r="Q210" s="309"/>
      <c r="R210" s="304">
        <v>0.14069999999999999</v>
      </c>
      <c r="S210" s="272"/>
      <c r="T210" s="272"/>
      <c r="U210" s="340"/>
      <c r="V210" s="5"/>
    </row>
    <row r="211" spans="1:22" ht="15.6" x14ac:dyDescent="0.3">
      <c r="A211" s="210"/>
      <c r="B211" s="268"/>
      <c r="C211" s="268"/>
      <c r="D211" s="268"/>
      <c r="E211" s="268"/>
      <c r="F211" s="268"/>
      <c r="G211" s="268"/>
      <c r="H211" s="268"/>
      <c r="I211" s="268"/>
      <c r="J211" s="268"/>
      <c r="K211" s="268"/>
      <c r="L211" s="268"/>
      <c r="M211" s="268"/>
      <c r="N211" s="268"/>
      <c r="O211" s="268"/>
      <c r="P211" s="268"/>
      <c r="Q211" s="268"/>
      <c r="R211" s="344"/>
      <c r="S211" s="268"/>
      <c r="T211" s="347"/>
      <c r="U211" s="314"/>
      <c r="V211" s="5"/>
    </row>
    <row r="212" spans="1:22" ht="15.6" x14ac:dyDescent="0.3">
      <c r="A212" s="327"/>
      <c r="B212" s="259" t="s">
        <v>83</v>
      </c>
      <c r="C212" s="260"/>
      <c r="D212" s="260"/>
      <c r="E212" s="260"/>
      <c r="F212" s="261"/>
      <c r="G212" s="260"/>
      <c r="H212" s="260"/>
      <c r="I212" s="260"/>
      <c r="J212" s="260"/>
      <c r="K212" s="260"/>
      <c r="L212" s="260"/>
      <c r="M212" s="260"/>
      <c r="N212" s="260"/>
      <c r="O212" s="260"/>
      <c r="P212" s="260"/>
      <c r="Q212" s="260" t="s">
        <v>108</v>
      </c>
      <c r="R212" s="261" t="s">
        <v>115</v>
      </c>
      <c r="S212" s="262"/>
      <c r="T212" s="262"/>
      <c r="U212" s="262"/>
      <c r="V212" s="5"/>
    </row>
    <row r="213" spans="1:22" ht="15.6" x14ac:dyDescent="0.3">
      <c r="A213" s="214"/>
      <c r="B213" s="228" t="s">
        <v>84</v>
      </c>
      <c r="C213" s="231"/>
      <c r="D213" s="231"/>
      <c r="E213" s="231"/>
      <c r="F213" s="228"/>
      <c r="G213" s="228"/>
      <c r="H213" s="230"/>
      <c r="I213" s="230"/>
      <c r="J213" s="230"/>
      <c r="K213" s="230"/>
      <c r="L213" s="230"/>
      <c r="M213" s="230"/>
      <c r="N213" s="230"/>
      <c r="O213" s="230"/>
      <c r="P213" s="230"/>
      <c r="Q213" s="230">
        <v>1</v>
      </c>
      <c r="R213" s="248">
        <v>119</v>
      </c>
      <c r="S213" s="228"/>
      <c r="T213" s="247"/>
      <c r="U213" s="215"/>
      <c r="V213" s="5"/>
    </row>
    <row r="214" spans="1:22" ht="15.6" x14ac:dyDescent="0.3">
      <c r="A214" s="358"/>
      <c r="B214" s="272" t="s">
        <v>156</v>
      </c>
      <c r="C214" s="317"/>
      <c r="D214" s="317"/>
      <c r="E214" s="317"/>
      <c r="F214" s="272"/>
      <c r="G214" s="272"/>
      <c r="H214" s="279"/>
      <c r="I214" s="279"/>
      <c r="J214" s="279"/>
      <c r="K214" s="279"/>
      <c r="L214" s="279"/>
      <c r="M214" s="279"/>
      <c r="N214" s="279"/>
      <c r="O214" s="279"/>
      <c r="P214" s="279"/>
      <c r="Q214" s="359">
        <f>+P265</f>
        <v>68</v>
      </c>
      <c r="R214" s="360">
        <f>+R265</f>
        <v>10337</v>
      </c>
      <c r="S214" s="272"/>
      <c r="T214" s="361"/>
      <c r="U214" s="362"/>
      <c r="V214" s="5"/>
    </row>
    <row r="215" spans="1:22" ht="15.6" x14ac:dyDescent="0.3">
      <c r="A215" s="358"/>
      <c r="B215" s="272" t="s">
        <v>85</v>
      </c>
      <c r="C215" s="317"/>
      <c r="D215" s="317"/>
      <c r="E215" s="317"/>
      <c r="F215" s="272"/>
      <c r="G215" s="272"/>
      <c r="H215" s="279"/>
      <c r="I215" s="279"/>
      <c r="J215" s="279"/>
      <c r="K215" s="279"/>
      <c r="L215" s="279"/>
      <c r="M215" s="279"/>
      <c r="N215" s="279"/>
      <c r="O215" s="279"/>
      <c r="P215" s="279"/>
      <c r="Q215" s="359">
        <f>+P277</f>
        <v>0</v>
      </c>
      <c r="R215" s="360">
        <f>+R277</f>
        <v>0</v>
      </c>
      <c r="S215" s="272"/>
      <c r="T215" s="361"/>
      <c r="U215" s="362"/>
      <c r="V215" s="5"/>
    </row>
    <row r="216" spans="1:22" ht="15.6" x14ac:dyDescent="0.3">
      <c r="A216" s="358"/>
      <c r="B216" s="293" t="s">
        <v>86</v>
      </c>
      <c r="C216" s="363"/>
      <c r="D216" s="363"/>
      <c r="E216" s="363"/>
      <c r="F216" s="337"/>
      <c r="G216" s="337"/>
      <c r="H216" s="337"/>
      <c r="I216" s="337"/>
      <c r="J216" s="337"/>
      <c r="K216" s="337"/>
      <c r="L216" s="337"/>
      <c r="M216" s="337"/>
      <c r="N216" s="337"/>
      <c r="O216" s="337"/>
      <c r="P216" s="337"/>
      <c r="Q216" s="337"/>
      <c r="R216" s="360">
        <v>0</v>
      </c>
      <c r="S216" s="337"/>
      <c r="T216" s="364"/>
      <c r="U216" s="362"/>
      <c r="V216" s="5"/>
    </row>
    <row r="217" spans="1:22" ht="15.6" x14ac:dyDescent="0.3">
      <c r="A217" s="358"/>
      <c r="B217" s="293" t="s">
        <v>87</v>
      </c>
      <c r="C217" s="363"/>
      <c r="D217" s="363"/>
      <c r="E217" s="363"/>
      <c r="F217" s="337"/>
      <c r="G217" s="337"/>
      <c r="H217" s="337"/>
      <c r="I217" s="337"/>
      <c r="J217" s="337"/>
      <c r="K217" s="337"/>
      <c r="L217" s="337"/>
      <c r="M217" s="337"/>
      <c r="N217" s="337"/>
      <c r="O217" s="337"/>
      <c r="P217" s="337"/>
      <c r="Q217" s="337"/>
      <c r="R217" s="365" t="s">
        <v>116</v>
      </c>
      <c r="S217" s="337"/>
      <c r="T217" s="364"/>
      <c r="U217" s="362"/>
      <c r="V217" s="5"/>
    </row>
    <row r="218" spans="1:22" ht="15.6" x14ac:dyDescent="0.3">
      <c r="A218" s="366"/>
      <c r="B218" s="293" t="s">
        <v>88</v>
      </c>
      <c r="C218" s="367"/>
      <c r="D218" s="367"/>
      <c r="E218" s="367"/>
      <c r="F218" s="367"/>
      <c r="G218" s="337"/>
      <c r="H218" s="337"/>
      <c r="I218" s="337"/>
      <c r="J218" s="337"/>
      <c r="K218" s="337"/>
      <c r="L218" s="337"/>
      <c r="M218" s="337"/>
      <c r="N218" s="337"/>
      <c r="O218" s="337"/>
      <c r="P218" s="337"/>
      <c r="Q218" s="337"/>
      <c r="R218" s="368"/>
      <c r="S218" s="337"/>
      <c r="T218" s="364"/>
      <c r="U218" s="369"/>
      <c r="V218" s="5"/>
    </row>
    <row r="219" spans="1:22" ht="15.6" x14ac:dyDescent="0.3">
      <c r="A219" s="366"/>
      <c r="B219" s="272" t="s">
        <v>89</v>
      </c>
      <c r="C219" s="272"/>
      <c r="D219" s="272"/>
      <c r="E219" s="272"/>
      <c r="F219" s="272"/>
      <c r="G219" s="272"/>
      <c r="H219" s="272"/>
      <c r="I219" s="272"/>
      <c r="J219" s="272"/>
      <c r="K219" s="272"/>
      <c r="L219" s="272"/>
      <c r="M219" s="272"/>
      <c r="N219" s="272"/>
      <c r="O219" s="272"/>
      <c r="P219" s="272"/>
      <c r="Q219" s="279"/>
      <c r="R219" s="360">
        <f>T163</f>
        <v>157</v>
      </c>
      <c r="S219" s="272"/>
      <c r="T219" s="364"/>
      <c r="U219" s="369"/>
      <c r="V219" s="5"/>
    </row>
    <row r="220" spans="1:22" ht="15.6" x14ac:dyDescent="0.3">
      <c r="A220" s="358"/>
      <c r="B220" s="272" t="s">
        <v>90</v>
      </c>
      <c r="C220" s="317"/>
      <c r="D220" s="317"/>
      <c r="E220" s="317"/>
      <c r="F220" s="317"/>
      <c r="G220" s="272"/>
      <c r="H220" s="272"/>
      <c r="I220" s="272"/>
      <c r="J220" s="272"/>
      <c r="K220" s="272"/>
      <c r="L220" s="272"/>
      <c r="M220" s="272"/>
      <c r="N220" s="272"/>
      <c r="O220" s="272"/>
      <c r="P220" s="272"/>
      <c r="Q220" s="279"/>
      <c r="R220" s="360">
        <f>'Jan 11'!R220+'April 11'!R219</f>
        <v>3200</v>
      </c>
      <c r="S220" s="272"/>
      <c r="T220" s="364"/>
      <c r="U220" s="369"/>
      <c r="V220" s="5"/>
    </row>
    <row r="221" spans="1:22" ht="15.6" x14ac:dyDescent="0.3">
      <c r="A221" s="366"/>
      <c r="B221" s="293" t="s">
        <v>288</v>
      </c>
      <c r="C221" s="367"/>
      <c r="D221" s="367"/>
      <c r="E221" s="367"/>
      <c r="F221" s="367"/>
      <c r="G221" s="337"/>
      <c r="H221" s="337"/>
      <c r="I221" s="337"/>
      <c r="J221" s="337"/>
      <c r="K221" s="337"/>
      <c r="L221" s="337"/>
      <c r="M221" s="337"/>
      <c r="N221" s="337"/>
      <c r="O221" s="337"/>
      <c r="P221" s="337"/>
      <c r="Q221" s="374"/>
      <c r="R221" s="368"/>
      <c r="S221" s="337"/>
      <c r="T221" s="364"/>
      <c r="U221" s="369"/>
      <c r="V221" s="5"/>
    </row>
    <row r="222" spans="1:22" ht="15.6" x14ac:dyDescent="0.3">
      <c r="A222" s="375"/>
      <c r="B222" s="272" t="s">
        <v>286</v>
      </c>
      <c r="C222" s="272"/>
      <c r="D222" s="272"/>
      <c r="E222" s="272"/>
      <c r="F222" s="272"/>
      <c r="G222" s="272"/>
      <c r="H222" s="272"/>
      <c r="I222" s="272"/>
      <c r="J222" s="272"/>
      <c r="K222" s="272"/>
      <c r="L222" s="272"/>
      <c r="M222" s="272"/>
      <c r="N222" s="272"/>
      <c r="O222" s="272"/>
      <c r="P222" s="272"/>
      <c r="Q222" s="279">
        <v>0</v>
      </c>
      <c r="R222" s="360">
        <v>0</v>
      </c>
      <c r="S222" s="272"/>
      <c r="T222" s="361"/>
      <c r="U222" s="369"/>
      <c r="V222" s="5"/>
    </row>
    <row r="223" spans="1:22" ht="15.6" x14ac:dyDescent="0.3">
      <c r="A223" s="376"/>
      <c r="B223" s="272" t="s">
        <v>92</v>
      </c>
      <c r="C223" s="306"/>
      <c r="D223" s="306"/>
      <c r="E223" s="306"/>
      <c r="F223" s="377"/>
      <c r="G223" s="272"/>
      <c r="H223" s="272"/>
      <c r="I223" s="272"/>
      <c r="J223" s="272"/>
      <c r="K223" s="272"/>
      <c r="L223" s="272"/>
      <c r="M223" s="272"/>
      <c r="N223" s="272"/>
      <c r="O223" s="272"/>
      <c r="P223" s="272"/>
      <c r="Q223" s="279"/>
      <c r="R223" s="365">
        <v>0</v>
      </c>
      <c r="S223" s="272"/>
      <c r="T223" s="361"/>
      <c r="U223" s="369"/>
      <c r="V223" s="5"/>
    </row>
    <row r="224" spans="1:22" ht="15.6" x14ac:dyDescent="0.3">
      <c r="A224" s="376"/>
      <c r="B224" s="272" t="s">
        <v>93</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58"/>
      <c r="B225" s="293" t="s">
        <v>258</v>
      </c>
      <c r="C225" s="378"/>
      <c r="D225" s="378"/>
      <c r="E225" s="378"/>
      <c r="F225" s="379"/>
      <c r="G225" s="337"/>
      <c r="H225" s="337"/>
      <c r="I225" s="337"/>
      <c r="J225" s="337"/>
      <c r="K225" s="337"/>
      <c r="L225" s="337"/>
      <c r="M225" s="337"/>
      <c r="N225" s="337"/>
      <c r="O225" s="337"/>
      <c r="P225" s="337"/>
      <c r="Q225" s="374"/>
      <c r="R225" s="380"/>
      <c r="S225" s="337"/>
      <c r="T225" s="364"/>
      <c r="U225" s="369"/>
      <c r="V225" s="5"/>
    </row>
    <row r="226" spans="1:23" ht="15.6" x14ac:dyDescent="0.3">
      <c r="A226" s="376"/>
      <c r="B226" s="272" t="s">
        <v>286</v>
      </c>
      <c r="C226" s="306"/>
      <c r="D226" s="306"/>
      <c r="E226" s="306"/>
      <c r="F226" s="377"/>
      <c r="G226" s="272"/>
      <c r="H226" s="272"/>
      <c r="I226" s="272"/>
      <c r="J226" s="272"/>
      <c r="K226" s="272"/>
      <c r="L226" s="272"/>
      <c r="M226" s="272"/>
      <c r="N226" s="272"/>
      <c r="O226" s="272"/>
      <c r="P226" s="272"/>
      <c r="Q226" s="279">
        <v>4</v>
      </c>
      <c r="R226" s="360">
        <v>343</v>
      </c>
      <c r="S226" s="272"/>
      <c r="T226" s="364"/>
      <c r="U226" s="369"/>
      <c r="V226" s="5"/>
    </row>
    <row r="227" spans="1:23" ht="15.6" x14ac:dyDescent="0.3">
      <c r="A227" s="376"/>
      <c r="B227" s="272" t="s">
        <v>259</v>
      </c>
      <c r="C227" s="306"/>
      <c r="D227" s="306"/>
      <c r="E227" s="306"/>
      <c r="F227" s="377"/>
      <c r="G227" s="272"/>
      <c r="H227" s="272"/>
      <c r="I227" s="272"/>
      <c r="J227" s="272"/>
      <c r="K227" s="272"/>
      <c r="L227" s="272"/>
      <c r="M227" s="272"/>
      <c r="N227" s="272"/>
      <c r="O227" s="272"/>
      <c r="P227" s="272"/>
      <c r="Q227" s="272"/>
      <c r="R227" s="365">
        <v>4.84</v>
      </c>
      <c r="S227" s="272"/>
      <c r="T227" s="364"/>
      <c r="U227" s="369"/>
      <c r="V227" s="5"/>
    </row>
    <row r="228" spans="1:23" ht="15.6" x14ac:dyDescent="0.3">
      <c r="A228" s="358"/>
      <c r="B228" s="367"/>
      <c r="C228" s="378"/>
      <c r="D228" s="378"/>
      <c r="E228" s="378"/>
      <c r="F228" s="379"/>
      <c r="G228" s="337"/>
      <c r="H228" s="337"/>
      <c r="I228" s="337"/>
      <c r="J228" s="337"/>
      <c r="K228" s="337"/>
      <c r="L228" s="337"/>
      <c r="M228" s="337"/>
      <c r="N228" s="337"/>
      <c r="O228" s="337"/>
      <c r="P228" s="337"/>
      <c r="Q228" s="337"/>
      <c r="R228" s="381"/>
      <c r="S228" s="337"/>
      <c r="T228" s="364"/>
      <c r="U228" s="369"/>
      <c r="V228" s="5"/>
    </row>
    <row r="229" spans="1:23" ht="17.399999999999999" x14ac:dyDescent="0.3">
      <c r="A229" s="358"/>
      <c r="B229" s="382" t="s">
        <v>208</v>
      </c>
      <c r="C229" s="378"/>
      <c r="D229" s="378"/>
      <c r="E229" s="378"/>
      <c r="F229" s="379"/>
      <c r="G229" s="337"/>
      <c r="H229" s="337"/>
      <c r="I229" s="337"/>
      <c r="J229" s="337"/>
      <c r="K229" s="337"/>
      <c r="L229" s="337"/>
      <c r="M229" s="337"/>
      <c r="N229" s="383" t="s">
        <v>207</v>
      </c>
      <c r="O229" s="337"/>
      <c r="P229" s="337"/>
      <c r="Q229" s="337"/>
      <c r="R229" s="381"/>
      <c r="S229" s="337"/>
      <c r="T229" s="364"/>
      <c r="U229" s="369"/>
      <c r="V229" s="5"/>
    </row>
    <row r="230" spans="1:23" ht="15.6" x14ac:dyDescent="0.3">
      <c r="A230" s="351"/>
      <c r="B230" s="352"/>
      <c r="C230" s="353"/>
      <c r="D230" s="353"/>
      <c r="E230" s="353"/>
      <c r="F230" s="354"/>
      <c r="G230" s="314"/>
      <c r="H230" s="314"/>
      <c r="I230" s="314"/>
      <c r="J230" s="314"/>
      <c r="K230" s="314"/>
      <c r="L230" s="314"/>
      <c r="M230" s="314"/>
      <c r="N230" s="314"/>
      <c r="O230" s="314"/>
      <c r="P230" s="314"/>
      <c r="Q230" s="314"/>
      <c r="R230" s="355"/>
      <c r="S230" s="314"/>
      <c r="T230" s="356"/>
      <c r="U230" s="357"/>
      <c r="V230" s="5"/>
    </row>
    <row r="231" spans="1:23" ht="15.6" x14ac:dyDescent="0.3">
      <c r="A231" s="258"/>
      <c r="B231" s="259" t="s">
        <v>302</v>
      </c>
      <c r="C231" s="260"/>
      <c r="D231" s="260"/>
      <c r="E231" s="260"/>
      <c r="F231" s="261"/>
      <c r="G231" s="260"/>
      <c r="H231" s="260"/>
      <c r="I231" s="260"/>
      <c r="J231" s="260"/>
      <c r="K231" s="260"/>
      <c r="L231" s="260"/>
      <c r="M231" s="260"/>
      <c r="N231" s="260"/>
      <c r="O231" s="260"/>
      <c r="P231" s="261" t="s">
        <v>108</v>
      </c>
      <c r="Q231" s="260" t="s">
        <v>109</v>
      </c>
      <c r="R231" s="261" t="s">
        <v>117</v>
      </c>
      <c r="S231" s="260" t="s">
        <v>109</v>
      </c>
      <c r="T231" s="262"/>
      <c r="U231" s="259"/>
      <c r="V231" s="5"/>
    </row>
    <row r="232" spans="1:23" ht="15.6" x14ac:dyDescent="0.3">
      <c r="A232" s="232"/>
      <c r="B232" s="231" t="s">
        <v>94</v>
      </c>
      <c r="C232" s="249"/>
      <c r="D232" s="249"/>
      <c r="E232" s="249"/>
      <c r="F232" s="228"/>
      <c r="G232" s="249"/>
      <c r="H232" s="249"/>
      <c r="I232" s="249"/>
      <c r="J232" s="249"/>
      <c r="K232" s="249"/>
      <c r="L232" s="249"/>
      <c r="M232" s="249"/>
      <c r="N232" s="249"/>
      <c r="O232" s="249"/>
      <c r="P232" s="317">
        <f t="shared" ref="P232:P239" si="1">+P244+P256+P268</f>
        <v>2627</v>
      </c>
      <c r="Q232" s="388">
        <f t="shared" ref="Q232:Q239" si="2">P232/$P$241</f>
        <v>0.98611111111111116</v>
      </c>
      <c r="R232" s="318">
        <f t="shared" ref="R232:R239" si="3">+R244+R256+R268</f>
        <v>311675</v>
      </c>
      <c r="S232" s="388">
        <f t="shared" ref="S232:S239" si="4">R232/$R$241</f>
        <v>0.97887569448588418</v>
      </c>
      <c r="T232" s="247"/>
      <c r="U232" s="229"/>
      <c r="V232" s="5"/>
    </row>
    <row r="233" spans="1:23" ht="15.6" x14ac:dyDescent="0.3">
      <c r="A233" s="302"/>
      <c r="B233" s="317" t="s">
        <v>95</v>
      </c>
      <c r="C233" s="387"/>
      <c r="D233" s="387"/>
      <c r="E233" s="387"/>
      <c r="F233" s="272"/>
      <c r="G233" s="388"/>
      <c r="H233" s="387"/>
      <c r="I233" s="387"/>
      <c r="J233" s="387"/>
      <c r="K233" s="387"/>
      <c r="L233" s="387"/>
      <c r="M233" s="387"/>
      <c r="N233" s="387"/>
      <c r="O233" s="387"/>
      <c r="P233" s="317">
        <f t="shared" si="1"/>
        <v>18</v>
      </c>
      <c r="Q233" s="388">
        <f t="shared" si="2"/>
        <v>6.7567567567567571E-3</v>
      </c>
      <c r="R233" s="318">
        <f t="shared" si="3"/>
        <v>3614</v>
      </c>
      <c r="S233" s="388">
        <f t="shared" si="4"/>
        <v>1.1350466864111607E-2</v>
      </c>
      <c r="T233" s="361"/>
      <c r="U233" s="389"/>
      <c r="V233" s="5"/>
      <c r="W233" s="110"/>
    </row>
    <row r="234" spans="1:23" ht="15.6" x14ac:dyDescent="0.3">
      <c r="A234" s="302"/>
      <c r="B234" s="317" t="s">
        <v>96</v>
      </c>
      <c r="C234" s="387"/>
      <c r="D234" s="387"/>
      <c r="E234" s="387"/>
      <c r="F234" s="272"/>
      <c r="G234" s="388"/>
      <c r="H234" s="387"/>
      <c r="I234" s="387"/>
      <c r="J234" s="387"/>
      <c r="K234" s="387"/>
      <c r="L234" s="387"/>
      <c r="M234" s="387"/>
      <c r="N234" s="387"/>
      <c r="O234" s="387"/>
      <c r="P234" s="317">
        <f t="shared" si="1"/>
        <v>4</v>
      </c>
      <c r="Q234" s="388">
        <f t="shared" si="2"/>
        <v>1.5015015015015015E-3</v>
      </c>
      <c r="R234" s="318">
        <f t="shared" si="3"/>
        <v>607</v>
      </c>
      <c r="S234" s="388">
        <f t="shared" si="4"/>
        <v>1.9064010477354029E-3</v>
      </c>
      <c r="T234" s="361"/>
      <c r="U234" s="389"/>
      <c r="V234" s="5"/>
    </row>
    <row r="235" spans="1:23" ht="15.6" x14ac:dyDescent="0.3">
      <c r="A235" s="302"/>
      <c r="B235" s="317" t="s">
        <v>171</v>
      </c>
      <c r="C235" s="387"/>
      <c r="D235" s="387"/>
      <c r="E235" s="387"/>
      <c r="F235" s="272"/>
      <c r="G235" s="388"/>
      <c r="H235" s="387"/>
      <c r="I235" s="387"/>
      <c r="J235" s="387"/>
      <c r="K235" s="387"/>
      <c r="L235" s="387"/>
      <c r="M235" s="387"/>
      <c r="N235" s="387"/>
      <c r="O235" s="387"/>
      <c r="P235" s="317">
        <f t="shared" si="1"/>
        <v>3</v>
      </c>
      <c r="Q235" s="388">
        <f t="shared" si="2"/>
        <v>1.1261261261261261E-3</v>
      </c>
      <c r="R235" s="318">
        <f t="shared" si="3"/>
        <v>320</v>
      </c>
      <c r="S235" s="388">
        <f t="shared" si="4"/>
        <v>1.0050219691521069E-3</v>
      </c>
      <c r="T235" s="361"/>
      <c r="U235" s="389"/>
      <c r="V235" s="5"/>
      <c r="W235" s="110"/>
    </row>
    <row r="236" spans="1:23" ht="15.6" x14ac:dyDescent="0.3">
      <c r="A236" s="302"/>
      <c r="B236" s="317" t="s">
        <v>172</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row>
    <row r="237" spans="1:23" ht="15.6" x14ac:dyDescent="0.3">
      <c r="A237" s="302"/>
      <c r="B237" s="317" t="s">
        <v>173</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c r="W237" s="110"/>
    </row>
    <row r="238" spans="1:23" ht="15.6" x14ac:dyDescent="0.3">
      <c r="A238" s="302"/>
      <c r="B238" s="317" t="s">
        <v>174</v>
      </c>
      <c r="C238" s="387"/>
      <c r="D238" s="387"/>
      <c r="E238" s="387"/>
      <c r="F238" s="272"/>
      <c r="G238" s="388"/>
      <c r="H238" s="387"/>
      <c r="I238" s="387"/>
      <c r="J238" s="387"/>
      <c r="K238" s="387"/>
      <c r="L238" s="387"/>
      <c r="M238" s="387"/>
      <c r="N238" s="387"/>
      <c r="O238" s="387"/>
      <c r="P238" s="317">
        <f t="shared" si="1"/>
        <v>2</v>
      </c>
      <c r="Q238" s="388">
        <f t="shared" si="2"/>
        <v>7.5075075075075074E-4</v>
      </c>
      <c r="R238" s="318">
        <f t="shared" si="3"/>
        <v>219</v>
      </c>
      <c r="S238" s="388">
        <f t="shared" si="4"/>
        <v>6.8781191013847314E-4</v>
      </c>
      <c r="T238" s="361"/>
      <c r="U238" s="389"/>
      <c r="V238" s="5"/>
    </row>
    <row r="239" spans="1:23" ht="15.6" x14ac:dyDescent="0.3">
      <c r="A239" s="302"/>
      <c r="B239" s="317" t="s">
        <v>175</v>
      </c>
      <c r="C239" s="387"/>
      <c r="D239" s="387"/>
      <c r="E239" s="387"/>
      <c r="F239" s="272"/>
      <c r="G239" s="388"/>
      <c r="H239" s="387"/>
      <c r="I239" s="387"/>
      <c r="J239" s="387"/>
      <c r="K239" s="387"/>
      <c r="L239" s="387"/>
      <c r="M239" s="387"/>
      <c r="N239" s="387"/>
      <c r="O239" s="387"/>
      <c r="P239" s="317">
        <f t="shared" si="1"/>
        <v>10</v>
      </c>
      <c r="Q239" s="388">
        <f t="shared" si="2"/>
        <v>3.7537537537537537E-3</v>
      </c>
      <c r="R239" s="318">
        <f t="shared" si="3"/>
        <v>1966</v>
      </c>
      <c r="S239" s="388">
        <f t="shared" si="4"/>
        <v>6.174603722978257E-3</v>
      </c>
      <c r="T239" s="361"/>
      <c r="U239" s="389"/>
      <c r="V239" s="5"/>
      <c r="W239" s="110"/>
    </row>
    <row r="240" spans="1:23" ht="15.6" x14ac:dyDescent="0.3">
      <c r="A240" s="302"/>
      <c r="B240" s="317"/>
      <c r="C240" s="387"/>
      <c r="D240" s="387"/>
      <c r="E240" s="387"/>
      <c r="F240" s="272"/>
      <c r="G240" s="388"/>
      <c r="H240" s="387"/>
      <c r="I240" s="387"/>
      <c r="J240" s="387"/>
      <c r="K240" s="387"/>
      <c r="L240" s="387"/>
      <c r="M240" s="387"/>
      <c r="N240" s="387"/>
      <c r="O240" s="387"/>
      <c r="P240" s="317"/>
      <c r="Q240" s="388"/>
      <c r="R240" s="318"/>
      <c r="S240" s="388"/>
      <c r="T240" s="361"/>
      <c r="U240" s="389"/>
      <c r="V240" s="5"/>
    </row>
    <row r="241" spans="1:23" ht="15.6" x14ac:dyDescent="0.3">
      <c r="A241" s="302"/>
      <c r="B241" s="272"/>
      <c r="C241" s="272"/>
      <c r="D241" s="272"/>
      <c r="E241" s="272"/>
      <c r="F241" s="272"/>
      <c r="G241" s="272"/>
      <c r="H241" s="390"/>
      <c r="I241" s="390"/>
      <c r="J241" s="390"/>
      <c r="K241" s="390"/>
      <c r="L241" s="390"/>
      <c r="M241" s="390"/>
      <c r="N241" s="390"/>
      <c r="O241" s="390"/>
      <c r="P241" s="317">
        <f>SUM(P232:P240)</f>
        <v>2664</v>
      </c>
      <c r="Q241" s="388">
        <f>SUM(Q232:Q240)</f>
        <v>1.0000000000000002</v>
      </c>
      <c r="R241" s="318">
        <f>SUM(R232:R240)</f>
        <v>318401</v>
      </c>
      <c r="S241" s="388">
        <f>SUM(S232:S240)</f>
        <v>1</v>
      </c>
      <c r="T241" s="272"/>
      <c r="U241" s="275"/>
      <c r="V241" s="5"/>
    </row>
    <row r="242" spans="1:23" ht="15.6" x14ac:dyDescent="0.3">
      <c r="A242" s="351"/>
      <c r="B242" s="352"/>
      <c r="C242" s="353"/>
      <c r="D242" s="353"/>
      <c r="E242" s="353"/>
      <c r="F242" s="354"/>
      <c r="G242" s="314"/>
      <c r="H242" s="314"/>
      <c r="I242" s="314"/>
      <c r="J242" s="314"/>
      <c r="K242" s="314"/>
      <c r="L242" s="314"/>
      <c r="M242" s="314"/>
      <c r="N242" s="314"/>
      <c r="O242" s="314"/>
      <c r="P242" s="314"/>
      <c r="Q242" s="314"/>
      <c r="R242" s="355"/>
      <c r="S242" s="314"/>
      <c r="T242" s="356"/>
      <c r="U242" s="357"/>
      <c r="V242" s="5"/>
    </row>
    <row r="243" spans="1:23" ht="15.6" x14ac:dyDescent="0.3">
      <c r="A243" s="258"/>
      <c r="B243" s="259" t="s">
        <v>177</v>
      </c>
      <c r="C243" s="260"/>
      <c r="D243" s="260"/>
      <c r="E243" s="260"/>
      <c r="F243" s="261"/>
      <c r="G243" s="260"/>
      <c r="H243" s="260"/>
      <c r="I243" s="260"/>
      <c r="J243" s="260"/>
      <c r="K243" s="260"/>
      <c r="L243" s="260"/>
      <c r="M243" s="260"/>
      <c r="N243" s="260"/>
      <c r="O243" s="260"/>
      <c r="P243" s="261" t="s">
        <v>108</v>
      </c>
      <c r="Q243" s="260" t="s">
        <v>109</v>
      </c>
      <c r="R243" s="261" t="s">
        <v>117</v>
      </c>
      <c r="S243" s="260" t="s">
        <v>109</v>
      </c>
      <c r="T243" s="262"/>
      <c r="U243" s="259"/>
      <c r="V243" s="5"/>
    </row>
    <row r="244" spans="1:23" ht="15.6" x14ac:dyDescent="0.3">
      <c r="A244" s="232"/>
      <c r="B244" s="231" t="s">
        <v>94</v>
      </c>
      <c r="C244" s="249"/>
      <c r="D244" s="249"/>
      <c r="E244" s="249"/>
      <c r="F244" s="228"/>
      <c r="G244" s="249"/>
      <c r="H244" s="249"/>
      <c r="I244" s="249"/>
      <c r="J244" s="249"/>
      <c r="K244" s="249"/>
      <c r="L244" s="249"/>
      <c r="M244" s="249"/>
      <c r="N244" s="249"/>
      <c r="O244" s="249"/>
      <c r="P244" s="231">
        <v>2577</v>
      </c>
      <c r="Q244" s="250">
        <f t="shared" ref="Q244:Q251" si="5">P244/$P$253</f>
        <v>0.99268104776579358</v>
      </c>
      <c r="R244" s="242">
        <v>304537</v>
      </c>
      <c r="S244" s="250">
        <f t="shared" ref="S244:S251" si="6">R244/$R$253</f>
        <v>0.9885510802950036</v>
      </c>
      <c r="T244" s="247"/>
      <c r="U244" s="229"/>
      <c r="V244" s="5"/>
    </row>
    <row r="245" spans="1:23" ht="15.6" x14ac:dyDescent="0.3">
      <c r="A245" s="302"/>
      <c r="B245" s="317" t="s">
        <v>95</v>
      </c>
      <c r="C245" s="387"/>
      <c r="D245" s="387"/>
      <c r="E245" s="387"/>
      <c r="F245" s="272"/>
      <c r="G245" s="388"/>
      <c r="H245" s="387"/>
      <c r="I245" s="387"/>
      <c r="J245" s="387"/>
      <c r="K245" s="387"/>
      <c r="L245" s="387"/>
      <c r="M245" s="387"/>
      <c r="N245" s="387"/>
      <c r="O245" s="387"/>
      <c r="P245" s="317">
        <v>16</v>
      </c>
      <c r="Q245" s="388">
        <f t="shared" si="5"/>
        <v>6.1633281972265025E-3</v>
      </c>
      <c r="R245" s="318">
        <v>3062</v>
      </c>
      <c r="S245" s="388">
        <f t="shared" si="6"/>
        <v>9.9394930923444487E-3</v>
      </c>
      <c r="T245" s="361"/>
      <c r="U245" s="389"/>
      <c r="V245" s="5"/>
      <c r="W245" s="110"/>
    </row>
    <row r="246" spans="1:23" ht="15.6" x14ac:dyDescent="0.3">
      <c r="A246" s="302"/>
      <c r="B246" s="317" t="s">
        <v>96</v>
      </c>
      <c r="C246" s="387"/>
      <c r="D246" s="387"/>
      <c r="E246" s="387"/>
      <c r="F246" s="272"/>
      <c r="G246" s="388"/>
      <c r="H246" s="387"/>
      <c r="I246" s="387"/>
      <c r="J246" s="387"/>
      <c r="K246" s="387"/>
      <c r="L246" s="387"/>
      <c r="M246" s="387"/>
      <c r="N246" s="387"/>
      <c r="O246" s="387"/>
      <c r="P246" s="317">
        <v>0</v>
      </c>
      <c r="Q246" s="388">
        <f t="shared" si="5"/>
        <v>0</v>
      </c>
      <c r="R246" s="318">
        <v>0</v>
      </c>
      <c r="S246" s="388">
        <f t="shared" si="6"/>
        <v>0</v>
      </c>
      <c r="T246" s="361"/>
      <c r="U246" s="389"/>
      <c r="V246" s="5"/>
    </row>
    <row r="247" spans="1:23" ht="15.6" x14ac:dyDescent="0.3">
      <c r="A247" s="302"/>
      <c r="B247" s="317" t="s">
        <v>171</v>
      </c>
      <c r="C247" s="387"/>
      <c r="D247" s="387"/>
      <c r="E247" s="387"/>
      <c r="F247" s="272"/>
      <c r="G247" s="388"/>
      <c r="H247" s="387"/>
      <c r="I247" s="387"/>
      <c r="J247" s="387"/>
      <c r="K247" s="387"/>
      <c r="L247" s="387"/>
      <c r="M247" s="387"/>
      <c r="N247" s="387"/>
      <c r="O247" s="387"/>
      <c r="P247" s="317">
        <v>1</v>
      </c>
      <c r="Q247" s="388">
        <f t="shared" si="5"/>
        <v>3.8520801232665641E-4</v>
      </c>
      <c r="R247" s="318">
        <v>94</v>
      </c>
      <c r="S247" s="388">
        <f t="shared" si="6"/>
        <v>3.0513140126726913E-4</v>
      </c>
      <c r="T247" s="361"/>
      <c r="U247" s="389"/>
      <c r="V247" s="5"/>
      <c r="W247" s="110"/>
    </row>
    <row r="248" spans="1:23" ht="15.6" x14ac:dyDescent="0.3">
      <c r="A248" s="302"/>
      <c r="B248" s="317" t="s">
        <v>172</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row>
    <row r="249" spans="1:23" ht="15.6" x14ac:dyDescent="0.3">
      <c r="A249" s="302"/>
      <c r="B249" s="317" t="s">
        <v>173</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c r="W249" s="110"/>
    </row>
    <row r="250" spans="1:23" ht="15.6" x14ac:dyDescent="0.3">
      <c r="A250" s="302"/>
      <c r="B250" s="317" t="s">
        <v>174</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row>
    <row r="251" spans="1:23" ht="15.6" x14ac:dyDescent="0.3">
      <c r="A251" s="302"/>
      <c r="B251" s="317" t="s">
        <v>175</v>
      </c>
      <c r="C251" s="387"/>
      <c r="D251" s="387"/>
      <c r="E251" s="387"/>
      <c r="F251" s="272"/>
      <c r="G251" s="388"/>
      <c r="H251" s="387"/>
      <c r="I251" s="387"/>
      <c r="J251" s="387"/>
      <c r="K251" s="387"/>
      <c r="L251" s="387"/>
      <c r="M251" s="387"/>
      <c r="N251" s="387"/>
      <c r="O251" s="387"/>
      <c r="P251" s="317">
        <v>2</v>
      </c>
      <c r="Q251" s="388">
        <f t="shared" si="5"/>
        <v>7.7041602465331282E-4</v>
      </c>
      <c r="R251" s="318">
        <v>371</v>
      </c>
      <c r="S251" s="388">
        <f t="shared" si="6"/>
        <v>1.2042952113846474E-3</v>
      </c>
      <c r="T251" s="361"/>
      <c r="U251" s="389"/>
      <c r="V251" s="5"/>
      <c r="W251" s="110"/>
    </row>
    <row r="252" spans="1:23" ht="15.6" x14ac:dyDescent="0.3">
      <c r="A252" s="302"/>
      <c r="B252" s="317"/>
      <c r="C252" s="387"/>
      <c r="D252" s="387"/>
      <c r="E252" s="387"/>
      <c r="F252" s="272"/>
      <c r="G252" s="388"/>
      <c r="H252" s="387"/>
      <c r="I252" s="387"/>
      <c r="J252" s="387"/>
      <c r="K252" s="387"/>
      <c r="L252" s="387"/>
      <c r="M252" s="387"/>
      <c r="N252" s="387"/>
      <c r="O252" s="387"/>
      <c r="P252" s="317"/>
      <c r="Q252" s="388"/>
      <c r="R252" s="318"/>
      <c r="S252" s="388"/>
      <c r="T252" s="361"/>
      <c r="U252" s="389"/>
      <c r="V252" s="5"/>
    </row>
    <row r="253" spans="1:23" ht="15.6" x14ac:dyDescent="0.3">
      <c r="A253" s="302"/>
      <c r="B253" s="272"/>
      <c r="C253" s="272"/>
      <c r="D253" s="272"/>
      <c r="E253" s="272"/>
      <c r="F253" s="272"/>
      <c r="G253" s="272"/>
      <c r="H253" s="390"/>
      <c r="I253" s="390"/>
      <c r="J253" s="390"/>
      <c r="K253" s="390"/>
      <c r="L253" s="390"/>
      <c r="M253" s="390"/>
      <c r="N253" s="390"/>
      <c r="O253" s="390"/>
      <c r="P253" s="317">
        <f>SUM(P244:P252)</f>
        <v>2596</v>
      </c>
      <c r="Q253" s="388">
        <f>SUM(Q244:Q252)</f>
        <v>1</v>
      </c>
      <c r="R253" s="318">
        <f>SUM(R244:R252)</f>
        <v>308064</v>
      </c>
      <c r="S253" s="388">
        <f>SUM(S244:S252)</f>
        <v>1</v>
      </c>
      <c r="T253" s="272"/>
      <c r="U253" s="275"/>
      <c r="V253" s="5"/>
    </row>
    <row r="254" spans="1:23" ht="15.6" x14ac:dyDescent="0.3">
      <c r="A254" s="177"/>
      <c r="B254" s="314"/>
      <c r="C254" s="314"/>
      <c r="D254" s="314"/>
      <c r="E254" s="314"/>
      <c r="F254" s="314"/>
      <c r="G254" s="314"/>
      <c r="H254" s="384"/>
      <c r="I254" s="384"/>
      <c r="J254" s="384"/>
      <c r="K254" s="384"/>
      <c r="L254" s="384"/>
      <c r="M254" s="384"/>
      <c r="N254" s="384"/>
      <c r="O254" s="384"/>
      <c r="P254" s="315"/>
      <c r="Q254" s="385"/>
      <c r="R254" s="386"/>
      <c r="S254" s="385"/>
      <c r="T254" s="314"/>
      <c r="U254" s="314"/>
      <c r="V254" s="5"/>
    </row>
    <row r="255" spans="1:23" ht="15.6" x14ac:dyDescent="0.3">
      <c r="A255" s="263"/>
      <c r="B255" s="259" t="s">
        <v>279</v>
      </c>
      <c r="C255" s="260"/>
      <c r="D255" s="260"/>
      <c r="E255" s="260"/>
      <c r="F255" s="261"/>
      <c r="G255" s="260"/>
      <c r="H255" s="260"/>
      <c r="I255" s="260"/>
      <c r="J255" s="260"/>
      <c r="K255" s="260"/>
      <c r="L255" s="260"/>
      <c r="M255" s="260"/>
      <c r="N255" s="260"/>
      <c r="O255" s="260"/>
      <c r="P255" s="261" t="s">
        <v>108</v>
      </c>
      <c r="Q255" s="260" t="s">
        <v>109</v>
      </c>
      <c r="R255" s="261" t="s">
        <v>117</v>
      </c>
      <c r="S255" s="260" t="s">
        <v>109</v>
      </c>
      <c r="T255" s="264"/>
      <c r="U255" s="265"/>
      <c r="V255" s="5"/>
    </row>
    <row r="256" spans="1:23" ht="15.6" x14ac:dyDescent="0.3">
      <c r="A256" s="232"/>
      <c r="B256" s="231" t="s">
        <v>94</v>
      </c>
      <c r="C256" s="249"/>
      <c r="D256" s="249"/>
      <c r="E256" s="249"/>
      <c r="F256" s="228"/>
      <c r="G256" s="249"/>
      <c r="H256" s="249"/>
      <c r="I256" s="249"/>
      <c r="J256" s="249"/>
      <c r="K256" s="249"/>
      <c r="L256" s="249"/>
      <c r="M256" s="249"/>
      <c r="N256" s="249"/>
      <c r="O256" s="249"/>
      <c r="P256" s="231">
        <v>50</v>
      </c>
      <c r="Q256" s="250">
        <f t="shared" ref="Q256:Q263" si="7">P256/$P$265</f>
        <v>0.73529411764705888</v>
      </c>
      <c r="R256" s="242">
        <v>7138</v>
      </c>
      <c r="S256" s="250">
        <f t="shared" ref="S256:S263" si="8">R256/$R$265</f>
        <v>0.69052916706974943</v>
      </c>
      <c r="T256" s="228"/>
      <c r="U256" s="194"/>
      <c r="V256" s="5"/>
    </row>
    <row r="257" spans="1:22" ht="15.6" x14ac:dyDescent="0.3">
      <c r="A257" s="302"/>
      <c r="B257" s="317" t="s">
        <v>95</v>
      </c>
      <c r="C257" s="387"/>
      <c r="D257" s="387"/>
      <c r="E257" s="387"/>
      <c r="F257" s="272"/>
      <c r="G257" s="388"/>
      <c r="H257" s="387"/>
      <c r="I257" s="387"/>
      <c r="J257" s="387"/>
      <c r="K257" s="387"/>
      <c r="L257" s="387"/>
      <c r="M257" s="387"/>
      <c r="N257" s="387"/>
      <c r="O257" s="387"/>
      <c r="P257" s="317">
        <v>2</v>
      </c>
      <c r="Q257" s="388">
        <f t="shared" si="7"/>
        <v>2.9411764705882353E-2</v>
      </c>
      <c r="R257" s="318">
        <v>552</v>
      </c>
      <c r="S257" s="388">
        <f t="shared" si="8"/>
        <v>5.3400406307439294E-2</v>
      </c>
      <c r="T257" s="272"/>
      <c r="U257" s="340"/>
      <c r="V257" s="5"/>
    </row>
    <row r="258" spans="1:22" ht="15.6" x14ac:dyDescent="0.3">
      <c r="A258" s="302"/>
      <c r="B258" s="317" t="s">
        <v>96</v>
      </c>
      <c r="C258" s="387"/>
      <c r="D258" s="387"/>
      <c r="E258" s="387"/>
      <c r="F258" s="272"/>
      <c r="G258" s="388"/>
      <c r="H258" s="387"/>
      <c r="I258" s="387"/>
      <c r="J258" s="387"/>
      <c r="K258" s="387"/>
      <c r="L258" s="387"/>
      <c r="M258" s="387"/>
      <c r="N258" s="387"/>
      <c r="O258" s="387"/>
      <c r="P258" s="317">
        <v>4</v>
      </c>
      <c r="Q258" s="388">
        <f t="shared" si="7"/>
        <v>5.8823529411764705E-2</v>
      </c>
      <c r="R258" s="318">
        <v>607</v>
      </c>
      <c r="S258" s="388">
        <f t="shared" si="8"/>
        <v>5.8721098964883429E-2</v>
      </c>
      <c r="T258" s="272"/>
      <c r="U258" s="340"/>
      <c r="V258" s="5"/>
    </row>
    <row r="259" spans="1:22" ht="15.6" x14ac:dyDescent="0.3">
      <c r="A259" s="302"/>
      <c r="B259" s="317" t="s">
        <v>171</v>
      </c>
      <c r="C259" s="387"/>
      <c r="D259" s="387"/>
      <c r="E259" s="387"/>
      <c r="F259" s="272"/>
      <c r="G259" s="388"/>
      <c r="H259" s="387"/>
      <c r="I259" s="387"/>
      <c r="J259" s="387"/>
      <c r="K259" s="387"/>
      <c r="L259" s="387"/>
      <c r="M259" s="387"/>
      <c r="N259" s="387"/>
      <c r="O259" s="387"/>
      <c r="P259" s="317">
        <v>2</v>
      </c>
      <c r="Q259" s="388">
        <f t="shared" si="7"/>
        <v>2.9411764705882353E-2</v>
      </c>
      <c r="R259" s="318">
        <v>226</v>
      </c>
      <c r="S259" s="388">
        <f t="shared" si="8"/>
        <v>2.1863209828770436E-2</v>
      </c>
      <c r="T259" s="272"/>
      <c r="U259" s="340"/>
      <c r="V259" s="5"/>
    </row>
    <row r="260" spans="1:22" ht="15.6" x14ac:dyDescent="0.3">
      <c r="A260" s="302"/>
      <c r="B260" s="317" t="s">
        <v>172</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173</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174</v>
      </c>
      <c r="C262" s="387"/>
      <c r="D262" s="387"/>
      <c r="E262" s="387"/>
      <c r="F262" s="272"/>
      <c r="G262" s="388"/>
      <c r="H262" s="387"/>
      <c r="I262" s="387"/>
      <c r="J262" s="387"/>
      <c r="K262" s="387"/>
      <c r="L262" s="387"/>
      <c r="M262" s="387"/>
      <c r="N262" s="387"/>
      <c r="O262" s="387"/>
      <c r="P262" s="317">
        <v>2</v>
      </c>
      <c r="Q262" s="388">
        <f t="shared" si="7"/>
        <v>2.9411764705882353E-2</v>
      </c>
      <c r="R262" s="318">
        <v>219</v>
      </c>
      <c r="S262" s="388">
        <f t="shared" si="8"/>
        <v>2.1186030763277547E-2</v>
      </c>
      <c r="T262" s="272"/>
      <c r="U262" s="340"/>
      <c r="V262" s="5"/>
    </row>
    <row r="263" spans="1:22" ht="15.6" x14ac:dyDescent="0.3">
      <c r="A263" s="302"/>
      <c r="B263" s="317" t="s">
        <v>175</v>
      </c>
      <c r="C263" s="387"/>
      <c r="D263" s="387"/>
      <c r="E263" s="387"/>
      <c r="F263" s="272"/>
      <c r="G263" s="388"/>
      <c r="H263" s="387"/>
      <c r="I263" s="387"/>
      <c r="J263" s="387"/>
      <c r="K263" s="387"/>
      <c r="L263" s="387"/>
      <c r="M263" s="387"/>
      <c r="N263" s="387"/>
      <c r="O263" s="387"/>
      <c r="P263" s="317">
        <v>8</v>
      </c>
      <c r="Q263" s="388">
        <f t="shared" si="7"/>
        <v>0.11764705882352941</v>
      </c>
      <c r="R263" s="318">
        <v>1595</v>
      </c>
      <c r="S263" s="388">
        <f t="shared" si="8"/>
        <v>0.15430008706587986</v>
      </c>
      <c r="T263" s="272"/>
      <c r="U263" s="340"/>
      <c r="V263" s="5"/>
    </row>
    <row r="264" spans="1:22" ht="15.6" x14ac:dyDescent="0.3">
      <c r="A264" s="302"/>
      <c r="B264" s="317"/>
      <c r="C264" s="387"/>
      <c r="D264" s="387"/>
      <c r="E264" s="387"/>
      <c r="F264" s="272"/>
      <c r="G264" s="388"/>
      <c r="H264" s="387"/>
      <c r="I264" s="387"/>
      <c r="J264" s="387"/>
      <c r="K264" s="387"/>
      <c r="L264" s="387"/>
      <c r="M264" s="387"/>
      <c r="N264" s="387"/>
      <c r="O264" s="387"/>
      <c r="P264" s="317"/>
      <c r="Q264" s="388"/>
      <c r="R264" s="318"/>
      <c r="S264" s="388"/>
      <c r="T264" s="272"/>
      <c r="U264" s="340"/>
      <c r="V264" s="5"/>
    </row>
    <row r="265" spans="1:22" ht="15.6" x14ac:dyDescent="0.3">
      <c r="A265" s="302"/>
      <c r="B265" s="272"/>
      <c r="C265" s="272"/>
      <c r="D265" s="272"/>
      <c r="E265" s="272"/>
      <c r="F265" s="272"/>
      <c r="G265" s="272"/>
      <c r="H265" s="390"/>
      <c r="I265" s="390"/>
      <c r="J265" s="390"/>
      <c r="K265" s="390"/>
      <c r="L265" s="390"/>
      <c r="M265" s="390"/>
      <c r="N265" s="390"/>
      <c r="O265" s="390"/>
      <c r="P265" s="317">
        <f>SUM(P256:P264)</f>
        <v>68</v>
      </c>
      <c r="Q265" s="388">
        <f>SUM(Q256:Q264)</f>
        <v>1</v>
      </c>
      <c r="R265" s="318">
        <f>SUM(R256:R264)</f>
        <v>10337</v>
      </c>
      <c r="S265" s="388">
        <f>SUM(S256:S264)</f>
        <v>0.99999999999999989</v>
      </c>
      <c r="T265" s="272"/>
      <c r="U265" s="340"/>
      <c r="V265" s="5"/>
    </row>
    <row r="266" spans="1:22" ht="15.6" x14ac:dyDescent="0.3">
      <c r="A266" s="233"/>
      <c r="B266" s="268"/>
      <c r="C266" s="268"/>
      <c r="D266" s="268"/>
      <c r="E266" s="268"/>
      <c r="F266" s="268"/>
      <c r="G266" s="268"/>
      <c r="H266" s="391"/>
      <c r="I266" s="391"/>
      <c r="J266" s="391"/>
      <c r="K266" s="391"/>
      <c r="L266" s="391"/>
      <c r="M266" s="391"/>
      <c r="N266" s="391"/>
      <c r="O266" s="391"/>
      <c r="P266" s="333"/>
      <c r="Q266" s="392"/>
      <c r="R266" s="393"/>
      <c r="S266" s="392"/>
      <c r="T266" s="268"/>
      <c r="U266" s="314"/>
      <c r="V266" s="5"/>
    </row>
    <row r="267" spans="1:22" ht="15.6" x14ac:dyDescent="0.3">
      <c r="A267" s="263"/>
      <c r="B267" s="259" t="s">
        <v>179</v>
      </c>
      <c r="C267" s="264"/>
      <c r="D267" s="264"/>
      <c r="E267" s="264"/>
      <c r="F267" s="264"/>
      <c r="G267" s="264"/>
      <c r="H267" s="266"/>
      <c r="I267" s="266"/>
      <c r="J267" s="266"/>
      <c r="K267" s="266"/>
      <c r="L267" s="266"/>
      <c r="M267" s="266"/>
      <c r="N267" s="266"/>
      <c r="O267" s="266"/>
      <c r="P267" s="261" t="s">
        <v>108</v>
      </c>
      <c r="Q267" s="260" t="s">
        <v>109</v>
      </c>
      <c r="R267" s="261" t="s">
        <v>117</v>
      </c>
      <c r="S267" s="260" t="s">
        <v>109</v>
      </c>
      <c r="T267" s="264"/>
      <c r="U267" s="265"/>
      <c r="V267" s="5"/>
    </row>
    <row r="268" spans="1:22" ht="15.6" x14ac:dyDescent="0.3">
      <c r="A268" s="232"/>
      <c r="B268" s="231" t="s">
        <v>94</v>
      </c>
      <c r="C268" s="228"/>
      <c r="D268" s="228"/>
      <c r="E268" s="228"/>
      <c r="F268" s="228"/>
      <c r="G268" s="228"/>
      <c r="H268" s="251"/>
      <c r="I268" s="251"/>
      <c r="J268" s="251"/>
      <c r="K268" s="251"/>
      <c r="L268" s="251"/>
      <c r="M268" s="251"/>
      <c r="N268" s="251"/>
      <c r="O268" s="251"/>
      <c r="P268" s="231">
        <v>0</v>
      </c>
      <c r="Q268" s="250">
        <v>0</v>
      </c>
      <c r="R268" s="242">
        <v>0</v>
      </c>
      <c r="S268" s="250">
        <v>0</v>
      </c>
      <c r="T268" s="228"/>
      <c r="U268" s="194"/>
      <c r="V268" s="5"/>
    </row>
    <row r="269" spans="1:22" ht="15.6" x14ac:dyDescent="0.3">
      <c r="A269" s="302"/>
      <c r="B269" s="317" t="s">
        <v>95</v>
      </c>
      <c r="C269" s="272"/>
      <c r="D269" s="272"/>
      <c r="E269" s="272"/>
      <c r="F269" s="272"/>
      <c r="G269" s="272"/>
      <c r="H269" s="390"/>
      <c r="I269" s="390"/>
      <c r="J269" s="390"/>
      <c r="K269" s="390"/>
      <c r="L269" s="390"/>
      <c r="M269" s="390"/>
      <c r="N269" s="390"/>
      <c r="O269" s="390"/>
      <c r="P269" s="317">
        <v>0</v>
      </c>
      <c r="Q269" s="388">
        <v>0</v>
      </c>
      <c r="R269" s="318">
        <v>0</v>
      </c>
      <c r="S269" s="388">
        <v>0</v>
      </c>
      <c r="T269" s="272"/>
      <c r="U269" s="340"/>
      <c r="V269" s="5"/>
    </row>
    <row r="270" spans="1:22" ht="15.6" x14ac:dyDescent="0.3">
      <c r="A270" s="302"/>
      <c r="B270" s="317" t="s">
        <v>96</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171</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172</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173</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174</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175</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c r="C276" s="272"/>
      <c r="D276" s="272"/>
      <c r="E276" s="272"/>
      <c r="F276" s="272"/>
      <c r="G276" s="272"/>
      <c r="H276" s="390"/>
      <c r="I276" s="390"/>
      <c r="J276" s="390"/>
      <c r="K276" s="390"/>
      <c r="L276" s="390"/>
      <c r="M276" s="390"/>
      <c r="N276" s="390"/>
      <c r="O276" s="390"/>
      <c r="P276" s="317"/>
      <c r="Q276" s="388"/>
      <c r="R276" s="318"/>
      <c r="S276" s="388"/>
      <c r="T276" s="272"/>
      <c r="U276" s="340"/>
      <c r="V276" s="5"/>
    </row>
    <row r="277" spans="1:22" ht="15.6" x14ac:dyDescent="0.3">
      <c r="A277" s="302"/>
      <c r="B277" s="272" t="s">
        <v>123</v>
      </c>
      <c r="C277" s="272"/>
      <c r="D277" s="272"/>
      <c r="E277" s="272"/>
      <c r="F277" s="272"/>
      <c r="G277" s="272"/>
      <c r="H277" s="390"/>
      <c r="I277" s="390"/>
      <c r="J277" s="390"/>
      <c r="K277" s="390"/>
      <c r="L277" s="390"/>
      <c r="M277" s="390"/>
      <c r="N277" s="390"/>
      <c r="O277" s="390"/>
      <c r="P277" s="317">
        <f>SUM(P268:P275)</f>
        <v>0</v>
      </c>
      <c r="Q277" s="388">
        <f>SUM(Q268:Q275)</f>
        <v>0</v>
      </c>
      <c r="R277" s="318">
        <f>SUM(R268:R275)</f>
        <v>0</v>
      </c>
      <c r="S277" s="388">
        <f>SUM(S268:S275)</f>
        <v>0</v>
      </c>
      <c r="T277" s="272"/>
      <c r="U277" s="340"/>
      <c r="V277" s="5"/>
    </row>
    <row r="278" spans="1:22" ht="15.6" x14ac:dyDescent="0.3">
      <c r="A278" s="302"/>
      <c r="B278" s="272"/>
      <c r="C278" s="272"/>
      <c r="D278" s="272"/>
      <c r="E278" s="272"/>
      <c r="F278" s="272"/>
      <c r="G278" s="272"/>
      <c r="H278" s="390"/>
      <c r="I278" s="390"/>
      <c r="J278" s="390"/>
      <c r="K278" s="390"/>
      <c r="L278" s="390"/>
      <c r="M278" s="390"/>
      <c r="N278" s="390"/>
      <c r="O278" s="390"/>
      <c r="P278" s="317"/>
      <c r="Q278" s="388"/>
      <c r="R278" s="318"/>
      <c r="S278" s="388"/>
      <c r="T278" s="272"/>
      <c r="U278" s="340"/>
      <c r="V278" s="5"/>
    </row>
    <row r="279" spans="1:22" ht="15.6" x14ac:dyDescent="0.3">
      <c r="A279" s="302"/>
      <c r="B279" s="277" t="s">
        <v>180</v>
      </c>
      <c r="C279" s="272"/>
      <c r="D279" s="272"/>
      <c r="E279" s="272"/>
      <c r="F279" s="272"/>
      <c r="G279" s="272"/>
      <c r="H279" s="390"/>
      <c r="I279" s="390"/>
      <c r="J279" s="390"/>
      <c r="K279" s="390"/>
      <c r="L279" s="390"/>
      <c r="M279" s="390"/>
      <c r="N279" s="390"/>
      <c r="O279" s="390"/>
      <c r="P279" s="399">
        <f>+P253+P265+P277</f>
        <v>2664</v>
      </c>
      <c r="Q279" s="388"/>
      <c r="R279" s="396">
        <f>+R277+R265+R253</f>
        <v>318401</v>
      </c>
      <c r="S279" s="388"/>
      <c r="T279" s="272"/>
      <c r="U279" s="340"/>
      <c r="V279" s="5"/>
    </row>
    <row r="280" spans="1:22" ht="15.6" x14ac:dyDescent="0.3">
      <c r="A280" s="233"/>
      <c r="B280" s="268"/>
      <c r="C280" s="268"/>
      <c r="D280" s="268"/>
      <c r="E280" s="268"/>
      <c r="F280" s="268"/>
      <c r="G280" s="268"/>
      <c r="H280" s="391"/>
      <c r="I280" s="391"/>
      <c r="J280" s="391"/>
      <c r="K280" s="391"/>
      <c r="L280" s="391"/>
      <c r="M280" s="391"/>
      <c r="N280" s="391"/>
      <c r="O280" s="391"/>
      <c r="P280" s="391"/>
      <c r="Q280" s="391"/>
      <c r="R280" s="393"/>
      <c r="S280" s="391"/>
      <c r="T280" s="268"/>
      <c r="U280" s="314"/>
      <c r="V280" s="5"/>
    </row>
    <row r="281" spans="1:22" ht="15.6" x14ac:dyDescent="0.3">
      <c r="A281" s="233"/>
      <c r="B281" s="234"/>
      <c r="C281" s="234"/>
      <c r="D281" s="234"/>
      <c r="E281" s="234"/>
      <c r="F281" s="234"/>
      <c r="G281" s="234"/>
      <c r="H281" s="252"/>
      <c r="I281" s="252"/>
      <c r="J281" s="252"/>
      <c r="K281" s="252"/>
      <c r="L281" s="252"/>
      <c r="M281" s="252"/>
      <c r="N281" s="252"/>
      <c r="O281" s="252"/>
      <c r="P281" s="252"/>
      <c r="Q281" s="252"/>
      <c r="R281" s="253"/>
      <c r="S281" s="252"/>
      <c r="T281" s="234"/>
      <c r="U281" s="179"/>
      <c r="V281" s="5"/>
    </row>
    <row r="282" spans="1:22" ht="15.6" x14ac:dyDescent="0.3">
      <c r="A282" s="254"/>
      <c r="B282" s="220" t="s">
        <v>97</v>
      </c>
      <c r="C282" s="234"/>
      <c r="D282" s="234"/>
      <c r="E282" s="234"/>
      <c r="F282" s="225" t="s">
        <v>103</v>
      </c>
      <c r="G282" s="234"/>
      <c r="H282" s="220" t="s">
        <v>105</v>
      </c>
      <c r="I282" s="255"/>
      <c r="J282" s="255"/>
      <c r="K282" s="255"/>
      <c r="L282" s="255"/>
      <c r="M282" s="255"/>
      <c r="N282" s="255"/>
      <c r="O282" s="255"/>
      <c r="P282" s="255"/>
      <c r="Q282" s="255"/>
      <c r="R282" s="255"/>
      <c r="S282" s="255"/>
      <c r="T282" s="255"/>
      <c r="U282" s="192"/>
      <c r="V282" s="5"/>
    </row>
    <row r="283" spans="1:22" ht="15.6" x14ac:dyDescent="0.3">
      <c r="A283" s="254"/>
      <c r="B283" s="255"/>
      <c r="C283" s="234"/>
      <c r="D283" s="234"/>
      <c r="E283" s="234"/>
      <c r="F283" s="234"/>
      <c r="G283" s="234"/>
      <c r="H283" s="234"/>
      <c r="I283" s="255"/>
      <c r="J283" s="255"/>
      <c r="K283" s="255"/>
      <c r="L283" s="255"/>
      <c r="M283" s="255"/>
      <c r="N283" s="255"/>
      <c r="O283" s="255"/>
      <c r="P283" s="255"/>
      <c r="Q283" s="255"/>
      <c r="R283" s="255"/>
      <c r="S283" s="255"/>
      <c r="T283" s="255"/>
      <c r="U283" s="192"/>
      <c r="V283" s="5"/>
    </row>
    <row r="284" spans="1:22" ht="15.6" x14ac:dyDescent="0.3">
      <c r="A284" s="254"/>
      <c r="B284" s="220" t="s">
        <v>98</v>
      </c>
      <c r="C284" s="220"/>
      <c r="D284" s="220"/>
      <c r="E284" s="220"/>
      <c r="F284" s="256" t="s">
        <v>159</v>
      </c>
      <c r="G284" s="220"/>
      <c r="H284" s="220" t="s">
        <v>167</v>
      </c>
      <c r="I284" s="255"/>
      <c r="J284" s="255"/>
      <c r="K284" s="255"/>
      <c r="L284" s="255"/>
      <c r="M284" s="255"/>
      <c r="N284" s="255"/>
      <c r="O284" s="255"/>
      <c r="P284" s="255"/>
      <c r="Q284" s="255"/>
      <c r="R284" s="255"/>
      <c r="S284" s="255"/>
      <c r="T284" s="255"/>
      <c r="U284" s="192"/>
      <c r="V284" s="5"/>
    </row>
    <row r="285" spans="1:22" ht="15.6" x14ac:dyDescent="0.3">
      <c r="A285" s="254"/>
      <c r="B285" s="220" t="s">
        <v>273</v>
      </c>
      <c r="C285" s="220"/>
      <c r="D285" s="220"/>
      <c r="E285" s="220"/>
      <c r="F285" s="256" t="s">
        <v>274</v>
      </c>
      <c r="G285" s="220"/>
      <c r="H285" s="220" t="s">
        <v>275</v>
      </c>
      <c r="I285" s="255"/>
      <c r="J285" s="255"/>
      <c r="K285" s="255"/>
      <c r="L285" s="255"/>
      <c r="M285" s="255"/>
      <c r="N285" s="255"/>
      <c r="O285" s="255"/>
      <c r="P285" s="255"/>
      <c r="Q285" s="255"/>
      <c r="R285" s="255"/>
      <c r="S285" s="255"/>
      <c r="T285" s="255"/>
      <c r="U285" s="192"/>
      <c r="V285" s="5"/>
    </row>
    <row r="286" spans="1:22" ht="15.6" x14ac:dyDescent="0.3">
      <c r="A286" s="254"/>
      <c r="B286" s="220" t="s">
        <v>99</v>
      </c>
      <c r="C286" s="220"/>
      <c r="D286" s="220"/>
      <c r="E286" s="220"/>
      <c r="F286" s="256" t="s">
        <v>158</v>
      </c>
      <c r="G286" s="220"/>
      <c r="H286" s="220" t="s">
        <v>168</v>
      </c>
      <c r="I286" s="255"/>
      <c r="J286" s="255"/>
      <c r="K286" s="255"/>
      <c r="L286" s="255"/>
      <c r="M286" s="255"/>
      <c r="N286" s="255"/>
      <c r="O286" s="255"/>
      <c r="P286" s="255"/>
      <c r="Q286" s="255"/>
      <c r="R286" s="255"/>
      <c r="S286" s="255"/>
      <c r="T286" s="255"/>
      <c r="U286" s="192"/>
      <c r="V286" s="5"/>
    </row>
    <row r="287" spans="1:22" ht="15.6" x14ac:dyDescent="0.3">
      <c r="A287" s="254"/>
      <c r="B287" s="220"/>
      <c r="C287" s="220"/>
      <c r="D287" s="220"/>
      <c r="E287" s="220"/>
      <c r="F287" s="220"/>
      <c r="G287" s="257"/>
      <c r="H287" s="255"/>
      <c r="I287" s="255"/>
      <c r="J287" s="255"/>
      <c r="K287" s="255"/>
      <c r="L287" s="255"/>
      <c r="M287" s="255"/>
      <c r="N287" s="255"/>
      <c r="O287" s="255"/>
      <c r="P287" s="255"/>
      <c r="Q287" s="255"/>
      <c r="R287" s="255"/>
      <c r="S287" s="255"/>
      <c r="T287" s="255"/>
      <c r="U287" s="192"/>
      <c r="V287" s="5"/>
    </row>
    <row r="288" spans="1:22" ht="15.6" x14ac:dyDescent="0.3">
      <c r="A288" s="216"/>
      <c r="B288" s="185"/>
      <c r="C288" s="185"/>
      <c r="D288" s="185"/>
      <c r="E288" s="185"/>
      <c r="F288" s="185"/>
      <c r="G288" s="217"/>
      <c r="H288" s="192"/>
      <c r="I288" s="192"/>
      <c r="J288" s="192"/>
      <c r="K288" s="192"/>
      <c r="L288" s="192"/>
      <c r="M288" s="192"/>
      <c r="N288" s="192"/>
      <c r="O288" s="192"/>
      <c r="P288" s="192"/>
      <c r="Q288" s="192"/>
      <c r="R288" s="192"/>
      <c r="S288" s="192"/>
      <c r="T288" s="192"/>
      <c r="U288" s="192"/>
      <c r="V288" s="5"/>
    </row>
    <row r="289" spans="1:22" ht="18" thickBot="1" x14ac:dyDescent="0.35">
      <c r="A289" s="216"/>
      <c r="B289" s="267" t="str">
        <f>B194</f>
        <v>PM9 INVESTOR REPORT QUARTER ENDING APRIL 2011</v>
      </c>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x14ac:dyDescent="0.25">
      <c r="A290" s="101"/>
      <c r="B290" s="101"/>
      <c r="C290" s="101"/>
      <c r="D290" s="101"/>
      <c r="E290" s="101"/>
      <c r="F290" s="101"/>
      <c r="G290" s="101"/>
      <c r="H290" s="101"/>
      <c r="I290" s="101"/>
      <c r="J290" s="101"/>
      <c r="K290" s="101"/>
      <c r="L290" s="101"/>
      <c r="M290" s="101"/>
      <c r="N290" s="101"/>
      <c r="O290" s="101"/>
      <c r="P290" s="101"/>
      <c r="Q290" s="101"/>
      <c r="R290" s="101"/>
      <c r="S290" s="101"/>
      <c r="T290" s="101"/>
      <c r="U290" s="101"/>
    </row>
  </sheetData>
  <phoneticPr fontId="0" type="noConversion"/>
  <hyperlinks>
    <hyperlink ref="J9" r:id="rId1" xr:uid="{00000000-0004-0000-1600-000000000000}"/>
    <hyperlink ref="N229" r:id="rId2" xr:uid="{00000000-0004-0000-16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1" man="1"/>
    <brk id="133" max="14" man="1"/>
    <brk id="194" max="14"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2D2926"/>
  </sheetPr>
  <dimension ref="A1:W290"/>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0.71840000000000004</v>
      </c>
      <c r="R16" s="225" t="s">
        <v>149</v>
      </c>
      <c r="S16" s="224">
        <v>0.28160000000000002</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40772</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150</v>
      </c>
      <c r="E25" s="398"/>
      <c r="F25" s="398" t="s">
        <v>150</v>
      </c>
      <c r="G25" s="398"/>
      <c r="H25" s="398" t="s">
        <v>150</v>
      </c>
      <c r="I25" s="398"/>
      <c r="J25" s="398" t="s">
        <v>192</v>
      </c>
      <c r="K25" s="398"/>
      <c r="L25" s="398" t="s">
        <v>192</v>
      </c>
      <c r="M25" s="398"/>
      <c r="N25" s="398" t="s">
        <v>151</v>
      </c>
      <c r="O25" s="398"/>
      <c r="P25" s="398" t="s">
        <v>151</v>
      </c>
      <c r="Q25" s="398"/>
      <c r="R25" s="273"/>
      <c r="S25" s="274"/>
      <c r="T25" s="274"/>
      <c r="U25" s="275"/>
      <c r="V25" s="5"/>
    </row>
    <row r="26" spans="1:22" ht="15.6" x14ac:dyDescent="0.3">
      <c r="A26" s="276"/>
      <c r="B26" s="277" t="s">
        <v>10</v>
      </c>
      <c r="C26" s="398"/>
      <c r="D26" s="398" t="s">
        <v>307</v>
      </c>
      <c r="E26" s="398"/>
      <c r="F26" s="398" t="s">
        <v>307</v>
      </c>
      <c r="G26" s="398"/>
      <c r="H26" s="398" t="s">
        <v>307</v>
      </c>
      <c r="I26" s="398"/>
      <c r="J26" s="398" t="s">
        <v>307</v>
      </c>
      <c r="K26" s="398"/>
      <c r="L26" s="398" t="s">
        <v>307</v>
      </c>
      <c r="M26" s="398"/>
      <c r="N26" s="398" t="s">
        <v>153</v>
      </c>
      <c r="O26" s="398"/>
      <c r="P26" s="398" t="s">
        <v>153</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138325.81760000001</v>
      </c>
      <c r="E30" s="280"/>
      <c r="F30" s="282">
        <f>F29*F36</f>
        <v>141923.88800000001</v>
      </c>
      <c r="G30" s="281"/>
      <c r="H30" s="283">
        <f>H29*H36</f>
        <v>23987.088</v>
      </c>
      <c r="I30" s="281"/>
      <c r="J30" s="281">
        <f>J29*J36</f>
        <v>6368.0119999999997</v>
      </c>
      <c r="K30" s="281"/>
      <c r="L30" s="282">
        <f>L29*L36</f>
        <v>26836.621999999999</v>
      </c>
      <c r="M30" s="281"/>
      <c r="N30" s="284">
        <f>N29*N36</f>
        <v>2729.1479999999997</v>
      </c>
      <c r="O30" s="281"/>
      <c r="P30" s="282">
        <f>P29*P36</f>
        <v>60041.256000000001</v>
      </c>
      <c r="Q30" s="281"/>
      <c r="R30" s="281"/>
      <c r="S30" s="285"/>
      <c r="T30" s="281"/>
      <c r="U30" s="286"/>
      <c r="V30" s="5"/>
    </row>
    <row r="31" spans="1:22" ht="15.6" x14ac:dyDescent="0.3">
      <c r="A31" s="276"/>
      <c r="B31" s="277" t="s">
        <v>143</v>
      </c>
      <c r="C31" s="287"/>
      <c r="D31" s="288">
        <f>D35*D29</f>
        <v>137373.00279999999</v>
      </c>
      <c r="E31" s="287"/>
      <c r="F31" s="289">
        <f>F35*F29</f>
        <v>140946.28899999999</v>
      </c>
      <c r="G31" s="288"/>
      <c r="H31" s="290">
        <f>H35*H29</f>
        <v>23821.854000000003</v>
      </c>
      <c r="I31" s="288"/>
      <c r="J31" s="288">
        <f>J35*J29</f>
        <v>6324.1457999999993</v>
      </c>
      <c r="K31" s="288"/>
      <c r="L31" s="289">
        <f>L35*L29</f>
        <v>26651.757299999997</v>
      </c>
      <c r="M31" s="288"/>
      <c r="N31" s="291">
        <f>N35*N29</f>
        <v>2710.3481999999999</v>
      </c>
      <c r="O31" s="288"/>
      <c r="P31" s="289">
        <f>P35*P29</f>
        <v>59627.660400000001</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138325.81760000001</v>
      </c>
      <c r="E33" s="280"/>
      <c r="F33" s="281">
        <f>F32*F36</f>
        <v>97747.579200000007</v>
      </c>
      <c r="G33" s="281"/>
      <c r="H33" s="281">
        <f>H32*H36</f>
        <v>13552.70472</v>
      </c>
      <c r="I33" s="281"/>
      <c r="J33" s="281">
        <f>J32*J36</f>
        <v>6368.0119999999997</v>
      </c>
      <c r="K33" s="281"/>
      <c r="L33" s="281">
        <f>L32*L36</f>
        <v>18467.234799999998</v>
      </c>
      <c r="M33" s="281"/>
      <c r="N33" s="281">
        <f>N32*N36</f>
        <v>2729.1479999999997</v>
      </c>
      <c r="O33" s="281"/>
      <c r="P33" s="281">
        <f>P32*P36</f>
        <v>41210.1348</v>
      </c>
      <c r="Q33" s="281"/>
      <c r="R33" s="281"/>
      <c r="S33" s="285"/>
      <c r="T33" s="281">
        <f>SUM(C33:P33)</f>
        <v>318400.63111999998</v>
      </c>
      <c r="U33" s="286"/>
      <c r="V33" s="5"/>
    </row>
    <row r="34" spans="1:22" ht="15.6" x14ac:dyDescent="0.3">
      <c r="A34" s="276"/>
      <c r="B34" s="277" t="s">
        <v>291</v>
      </c>
      <c r="C34" s="287"/>
      <c r="D34" s="288">
        <f>D35*D32</f>
        <v>137373.00279999999</v>
      </c>
      <c r="E34" s="287"/>
      <c r="F34" s="288">
        <f>F35*F32</f>
        <v>97074.275099999999</v>
      </c>
      <c r="G34" s="288"/>
      <c r="H34" s="288">
        <f>H35*H32</f>
        <v>13459.347510000001</v>
      </c>
      <c r="I34" s="288"/>
      <c r="J34" s="288">
        <f>J35*J32</f>
        <v>6324.1457999999993</v>
      </c>
      <c r="K34" s="288"/>
      <c r="L34" s="288">
        <f>L35*L32</f>
        <v>18340.022819999998</v>
      </c>
      <c r="M34" s="288"/>
      <c r="N34" s="288">
        <f>N35*N32</f>
        <v>2710.3481999999999</v>
      </c>
      <c r="O34" s="288"/>
      <c r="P34" s="288">
        <f>P35*P32</f>
        <v>40926.257819999999</v>
      </c>
      <c r="Q34" s="288"/>
      <c r="R34" s="288"/>
      <c r="S34" s="292"/>
      <c r="T34" s="288">
        <f>SUM(C34:P34)</f>
        <v>316207.40005</v>
      </c>
      <c r="U34" s="286"/>
      <c r="V34" s="5"/>
    </row>
    <row r="35" spans="1:22" ht="15.6" x14ac:dyDescent="0.3">
      <c r="A35" s="276"/>
      <c r="B35" s="293" t="s">
        <v>139</v>
      </c>
      <c r="C35" s="294"/>
      <c r="D35" s="295">
        <v>0.39703179999999999</v>
      </c>
      <c r="E35" s="296"/>
      <c r="F35" s="295">
        <v>0.39703179999999999</v>
      </c>
      <c r="G35" s="295"/>
      <c r="H35" s="295">
        <v>0.39703090000000002</v>
      </c>
      <c r="I35" s="297"/>
      <c r="J35" s="295">
        <v>0.90344939999999996</v>
      </c>
      <c r="K35" s="297"/>
      <c r="L35" s="295">
        <v>0.90344939999999996</v>
      </c>
      <c r="M35" s="297"/>
      <c r="N35" s="295">
        <v>0.90344939999999996</v>
      </c>
      <c r="O35" s="297"/>
      <c r="P35" s="295">
        <v>0.90344939999999996</v>
      </c>
      <c r="Q35" s="298"/>
      <c r="R35" s="298"/>
      <c r="S35" s="299"/>
      <c r="T35" s="298"/>
      <c r="U35" s="300"/>
      <c r="V35" s="5"/>
    </row>
    <row r="36" spans="1:22" ht="15.6" x14ac:dyDescent="0.3">
      <c r="A36" s="276"/>
      <c r="B36" s="293" t="s">
        <v>140</v>
      </c>
      <c r="C36" s="294"/>
      <c r="D36" s="295">
        <v>0.39978560000000002</v>
      </c>
      <c r="E36" s="296"/>
      <c r="F36" s="295">
        <v>0.39978560000000002</v>
      </c>
      <c r="G36" s="295"/>
      <c r="H36" s="295">
        <v>0.3997848</v>
      </c>
      <c r="I36" s="297"/>
      <c r="J36" s="295">
        <v>0.90971599999999997</v>
      </c>
      <c r="K36" s="297"/>
      <c r="L36" s="295">
        <v>0.90971599999999997</v>
      </c>
      <c r="M36" s="297"/>
      <c r="N36" s="295">
        <v>0.90971599999999997</v>
      </c>
      <c r="O36" s="297"/>
      <c r="P36" s="295">
        <v>0.90971599999999997</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1.1818800000000001E-2</v>
      </c>
      <c r="E38" s="272"/>
      <c r="F38" s="303">
        <v>1.78E-2</v>
      </c>
      <c r="G38" s="304"/>
      <c r="H38" s="303">
        <v>6.2075000000000003E-3</v>
      </c>
      <c r="I38" s="304"/>
      <c r="J38" s="303">
        <v>1.40188E-2</v>
      </c>
      <c r="K38" s="304"/>
      <c r="L38" s="303">
        <v>0.02</v>
      </c>
      <c r="M38" s="304"/>
      <c r="N38" s="303">
        <v>1.8618800000000001E-2</v>
      </c>
      <c r="O38" s="304"/>
      <c r="P38" s="303">
        <v>2.46E-2</v>
      </c>
      <c r="Q38" s="304"/>
      <c r="R38" s="303"/>
      <c r="S38" s="274"/>
      <c r="T38" s="304"/>
      <c r="U38" s="275"/>
      <c r="V38" s="5"/>
    </row>
    <row r="39" spans="1:22" ht="15.6" x14ac:dyDescent="0.3">
      <c r="A39" s="302"/>
      <c r="B39" s="272" t="s">
        <v>14</v>
      </c>
      <c r="C39" s="272"/>
      <c r="D39" s="303">
        <v>1.16338E-2</v>
      </c>
      <c r="E39" s="272"/>
      <c r="F39" s="303">
        <v>1.453E-2</v>
      </c>
      <c r="G39" s="304"/>
      <c r="H39" s="303">
        <v>6.7299999999999999E-3</v>
      </c>
      <c r="I39" s="304"/>
      <c r="J39" s="303">
        <v>1.38338E-2</v>
      </c>
      <c r="K39" s="304"/>
      <c r="L39" s="303">
        <v>1.6729999999999998E-2</v>
      </c>
      <c r="M39" s="304"/>
      <c r="N39" s="303">
        <v>1.84338E-2</v>
      </c>
      <c r="O39" s="304"/>
      <c r="P39" s="303">
        <v>2.1329999999999998E-2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1.1818800000000001E-2</v>
      </c>
      <c r="E41" s="272"/>
      <c r="F41" s="303">
        <v>1.20188E-2</v>
      </c>
      <c r="G41" s="304"/>
      <c r="H41" s="303">
        <v>1.2278799999999999E-2</v>
      </c>
      <c r="I41" s="304"/>
      <c r="J41" s="303">
        <f>+J38</f>
        <v>1.40188E-2</v>
      </c>
      <c r="K41" s="304"/>
      <c r="L41" s="303">
        <v>1.46088E-2</v>
      </c>
      <c r="M41" s="304"/>
      <c r="N41" s="303">
        <f>+N38</f>
        <v>1.8618800000000001E-2</v>
      </c>
      <c r="O41" s="304"/>
      <c r="P41" s="303">
        <v>1.94988E-2</v>
      </c>
      <c r="Q41" s="304"/>
      <c r="R41" s="303"/>
      <c r="S41" s="274"/>
      <c r="T41" s="304">
        <f>SUMPRODUCT(D41:P41,D33:P33)/T33</f>
        <v>1.3157896005141112E-2</v>
      </c>
      <c r="U41" s="275"/>
      <c r="V41" s="5"/>
    </row>
    <row r="42" spans="1:22" ht="15.6" x14ac:dyDescent="0.3">
      <c r="A42" s="302"/>
      <c r="B42" s="272" t="s">
        <v>294</v>
      </c>
      <c r="C42" s="272"/>
      <c r="D42" s="303">
        <f>+D39</f>
        <v>1.16338E-2</v>
      </c>
      <c r="E42" s="272"/>
      <c r="F42" s="303">
        <v>1.18338E-2</v>
      </c>
      <c r="G42" s="304"/>
      <c r="H42" s="303">
        <v>1.20938E-2</v>
      </c>
      <c r="I42" s="304"/>
      <c r="J42" s="303">
        <f>+J39</f>
        <v>1.38338E-2</v>
      </c>
      <c r="K42" s="304"/>
      <c r="L42" s="303">
        <v>1.4423800000000001E-2</v>
      </c>
      <c r="M42" s="304"/>
      <c r="N42" s="303">
        <f>+N39</f>
        <v>1.84338E-2</v>
      </c>
      <c r="O42" s="304"/>
      <c r="P42" s="303">
        <v>1.9313799999999999E-2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0.27551008177793096</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40770</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90</v>
      </c>
      <c r="Q54" s="272"/>
      <c r="R54" s="312">
        <v>40589</v>
      </c>
      <c r="S54" s="313"/>
      <c r="T54" s="312">
        <v>40678</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91</v>
      </c>
      <c r="Q55" s="272"/>
      <c r="R55" s="312">
        <v>40679</v>
      </c>
      <c r="S55" s="313"/>
      <c r="T55" s="312">
        <v>40769</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40756</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306</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318401</v>
      </c>
      <c r="M65" s="317"/>
      <c r="N65" s="317">
        <f>2193+44+7+1</f>
        <v>2245</v>
      </c>
      <c r="O65" s="317"/>
      <c r="P65" s="317">
        <f>44+7</f>
        <v>51</v>
      </c>
      <c r="Q65" s="317"/>
      <c r="R65" s="317">
        <v>0</v>
      </c>
      <c r="S65" s="317"/>
      <c r="T65" s="318">
        <f>+L65-N65+P65-R65</f>
        <v>316207</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318401</v>
      </c>
      <c r="M68" s="317"/>
      <c r="N68" s="317">
        <f>SUM(N65:N67)</f>
        <v>2245</v>
      </c>
      <c r="O68" s="317"/>
      <c r="P68" s="317">
        <f>SUM(P65:P67)</f>
        <v>51</v>
      </c>
      <c r="Q68" s="317"/>
      <c r="R68" s="317">
        <f>SUM(R65:R67)</f>
        <v>0</v>
      </c>
      <c r="S68" s="317"/>
      <c r="T68" s="317">
        <f>SUM(T65:T67)</f>
        <v>316207</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318401</v>
      </c>
      <c r="M81" s="317"/>
      <c r="N81" s="317"/>
      <c r="O81" s="317"/>
      <c r="P81" s="317"/>
      <c r="Q81" s="317"/>
      <c r="R81" s="317"/>
      <c r="S81" s="317"/>
      <c r="T81" s="317">
        <f>SUM(T68:T80)</f>
        <v>316207</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+R195</f>
        <v>40753</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2245+1018</f>
        <v>3263</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2010+2021+19-453-1384</f>
        <v>2213</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12+7</f>
        <v>19</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20</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158</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3263</v>
      </c>
      <c r="S93" s="272"/>
      <c r="T93" s="317">
        <f>SUM(T85:T92)</f>
        <v>2410</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-7</v>
      </c>
      <c r="S94" s="272"/>
      <c r="T94" s="317">
        <f>-R94</f>
        <v>7</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13</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3256</v>
      </c>
      <c r="S97" s="272"/>
      <c r="T97" s="317">
        <f>T93+T95+T94+T96</f>
        <v>2430</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160</v>
      </c>
      <c r="C101" s="272"/>
      <c r="D101" s="272"/>
      <c r="E101" s="272"/>
      <c r="F101" s="272"/>
      <c r="G101" s="272"/>
      <c r="H101" s="272"/>
      <c r="I101" s="272"/>
      <c r="J101" s="272"/>
      <c r="K101" s="272"/>
      <c r="L101" s="272"/>
      <c r="M101" s="272"/>
      <c r="N101" s="272"/>
      <c r="O101" s="272"/>
      <c r="P101" s="272"/>
      <c r="Q101" s="272"/>
      <c r="R101" s="272"/>
      <c r="S101" s="272"/>
      <c r="T101" s="318">
        <f>-122-131-4</f>
        <v>-257</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-92</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-1</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-408</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-293</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-41</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-22</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-67</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-13</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-200</v>
      </c>
      <c r="U110" s="340"/>
      <c r="V110" s="5"/>
      <c r="W110" s="110"/>
    </row>
    <row r="111" spans="1:23" ht="15.6" x14ac:dyDescent="0.3">
      <c r="A111" s="302">
        <v>7</v>
      </c>
      <c r="B111" s="272" t="s">
        <v>38</v>
      </c>
      <c r="C111" s="272"/>
      <c r="D111" s="272"/>
      <c r="E111" s="272"/>
      <c r="F111" s="272"/>
      <c r="G111" s="272"/>
      <c r="H111" s="272"/>
      <c r="I111" s="272"/>
      <c r="J111" s="272"/>
      <c r="K111" s="272"/>
      <c r="L111" s="272"/>
      <c r="M111" s="272"/>
      <c r="N111" s="272"/>
      <c r="O111" s="272"/>
      <c r="P111" s="272"/>
      <c r="Q111" s="272"/>
      <c r="R111" s="272"/>
      <c r="S111" s="272"/>
      <c r="T111" s="318">
        <v>-8</v>
      </c>
      <c r="U111" s="340"/>
      <c r="V111" s="5"/>
    </row>
    <row r="112" spans="1:23" ht="15.6" x14ac:dyDescent="0.3">
      <c r="A112" s="302">
        <f t="shared" ref="A112:A117" si="0">+A111+1</f>
        <v>8</v>
      </c>
      <c r="B112" s="272" t="s">
        <v>49</v>
      </c>
      <c r="C112" s="272"/>
      <c r="D112" s="272"/>
      <c r="E112" s="272"/>
      <c r="F112" s="272"/>
      <c r="G112" s="272"/>
      <c r="H112" s="272"/>
      <c r="I112" s="272"/>
      <c r="J112" s="272"/>
      <c r="K112" s="272"/>
      <c r="L112" s="272"/>
      <c r="M112" s="272"/>
      <c r="N112" s="272"/>
      <c r="O112" s="272"/>
      <c r="P112" s="272"/>
      <c r="Q112" s="272"/>
      <c r="R112" s="317">
        <f>-T112</f>
        <v>-1018</v>
      </c>
      <c r="S112" s="272"/>
      <c r="T112" s="318">
        <v>1018</v>
      </c>
      <c r="U112" s="340"/>
      <c r="V112" s="5"/>
    </row>
    <row r="113" spans="1:22" ht="15.6" x14ac:dyDescent="0.3">
      <c r="A113" s="302">
        <f t="shared" si="0"/>
        <v>9</v>
      </c>
      <c r="B113" s="272" t="s">
        <v>134</v>
      </c>
      <c r="C113" s="272"/>
      <c r="D113" s="272"/>
      <c r="E113" s="272"/>
      <c r="F113" s="272"/>
      <c r="G113" s="272"/>
      <c r="H113" s="272"/>
      <c r="I113" s="272"/>
      <c r="J113" s="272"/>
      <c r="K113" s="272"/>
      <c r="L113" s="272"/>
      <c r="M113" s="272"/>
      <c r="N113" s="272"/>
      <c r="O113" s="272"/>
      <c r="P113" s="272"/>
      <c r="Q113" s="272"/>
      <c r="R113" s="272"/>
      <c r="S113" s="272"/>
      <c r="T113" s="318">
        <v>0</v>
      </c>
      <c r="U113" s="340"/>
      <c r="V113" s="5"/>
    </row>
    <row r="114" spans="1:22" ht="15.6" x14ac:dyDescent="0.3">
      <c r="A114" s="302">
        <f t="shared" si="0"/>
        <v>10</v>
      </c>
      <c r="B114" s="272" t="s">
        <v>39</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40</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161</v>
      </c>
      <c r="C116" s="272"/>
      <c r="D116" s="272"/>
      <c r="E116" s="272"/>
      <c r="F116" s="272"/>
      <c r="G116" s="272"/>
      <c r="H116" s="272"/>
      <c r="I116" s="272"/>
      <c r="J116" s="272"/>
      <c r="K116" s="272"/>
      <c r="L116" s="272"/>
      <c r="M116" s="272"/>
      <c r="N116" s="272"/>
      <c r="O116" s="272"/>
      <c r="P116" s="272"/>
      <c r="Q116" s="272"/>
      <c r="R116" s="272"/>
      <c r="S116" s="272"/>
      <c r="T116" s="318">
        <v>-122</v>
      </c>
      <c r="U116" s="340"/>
      <c r="V116" s="5"/>
    </row>
    <row r="117" spans="1:22" ht="15.6" x14ac:dyDescent="0.3">
      <c r="A117" s="302">
        <f t="shared" si="0"/>
        <v>13</v>
      </c>
      <c r="B117" s="272" t="s">
        <v>135</v>
      </c>
      <c r="C117" s="272"/>
      <c r="D117" s="272"/>
      <c r="E117" s="272"/>
      <c r="F117" s="272"/>
      <c r="G117" s="272"/>
      <c r="H117" s="272"/>
      <c r="I117" s="272"/>
      <c r="J117" s="272"/>
      <c r="K117" s="272"/>
      <c r="L117" s="272"/>
      <c r="M117" s="272"/>
      <c r="N117" s="272"/>
      <c r="O117" s="272"/>
      <c r="P117" s="272"/>
      <c r="Q117" s="272"/>
      <c r="R117" s="272"/>
      <c r="S117" s="272"/>
      <c r="T117" s="318">
        <f>-T97-SUM(T99:T116)</f>
        <v>-1922</v>
      </c>
      <c r="U117" s="340"/>
      <c r="V117" s="5"/>
    </row>
    <row r="118" spans="1:22" ht="15.6" x14ac:dyDescent="0.3">
      <c r="A118" s="271"/>
      <c r="B118" s="336" t="s">
        <v>41</v>
      </c>
      <c r="C118" s="337"/>
      <c r="D118" s="337"/>
      <c r="E118" s="337"/>
      <c r="F118" s="337"/>
      <c r="G118" s="337"/>
      <c r="H118" s="337"/>
      <c r="I118" s="337"/>
      <c r="J118" s="337"/>
      <c r="K118" s="337"/>
      <c r="L118" s="337"/>
      <c r="M118" s="337"/>
      <c r="N118" s="337"/>
      <c r="O118" s="337"/>
      <c r="P118" s="337"/>
      <c r="Q118" s="337"/>
      <c r="R118" s="337"/>
      <c r="S118" s="337"/>
      <c r="T118" s="341"/>
      <c r="U118" s="340"/>
      <c r="V118" s="5"/>
    </row>
    <row r="119" spans="1:22" ht="15.6" x14ac:dyDescent="0.3">
      <c r="A119" s="302"/>
      <c r="B119" s="272" t="s">
        <v>229</v>
      </c>
      <c r="C119" s="272"/>
      <c r="D119" s="272"/>
      <c r="E119" s="272"/>
      <c r="F119" s="272"/>
      <c r="G119" s="272"/>
      <c r="H119" s="272"/>
      <c r="I119" s="272"/>
      <c r="J119" s="272"/>
      <c r="K119" s="272"/>
      <c r="L119" s="272"/>
      <c r="M119" s="272"/>
      <c r="N119" s="272"/>
      <c r="O119" s="272"/>
      <c r="P119" s="272"/>
      <c r="Q119" s="272"/>
      <c r="R119" s="317">
        <f>-R179</f>
        <v>0</v>
      </c>
      <c r="S119" s="317"/>
      <c r="T119" s="318"/>
      <c r="U119" s="275"/>
      <c r="V119" s="5"/>
    </row>
    <row r="120" spans="1:22" ht="15.6" x14ac:dyDescent="0.3">
      <c r="A120" s="302"/>
      <c r="B120" s="272" t="s">
        <v>230</v>
      </c>
      <c r="C120" s="272"/>
      <c r="D120" s="272"/>
      <c r="E120" s="272"/>
      <c r="F120" s="272"/>
      <c r="G120" s="272"/>
      <c r="H120" s="272"/>
      <c r="I120" s="272"/>
      <c r="J120" s="272"/>
      <c r="K120" s="272"/>
      <c r="L120" s="272"/>
      <c r="M120" s="272"/>
      <c r="N120" s="272"/>
      <c r="O120" s="272"/>
      <c r="P120" s="272"/>
      <c r="Q120" s="272"/>
      <c r="R120" s="317">
        <v>0</v>
      </c>
      <c r="S120" s="317"/>
      <c r="T120" s="318"/>
      <c r="U120" s="275"/>
      <c r="V120" s="5"/>
    </row>
    <row r="121" spans="1:22" ht="15.6" x14ac:dyDescent="0.3">
      <c r="A121" s="302"/>
      <c r="B121" s="272" t="s">
        <v>42</v>
      </c>
      <c r="C121" s="272"/>
      <c r="D121" s="272"/>
      <c r="E121" s="272"/>
      <c r="F121" s="272"/>
      <c r="G121" s="272"/>
      <c r="H121" s="272"/>
      <c r="I121" s="272"/>
      <c r="J121" s="272"/>
      <c r="K121" s="272"/>
      <c r="L121" s="272"/>
      <c r="M121" s="272"/>
      <c r="N121" s="272"/>
      <c r="O121" s="272"/>
      <c r="P121" s="272"/>
      <c r="Q121" s="272"/>
      <c r="R121" s="317">
        <f>-Q179</f>
        <v>-44</v>
      </c>
      <c r="S121" s="317"/>
      <c r="T121" s="318"/>
      <c r="U121" s="275"/>
      <c r="V121" s="5"/>
    </row>
    <row r="122" spans="1:22" ht="15.6" x14ac:dyDescent="0.3">
      <c r="A122" s="302"/>
      <c r="B122" s="272" t="s">
        <v>235</v>
      </c>
      <c r="C122" s="272"/>
      <c r="D122" s="272"/>
      <c r="E122" s="272"/>
      <c r="F122" s="272"/>
      <c r="G122" s="272"/>
      <c r="H122" s="272"/>
      <c r="I122" s="272"/>
      <c r="J122" s="272"/>
      <c r="K122" s="272"/>
      <c r="L122" s="272"/>
      <c r="M122" s="272"/>
      <c r="N122" s="272"/>
      <c r="O122" s="272"/>
      <c r="P122" s="272"/>
      <c r="Q122" s="272"/>
      <c r="R122" s="317">
        <v>-953</v>
      </c>
      <c r="S122" s="317"/>
      <c r="T122" s="318"/>
      <c r="U122" s="275"/>
      <c r="V122" s="5"/>
    </row>
    <row r="123" spans="1:22" ht="15.6" x14ac:dyDescent="0.3">
      <c r="A123" s="302"/>
      <c r="B123" s="272" t="s">
        <v>236</v>
      </c>
      <c r="C123" s="272"/>
      <c r="D123" s="272"/>
      <c r="E123" s="272"/>
      <c r="F123" s="272"/>
      <c r="G123" s="272"/>
      <c r="H123" s="272"/>
      <c r="I123" s="272"/>
      <c r="J123" s="272"/>
      <c r="K123" s="272"/>
      <c r="L123" s="272"/>
      <c r="M123" s="272"/>
      <c r="N123" s="272"/>
      <c r="O123" s="272"/>
      <c r="P123" s="272"/>
      <c r="Q123" s="272"/>
      <c r="R123" s="317">
        <v>-673</v>
      </c>
      <c r="S123" s="317"/>
      <c r="T123" s="318"/>
      <c r="U123" s="275"/>
      <c r="V123" s="5"/>
    </row>
    <row r="124" spans="1:22" ht="15.6" x14ac:dyDescent="0.3">
      <c r="A124" s="302"/>
      <c r="B124" s="272" t="s">
        <v>241</v>
      </c>
      <c r="C124" s="272"/>
      <c r="D124" s="272"/>
      <c r="E124" s="272"/>
      <c r="F124" s="272"/>
      <c r="G124" s="272"/>
      <c r="H124" s="272"/>
      <c r="I124" s="272"/>
      <c r="J124" s="272"/>
      <c r="K124" s="272"/>
      <c r="L124" s="272"/>
      <c r="M124" s="272"/>
      <c r="N124" s="272"/>
      <c r="O124" s="272"/>
      <c r="P124" s="272"/>
      <c r="Q124" s="272"/>
      <c r="R124" s="317">
        <v>-94</v>
      </c>
      <c r="S124" s="317"/>
      <c r="T124" s="318"/>
      <c r="U124" s="275"/>
      <c r="V124" s="5"/>
    </row>
    <row r="125" spans="1:22" ht="15.6" x14ac:dyDescent="0.3">
      <c r="A125" s="302"/>
      <c r="B125" s="272" t="s">
        <v>237</v>
      </c>
      <c r="C125" s="272"/>
      <c r="D125" s="272"/>
      <c r="E125" s="272"/>
      <c r="F125" s="272"/>
      <c r="G125" s="272"/>
      <c r="H125" s="272"/>
      <c r="I125" s="272"/>
      <c r="J125" s="272"/>
      <c r="K125" s="272"/>
      <c r="L125" s="272"/>
      <c r="M125" s="272"/>
      <c r="N125" s="272"/>
      <c r="O125" s="272"/>
      <c r="P125" s="272"/>
      <c r="Q125" s="272"/>
      <c r="R125" s="317">
        <v>-44</v>
      </c>
      <c r="S125" s="317"/>
      <c r="T125" s="318"/>
      <c r="U125" s="275"/>
      <c r="V125" s="5"/>
    </row>
    <row r="126" spans="1:22" ht="15.6" x14ac:dyDescent="0.3">
      <c r="A126" s="302"/>
      <c r="B126" s="272" t="s">
        <v>238</v>
      </c>
      <c r="C126" s="272"/>
      <c r="D126" s="272"/>
      <c r="E126" s="272"/>
      <c r="F126" s="272"/>
      <c r="G126" s="272"/>
      <c r="H126" s="272"/>
      <c r="I126" s="272"/>
      <c r="J126" s="272"/>
      <c r="K126" s="272"/>
      <c r="L126" s="272"/>
      <c r="M126" s="272"/>
      <c r="N126" s="272"/>
      <c r="O126" s="272"/>
      <c r="P126" s="272"/>
      <c r="Q126" s="272"/>
      <c r="R126" s="317">
        <v>-127</v>
      </c>
      <c r="S126" s="317"/>
      <c r="T126" s="318"/>
      <c r="U126" s="275"/>
      <c r="V126" s="5"/>
    </row>
    <row r="127" spans="1:22" ht="15.6" x14ac:dyDescent="0.3">
      <c r="A127" s="302"/>
      <c r="B127" s="272" t="s">
        <v>239</v>
      </c>
      <c r="C127" s="272"/>
      <c r="D127" s="272"/>
      <c r="E127" s="272"/>
      <c r="F127" s="272"/>
      <c r="G127" s="272"/>
      <c r="H127" s="272"/>
      <c r="I127" s="272"/>
      <c r="J127" s="272"/>
      <c r="K127" s="272"/>
      <c r="L127" s="272"/>
      <c r="M127" s="272"/>
      <c r="N127" s="272"/>
      <c r="O127" s="272"/>
      <c r="P127" s="272"/>
      <c r="Q127" s="272"/>
      <c r="R127" s="317">
        <v>-19</v>
      </c>
      <c r="S127" s="317"/>
      <c r="T127" s="318"/>
      <c r="U127" s="275"/>
      <c r="V127" s="5"/>
    </row>
    <row r="128" spans="1:22" ht="15.6" x14ac:dyDescent="0.3">
      <c r="A128" s="302"/>
      <c r="B128" s="272" t="s">
        <v>240</v>
      </c>
      <c r="C128" s="272"/>
      <c r="D128" s="272"/>
      <c r="E128" s="272"/>
      <c r="F128" s="272"/>
      <c r="G128" s="272"/>
      <c r="H128" s="272"/>
      <c r="I128" s="272"/>
      <c r="J128" s="272"/>
      <c r="K128" s="272"/>
      <c r="L128" s="272"/>
      <c r="M128" s="272"/>
      <c r="N128" s="272"/>
      <c r="O128" s="272"/>
      <c r="P128" s="272"/>
      <c r="Q128" s="272"/>
      <c r="R128" s="317">
        <v>-284</v>
      </c>
      <c r="S128" s="317"/>
      <c r="T128" s="318"/>
      <c r="U128" s="275"/>
      <c r="V128" s="5"/>
    </row>
    <row r="129" spans="1:22" ht="15.6" x14ac:dyDescent="0.3">
      <c r="A129" s="302"/>
      <c r="B129" s="272" t="s">
        <v>43</v>
      </c>
      <c r="C129" s="272"/>
      <c r="D129" s="272"/>
      <c r="E129" s="272"/>
      <c r="F129" s="272"/>
      <c r="G129" s="272"/>
      <c r="H129" s="272"/>
      <c r="I129" s="272"/>
      <c r="J129" s="272"/>
      <c r="K129" s="272"/>
      <c r="L129" s="272"/>
      <c r="M129" s="272"/>
      <c r="N129" s="272"/>
      <c r="O129" s="272"/>
      <c r="P129" s="272"/>
      <c r="Q129" s="272"/>
      <c r="R129" s="317">
        <f>SUM(R119:R128)</f>
        <v>-2238</v>
      </c>
      <c r="S129" s="317"/>
      <c r="T129" s="317">
        <f>SUM(T98:T127)</f>
        <v>-2430</v>
      </c>
      <c r="U129" s="275"/>
      <c r="V129" s="5"/>
    </row>
    <row r="130" spans="1:22" ht="15.6" x14ac:dyDescent="0.3">
      <c r="A130" s="302"/>
      <c r="B130" s="272" t="s">
        <v>44</v>
      </c>
      <c r="C130" s="272"/>
      <c r="D130" s="272"/>
      <c r="E130" s="272"/>
      <c r="F130" s="272"/>
      <c r="G130" s="272"/>
      <c r="H130" s="272"/>
      <c r="I130" s="272"/>
      <c r="J130" s="272"/>
      <c r="K130" s="272"/>
      <c r="L130" s="272"/>
      <c r="M130" s="272"/>
      <c r="N130" s="272"/>
      <c r="O130" s="272"/>
      <c r="P130" s="272"/>
      <c r="Q130" s="272"/>
      <c r="R130" s="317">
        <f>R97+R129+R112</f>
        <v>0</v>
      </c>
      <c r="S130" s="317"/>
      <c r="T130" s="317">
        <f>T97+T129</f>
        <v>0</v>
      </c>
      <c r="U130" s="275"/>
      <c r="V130" s="5"/>
    </row>
    <row r="131" spans="1:22" ht="15.6" x14ac:dyDescent="0.3">
      <c r="A131" s="233"/>
      <c r="B131" s="268"/>
      <c r="C131" s="268"/>
      <c r="D131" s="268"/>
      <c r="E131" s="268"/>
      <c r="F131" s="268"/>
      <c r="G131" s="268"/>
      <c r="H131" s="268"/>
      <c r="I131" s="268"/>
      <c r="J131" s="268"/>
      <c r="K131" s="268"/>
      <c r="L131" s="268"/>
      <c r="M131" s="268"/>
      <c r="N131" s="268"/>
      <c r="O131" s="268"/>
      <c r="P131" s="268"/>
      <c r="Q131" s="268"/>
      <c r="R131" s="333"/>
      <c r="S131" s="333"/>
      <c r="T131" s="333"/>
      <c r="U131" s="268"/>
      <c r="V131" s="5"/>
    </row>
    <row r="132" spans="1:22" ht="15.6" x14ac:dyDescent="0.3">
      <c r="A132" s="233"/>
      <c r="B132" s="234"/>
      <c r="C132" s="234"/>
      <c r="D132" s="234"/>
      <c r="E132" s="234"/>
      <c r="F132" s="234"/>
      <c r="G132" s="234"/>
      <c r="H132" s="234"/>
      <c r="I132" s="234"/>
      <c r="J132" s="234"/>
      <c r="K132" s="234"/>
      <c r="L132" s="234"/>
      <c r="M132" s="234"/>
      <c r="N132" s="234"/>
      <c r="O132" s="234"/>
      <c r="P132" s="234"/>
      <c r="Q132" s="234"/>
      <c r="R132" s="234"/>
      <c r="S132" s="234"/>
      <c r="T132" s="243"/>
      <c r="U132" s="234"/>
      <c r="V132" s="5"/>
    </row>
    <row r="133" spans="1:22" ht="18" thickBot="1" x14ac:dyDescent="0.35">
      <c r="A133" s="237"/>
      <c r="B133" s="238" t="str">
        <f>B61</f>
        <v>PM9 INVESTOR REPORT QUARTER ENDING JULY 2011</v>
      </c>
      <c r="C133" s="239"/>
      <c r="D133" s="239"/>
      <c r="E133" s="239"/>
      <c r="F133" s="239"/>
      <c r="G133" s="239"/>
      <c r="H133" s="239"/>
      <c r="I133" s="239"/>
      <c r="J133" s="239"/>
      <c r="K133" s="239"/>
      <c r="L133" s="239"/>
      <c r="M133" s="239"/>
      <c r="N133" s="239"/>
      <c r="O133" s="239"/>
      <c r="P133" s="239"/>
      <c r="Q133" s="239"/>
      <c r="R133" s="239"/>
      <c r="S133" s="239"/>
      <c r="T133" s="244"/>
      <c r="U133" s="241"/>
      <c r="V133" s="5"/>
    </row>
    <row r="134" spans="1:22" ht="15.6" x14ac:dyDescent="0.3">
      <c r="A134" s="321"/>
      <c r="B134" s="324" t="s">
        <v>45</v>
      </c>
      <c r="C134" s="322"/>
      <c r="D134" s="322"/>
      <c r="E134" s="322"/>
      <c r="F134" s="322"/>
      <c r="G134" s="322"/>
      <c r="H134" s="322"/>
      <c r="I134" s="322"/>
      <c r="J134" s="322"/>
      <c r="K134" s="322"/>
      <c r="L134" s="322"/>
      <c r="M134" s="322"/>
      <c r="N134" s="322"/>
      <c r="O134" s="322"/>
      <c r="P134" s="322"/>
      <c r="Q134" s="322"/>
      <c r="R134" s="322"/>
      <c r="S134" s="322"/>
      <c r="T134" s="323"/>
      <c r="U134" s="322"/>
      <c r="V134" s="5"/>
    </row>
    <row r="135" spans="1:22" ht="15.6" x14ac:dyDescent="0.3">
      <c r="A135" s="177"/>
      <c r="B135" s="191"/>
      <c r="C135" s="179"/>
      <c r="D135" s="179"/>
      <c r="E135" s="179"/>
      <c r="F135" s="179"/>
      <c r="G135" s="179"/>
      <c r="H135" s="179"/>
      <c r="I135" s="179"/>
      <c r="J135" s="179"/>
      <c r="K135" s="179"/>
      <c r="L135" s="179"/>
      <c r="M135" s="179"/>
      <c r="N135" s="179"/>
      <c r="O135" s="179"/>
      <c r="P135" s="179"/>
      <c r="Q135" s="179"/>
      <c r="R135" s="179"/>
      <c r="S135" s="179"/>
      <c r="T135" s="197"/>
      <c r="U135" s="179"/>
      <c r="V135" s="5"/>
    </row>
    <row r="136" spans="1:22" ht="15.6" x14ac:dyDescent="0.3">
      <c r="A136" s="177"/>
      <c r="B136" s="204" t="s">
        <v>46</v>
      </c>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271"/>
      <c r="B137" s="272" t="s">
        <v>47</v>
      </c>
      <c r="C137" s="272"/>
      <c r="D137" s="272"/>
      <c r="E137" s="272"/>
      <c r="F137" s="272"/>
      <c r="G137" s="272"/>
      <c r="H137" s="272"/>
      <c r="I137" s="272"/>
      <c r="J137" s="272"/>
      <c r="K137" s="272"/>
      <c r="L137" s="272"/>
      <c r="M137" s="272"/>
      <c r="N137" s="272"/>
      <c r="O137" s="272"/>
      <c r="P137" s="272"/>
      <c r="Q137" s="272"/>
      <c r="R137" s="272"/>
      <c r="S137" s="272"/>
      <c r="T137" s="318">
        <f>+T32*0.0176</f>
        <v>12320</v>
      </c>
      <c r="U137" s="275"/>
      <c r="V137" s="5"/>
    </row>
    <row r="138" spans="1:22" ht="15.6" x14ac:dyDescent="0.3">
      <c r="A138" s="271"/>
      <c r="B138" s="272" t="s">
        <v>48</v>
      </c>
      <c r="C138" s="272"/>
      <c r="D138" s="272"/>
      <c r="E138" s="272"/>
      <c r="F138" s="272"/>
      <c r="G138" s="272"/>
      <c r="H138" s="272"/>
      <c r="I138" s="272"/>
      <c r="J138" s="272"/>
      <c r="K138" s="272"/>
      <c r="L138" s="272"/>
      <c r="M138" s="272"/>
      <c r="N138" s="272"/>
      <c r="O138" s="272"/>
      <c r="P138" s="272"/>
      <c r="Q138" s="272"/>
      <c r="R138" s="272"/>
      <c r="S138" s="272"/>
      <c r="T138" s="318">
        <v>12320</v>
      </c>
      <c r="U138" s="275"/>
      <c r="V138" s="5"/>
    </row>
    <row r="139" spans="1:22" ht="15.6" x14ac:dyDescent="0.3">
      <c r="A139" s="271"/>
      <c r="B139" s="272" t="s">
        <v>145</v>
      </c>
      <c r="C139" s="272"/>
      <c r="D139" s="272"/>
      <c r="E139" s="272"/>
      <c r="F139" s="272"/>
      <c r="G139" s="272"/>
      <c r="H139" s="272"/>
      <c r="I139" s="272"/>
      <c r="J139" s="272"/>
      <c r="K139" s="272"/>
      <c r="L139" s="272"/>
      <c r="M139" s="272"/>
      <c r="N139" s="272"/>
      <c r="O139" s="272"/>
      <c r="P139" s="272"/>
      <c r="Q139" s="272"/>
      <c r="R139" s="272"/>
      <c r="S139" s="272"/>
      <c r="T139" s="318">
        <v>0</v>
      </c>
      <c r="U139" s="275"/>
      <c r="V139" s="5"/>
    </row>
    <row r="140" spans="1:22" ht="15.6" x14ac:dyDescent="0.3">
      <c r="A140" s="271"/>
      <c r="B140" s="272" t="s">
        <v>132</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133</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232</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49</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138</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231</v>
      </c>
      <c r="C145" s="272"/>
      <c r="D145" s="272"/>
      <c r="E145" s="272"/>
      <c r="F145" s="272"/>
      <c r="G145" s="272"/>
      <c r="H145" s="272"/>
      <c r="I145" s="272"/>
      <c r="J145" s="272"/>
      <c r="K145" s="272"/>
      <c r="L145" s="272"/>
      <c r="M145" s="272"/>
      <c r="N145" s="272"/>
      <c r="O145" s="272"/>
      <c r="P145" s="272"/>
      <c r="Q145" s="272"/>
      <c r="R145" s="272"/>
      <c r="S145" s="272"/>
      <c r="T145" s="318">
        <v>0</v>
      </c>
      <c r="U145" s="275"/>
      <c r="V145" s="5"/>
      <c r="W145" s="110"/>
    </row>
    <row r="146" spans="1:23" ht="15.6" x14ac:dyDescent="0.3">
      <c r="A146" s="271"/>
      <c r="B146" s="272" t="s">
        <v>50</v>
      </c>
      <c r="C146" s="272"/>
      <c r="D146" s="272"/>
      <c r="E146" s="272"/>
      <c r="F146" s="272"/>
      <c r="G146" s="272"/>
      <c r="H146" s="272"/>
      <c r="I146" s="272"/>
      <c r="J146" s="272"/>
      <c r="K146" s="272"/>
      <c r="L146" s="272"/>
      <c r="M146" s="272"/>
      <c r="N146" s="272"/>
      <c r="O146" s="272"/>
      <c r="P146" s="272"/>
      <c r="Q146" s="272"/>
      <c r="R146" s="272"/>
      <c r="S146" s="272"/>
      <c r="T146" s="318">
        <f>SUM(T138:T145)</f>
        <v>12320</v>
      </c>
      <c r="U146" s="275"/>
      <c r="V146" s="5"/>
    </row>
    <row r="147" spans="1:23" ht="15.6" x14ac:dyDescent="0.3">
      <c r="A147" s="271"/>
      <c r="B147" s="337"/>
      <c r="C147" s="337"/>
      <c r="D147" s="337"/>
      <c r="E147" s="337"/>
      <c r="F147" s="337"/>
      <c r="G147" s="337"/>
      <c r="H147" s="337"/>
      <c r="I147" s="337"/>
      <c r="J147" s="337"/>
      <c r="K147" s="337"/>
      <c r="L147" s="337"/>
      <c r="M147" s="337"/>
      <c r="N147" s="337"/>
      <c r="O147" s="337"/>
      <c r="P147" s="337"/>
      <c r="Q147" s="337"/>
      <c r="R147" s="337"/>
      <c r="S147" s="337"/>
      <c r="T147" s="339"/>
      <c r="U147" s="340"/>
      <c r="V147" s="5"/>
    </row>
    <row r="148" spans="1:23" ht="15.6" x14ac:dyDescent="0.3">
      <c r="A148" s="271"/>
      <c r="B148" s="336" t="s">
        <v>264</v>
      </c>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272" t="s">
        <v>170</v>
      </c>
      <c r="C149" s="272"/>
      <c r="D149" s="272"/>
      <c r="E149" s="272"/>
      <c r="F149" s="272"/>
      <c r="G149" s="272"/>
      <c r="H149" s="272"/>
      <c r="I149" s="272"/>
      <c r="J149" s="272"/>
      <c r="K149" s="272"/>
      <c r="L149" s="272"/>
      <c r="M149" s="272"/>
      <c r="N149" s="272"/>
      <c r="O149" s="272"/>
      <c r="P149" s="272"/>
      <c r="Q149" s="272"/>
      <c r="R149" s="272"/>
      <c r="S149" s="272"/>
      <c r="T149" s="318">
        <v>10000</v>
      </c>
      <c r="U149" s="275"/>
      <c r="V149" s="5"/>
    </row>
    <row r="150" spans="1:23" ht="15.6" x14ac:dyDescent="0.3">
      <c r="A150" s="271"/>
      <c r="B150" s="272" t="s">
        <v>260</v>
      </c>
      <c r="C150" s="272"/>
      <c r="D150" s="272"/>
      <c r="E150" s="272"/>
      <c r="F150" s="272"/>
      <c r="G150" s="272"/>
      <c r="H150" s="272"/>
      <c r="I150" s="272"/>
      <c r="J150" s="272"/>
      <c r="K150" s="272"/>
      <c r="L150" s="272"/>
      <c r="M150" s="272"/>
      <c r="N150" s="272"/>
      <c r="O150" s="272"/>
      <c r="P150" s="272"/>
      <c r="Q150" s="272"/>
      <c r="R150" s="272"/>
      <c r="S150" s="272"/>
      <c r="T150" s="318">
        <v>1819</v>
      </c>
      <c r="U150" s="275"/>
      <c r="V150" s="5"/>
    </row>
    <row r="151" spans="1:23" ht="15.6" x14ac:dyDescent="0.3">
      <c r="A151" s="271"/>
      <c r="B151" s="272" t="s">
        <v>228</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300</v>
      </c>
      <c r="C152" s="272"/>
      <c r="D152" s="272"/>
      <c r="E152" s="272"/>
      <c r="F152" s="272"/>
      <c r="G152" s="272"/>
      <c r="H152" s="272"/>
      <c r="I152" s="272"/>
      <c r="J152" s="272"/>
      <c r="K152" s="272"/>
      <c r="L152" s="272"/>
      <c r="M152" s="272"/>
      <c r="N152" s="272"/>
      <c r="O152" s="272"/>
      <c r="P152" s="272"/>
      <c r="Q152" s="272"/>
      <c r="R152" s="272"/>
      <c r="S152" s="272"/>
      <c r="T152" s="318">
        <v>1819</v>
      </c>
      <c r="U152" s="275"/>
      <c r="V152" s="5"/>
    </row>
    <row r="153" spans="1:23" ht="15.6" x14ac:dyDescent="0.3">
      <c r="A153" s="271"/>
      <c r="B153" s="337"/>
      <c r="C153" s="337"/>
      <c r="D153" s="337"/>
      <c r="E153" s="337"/>
      <c r="F153" s="337"/>
      <c r="G153" s="337"/>
      <c r="H153" s="337"/>
      <c r="I153" s="337"/>
      <c r="J153" s="337"/>
      <c r="K153" s="337"/>
      <c r="L153" s="337"/>
      <c r="M153" s="337"/>
      <c r="N153" s="337"/>
      <c r="O153" s="337"/>
      <c r="P153" s="337"/>
      <c r="Q153" s="337"/>
      <c r="R153" s="337"/>
      <c r="S153" s="337"/>
      <c r="T153" s="339"/>
      <c r="U153" s="340"/>
      <c r="V153" s="5"/>
    </row>
    <row r="154" spans="1:23" ht="15.6" x14ac:dyDescent="0.3">
      <c r="A154" s="177"/>
      <c r="B154" s="314"/>
      <c r="C154" s="314"/>
      <c r="D154" s="314"/>
      <c r="E154" s="314"/>
      <c r="F154" s="314"/>
      <c r="G154" s="314"/>
      <c r="H154" s="314"/>
      <c r="I154" s="314"/>
      <c r="J154" s="314"/>
      <c r="K154" s="314"/>
      <c r="L154" s="314"/>
      <c r="M154" s="314"/>
      <c r="N154" s="314"/>
      <c r="O154" s="314"/>
      <c r="P154" s="314"/>
      <c r="Q154" s="314"/>
      <c r="R154" s="314"/>
      <c r="S154" s="314"/>
      <c r="T154" s="342"/>
      <c r="U154" s="314"/>
      <c r="V154" s="5"/>
    </row>
    <row r="155" spans="1:23" ht="15.6" x14ac:dyDescent="0.3">
      <c r="A155" s="177"/>
      <c r="B155" s="204" t="s">
        <v>25</v>
      </c>
      <c r="C155" s="179"/>
      <c r="D155" s="179"/>
      <c r="E155" s="179"/>
      <c r="F155" s="179"/>
      <c r="G155" s="179"/>
      <c r="H155" s="179"/>
      <c r="I155" s="179"/>
      <c r="J155" s="179"/>
      <c r="K155" s="179"/>
      <c r="L155" s="179"/>
      <c r="M155" s="179"/>
      <c r="N155" s="179"/>
      <c r="O155" s="179"/>
      <c r="P155" s="179"/>
      <c r="Q155" s="179"/>
      <c r="R155" s="179"/>
      <c r="S155" s="179"/>
      <c r="T155" s="197"/>
      <c r="U155" s="179"/>
      <c r="V155" s="5"/>
    </row>
    <row r="156" spans="1:23" ht="15.6" x14ac:dyDescent="0.3">
      <c r="A156" s="271"/>
      <c r="B156" s="272" t="s">
        <v>51</v>
      </c>
      <c r="C156" s="272"/>
      <c r="D156" s="272"/>
      <c r="E156" s="272"/>
      <c r="F156" s="272"/>
      <c r="G156" s="272"/>
      <c r="H156" s="272"/>
      <c r="I156" s="272"/>
      <c r="J156" s="272"/>
      <c r="K156" s="272"/>
      <c r="L156" s="272"/>
      <c r="M156" s="272"/>
      <c r="N156" s="272"/>
      <c r="O156" s="272"/>
      <c r="P156" s="272"/>
      <c r="Q156" s="272"/>
      <c r="R156" s="272"/>
      <c r="S156" s="272"/>
      <c r="T156" s="343" t="s">
        <v>127</v>
      </c>
      <c r="U156" s="340"/>
      <c r="V156" s="5"/>
    </row>
    <row r="157" spans="1:23" ht="15.6" x14ac:dyDescent="0.3">
      <c r="A157" s="271"/>
      <c r="B157" s="272" t="s">
        <v>52</v>
      </c>
      <c r="C157" s="274"/>
      <c r="D157" s="274"/>
      <c r="E157" s="274"/>
      <c r="F157" s="274"/>
      <c r="G157" s="274"/>
      <c r="H157" s="274"/>
      <c r="I157" s="274"/>
      <c r="J157" s="274"/>
      <c r="K157" s="274"/>
      <c r="L157" s="274"/>
      <c r="M157" s="274"/>
      <c r="N157" s="274"/>
      <c r="O157" s="274"/>
      <c r="P157" s="274"/>
      <c r="Q157" s="274"/>
      <c r="R157" s="274"/>
      <c r="S157" s="274"/>
      <c r="T157" s="343" t="s">
        <v>127</v>
      </c>
      <c r="U157" s="340"/>
      <c r="V157" s="5"/>
    </row>
    <row r="158" spans="1:23" ht="15.6" x14ac:dyDescent="0.3">
      <c r="A158" s="271"/>
      <c r="B158" s="272" t="s">
        <v>53</v>
      </c>
      <c r="C158" s="272"/>
      <c r="D158" s="272"/>
      <c r="E158" s="272"/>
      <c r="F158" s="272"/>
      <c r="G158" s="272"/>
      <c r="H158" s="272"/>
      <c r="I158" s="272"/>
      <c r="J158" s="272"/>
      <c r="K158" s="272"/>
      <c r="L158" s="272"/>
      <c r="M158" s="272"/>
      <c r="N158" s="272"/>
      <c r="O158" s="272"/>
      <c r="P158" s="272"/>
      <c r="Q158" s="272"/>
      <c r="R158" s="272"/>
      <c r="S158" s="272"/>
      <c r="T158" s="343" t="s">
        <v>127</v>
      </c>
      <c r="U158" s="340"/>
      <c r="V158" s="5"/>
    </row>
    <row r="159" spans="1:23" ht="15.6" x14ac:dyDescent="0.3">
      <c r="A159" s="271"/>
      <c r="B159" s="272" t="s">
        <v>54</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177"/>
      <c r="B160" s="314"/>
      <c r="C160" s="314"/>
      <c r="D160" s="314"/>
      <c r="E160" s="314"/>
      <c r="F160" s="314"/>
      <c r="G160" s="314"/>
      <c r="H160" s="314"/>
      <c r="I160" s="314"/>
      <c r="J160" s="314"/>
      <c r="K160" s="314"/>
      <c r="L160" s="314"/>
      <c r="M160" s="314"/>
      <c r="N160" s="314"/>
      <c r="O160" s="314"/>
      <c r="P160" s="314"/>
      <c r="Q160" s="314"/>
      <c r="R160" s="314"/>
      <c r="S160" s="314"/>
      <c r="T160" s="342"/>
      <c r="U160" s="314"/>
      <c r="V160" s="5"/>
    </row>
    <row r="161" spans="1:22" ht="15.6" x14ac:dyDescent="0.3">
      <c r="A161" s="177"/>
      <c r="B161" s="204" t="s">
        <v>55</v>
      </c>
      <c r="C161" s="179"/>
      <c r="D161" s="179"/>
      <c r="E161" s="179"/>
      <c r="F161" s="179"/>
      <c r="G161" s="179"/>
      <c r="H161" s="179"/>
      <c r="I161" s="179"/>
      <c r="J161" s="179"/>
      <c r="K161" s="179"/>
      <c r="L161" s="179"/>
      <c r="M161" s="179"/>
      <c r="N161" s="179"/>
      <c r="O161" s="179"/>
      <c r="P161" s="179"/>
      <c r="Q161" s="179"/>
      <c r="R161" s="179"/>
      <c r="S161" s="179"/>
      <c r="T161" s="205"/>
      <c r="U161" s="179"/>
      <c r="V161" s="5"/>
    </row>
    <row r="162" spans="1:22" ht="15.6" x14ac:dyDescent="0.3">
      <c r="A162" s="271"/>
      <c r="B162" s="272" t="s">
        <v>56</v>
      </c>
      <c r="C162" s="272"/>
      <c r="D162" s="272"/>
      <c r="E162" s="272"/>
      <c r="F162" s="272"/>
      <c r="G162" s="272"/>
      <c r="H162" s="272"/>
      <c r="I162" s="272"/>
      <c r="J162" s="272"/>
      <c r="K162" s="272"/>
      <c r="L162" s="272"/>
      <c r="M162" s="272"/>
      <c r="N162" s="272"/>
      <c r="O162" s="272"/>
      <c r="P162" s="272"/>
      <c r="Q162" s="272"/>
      <c r="R162" s="272"/>
      <c r="S162" s="272"/>
      <c r="T162" s="318">
        <v>0</v>
      </c>
      <c r="U162" s="340"/>
      <c r="V162" s="5"/>
    </row>
    <row r="163" spans="1:22" ht="15.6" x14ac:dyDescent="0.3">
      <c r="A163" s="271"/>
      <c r="B163" s="272" t="s">
        <v>57</v>
      </c>
      <c r="C163" s="272"/>
      <c r="D163" s="272"/>
      <c r="E163" s="272"/>
      <c r="F163" s="272"/>
      <c r="G163" s="272"/>
      <c r="H163" s="272"/>
      <c r="I163" s="272"/>
      <c r="J163" s="272"/>
      <c r="K163" s="272"/>
      <c r="L163" s="272"/>
      <c r="M163" s="272"/>
      <c r="N163" s="272"/>
      <c r="O163" s="272"/>
      <c r="P163" s="272"/>
      <c r="Q163" s="272"/>
      <c r="R163" s="272"/>
      <c r="S163" s="272"/>
      <c r="T163" s="318">
        <f>-T112</f>
        <v>-1018</v>
      </c>
      <c r="U163" s="340"/>
      <c r="V163" s="5"/>
    </row>
    <row r="164" spans="1:22" ht="15.6" x14ac:dyDescent="0.3">
      <c r="A164" s="271"/>
      <c r="B164" s="272" t="s">
        <v>58</v>
      </c>
      <c r="C164" s="272"/>
      <c r="D164" s="272"/>
      <c r="E164" s="272"/>
      <c r="F164" s="272"/>
      <c r="G164" s="272"/>
      <c r="H164" s="272"/>
      <c r="I164" s="272"/>
      <c r="J164" s="272"/>
      <c r="K164" s="272"/>
      <c r="L164" s="272"/>
      <c r="M164" s="272"/>
      <c r="N164" s="272"/>
      <c r="O164" s="272"/>
      <c r="P164" s="272"/>
      <c r="Q164" s="272"/>
      <c r="R164" s="272"/>
      <c r="S164" s="272"/>
      <c r="T164" s="318">
        <f>T163+T162</f>
        <v>-1018</v>
      </c>
      <c r="U164" s="340"/>
      <c r="V164" s="5"/>
    </row>
    <row r="165" spans="1:22" ht="15.6" x14ac:dyDescent="0.3">
      <c r="A165" s="271"/>
      <c r="B165" s="400" t="s">
        <v>309</v>
      </c>
      <c r="C165" s="272"/>
      <c r="D165" s="272"/>
      <c r="E165" s="272"/>
      <c r="F165" s="272"/>
      <c r="G165" s="272"/>
      <c r="H165" s="272"/>
      <c r="I165" s="272"/>
      <c r="J165" s="272"/>
      <c r="K165" s="272"/>
      <c r="L165" s="272"/>
      <c r="M165" s="272"/>
      <c r="N165" s="272"/>
      <c r="O165" s="272"/>
      <c r="P165" s="272"/>
      <c r="Q165" s="272"/>
      <c r="R165" s="272"/>
      <c r="S165" s="272"/>
      <c r="T165" s="318">
        <f>T112</f>
        <v>1018</v>
      </c>
      <c r="U165" s="340"/>
      <c r="V165" s="5"/>
    </row>
    <row r="166" spans="1:22" ht="15.6" x14ac:dyDescent="0.3">
      <c r="A166" s="271"/>
      <c r="B166" s="272" t="s">
        <v>59</v>
      </c>
      <c r="C166" s="272"/>
      <c r="D166" s="272"/>
      <c r="E166" s="272"/>
      <c r="F166" s="272"/>
      <c r="G166" s="272"/>
      <c r="H166" s="272"/>
      <c r="I166" s="272"/>
      <c r="J166" s="272"/>
      <c r="K166" s="272"/>
      <c r="L166" s="272"/>
      <c r="M166" s="272"/>
      <c r="N166" s="272"/>
      <c r="O166" s="272"/>
      <c r="P166" s="272"/>
      <c r="Q166" s="272"/>
      <c r="R166" s="272"/>
      <c r="S166" s="272"/>
      <c r="T166" s="318">
        <f>T164+T165</f>
        <v>0</v>
      </c>
      <c r="U166" s="340"/>
      <c r="V166" s="5"/>
    </row>
    <row r="167" spans="1:22" ht="15.6" x14ac:dyDescent="0.3">
      <c r="A167" s="271"/>
      <c r="B167" s="272" t="s">
        <v>278</v>
      </c>
      <c r="C167" s="272"/>
      <c r="D167" s="272"/>
      <c r="E167" s="272"/>
      <c r="F167" s="272"/>
      <c r="G167" s="272"/>
      <c r="H167" s="272"/>
      <c r="I167" s="272"/>
      <c r="J167" s="272"/>
      <c r="K167" s="272"/>
      <c r="L167" s="272"/>
      <c r="M167" s="272"/>
      <c r="N167" s="272"/>
      <c r="O167" s="272"/>
      <c r="P167" s="272"/>
      <c r="Q167" s="272"/>
      <c r="R167" s="272"/>
      <c r="S167" s="272"/>
      <c r="T167" s="318">
        <v>0</v>
      </c>
      <c r="U167" s="340"/>
      <c r="V167" s="5"/>
    </row>
    <row r="168" spans="1:22" ht="16.2" thickBot="1" x14ac:dyDescent="0.35">
      <c r="A168" s="177"/>
      <c r="B168" s="268"/>
      <c r="C168" s="268"/>
      <c r="D168" s="268"/>
      <c r="E168" s="268"/>
      <c r="F168" s="268"/>
      <c r="G168" s="268"/>
      <c r="H168" s="268"/>
      <c r="I168" s="268"/>
      <c r="J168" s="268"/>
      <c r="K168" s="268"/>
      <c r="L168" s="268"/>
      <c r="M168" s="268"/>
      <c r="N168" s="268"/>
      <c r="O168" s="268"/>
      <c r="P168" s="268"/>
      <c r="Q168" s="268"/>
      <c r="R168" s="268"/>
      <c r="S168" s="268"/>
      <c r="T168" s="344"/>
      <c r="U168" s="314"/>
      <c r="V168" s="5"/>
    </row>
    <row r="169" spans="1:22" ht="15.6" x14ac:dyDescent="0.3">
      <c r="A169" s="175"/>
      <c r="B169" s="176"/>
      <c r="C169" s="176"/>
      <c r="D169" s="176"/>
      <c r="E169" s="176"/>
      <c r="F169" s="176"/>
      <c r="G169" s="176"/>
      <c r="H169" s="176"/>
      <c r="I169" s="176"/>
      <c r="J169" s="176"/>
      <c r="K169" s="176"/>
      <c r="L169" s="176"/>
      <c r="M169" s="176"/>
      <c r="N169" s="176"/>
      <c r="O169" s="176"/>
      <c r="P169" s="176"/>
      <c r="Q169" s="176"/>
      <c r="R169" s="176"/>
      <c r="S169" s="176"/>
      <c r="T169" s="196"/>
      <c r="U169" s="176"/>
      <c r="V169" s="5"/>
    </row>
    <row r="170" spans="1:22" ht="15.6" x14ac:dyDescent="0.3">
      <c r="A170" s="177"/>
      <c r="B170" s="204" t="s">
        <v>60</v>
      </c>
      <c r="C170" s="179"/>
      <c r="D170" s="179"/>
      <c r="E170" s="179"/>
      <c r="F170" s="179"/>
      <c r="G170" s="179"/>
      <c r="H170" s="179"/>
      <c r="I170" s="179"/>
      <c r="J170" s="179"/>
      <c r="K170" s="179"/>
      <c r="L170" s="179"/>
      <c r="M170" s="179"/>
      <c r="N170" s="179"/>
      <c r="O170" s="179"/>
      <c r="P170" s="179"/>
      <c r="Q170" s="179"/>
      <c r="R170" s="179"/>
      <c r="S170" s="179"/>
      <c r="T170" s="197"/>
      <c r="U170" s="179"/>
      <c r="V170" s="5"/>
    </row>
    <row r="171" spans="1:22" ht="15.6" x14ac:dyDescent="0.3">
      <c r="A171" s="177"/>
      <c r="B171" s="191"/>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271"/>
      <c r="B172" s="272" t="s">
        <v>61</v>
      </c>
      <c r="C172" s="272"/>
      <c r="D172" s="272"/>
      <c r="E172" s="272"/>
      <c r="F172" s="272"/>
      <c r="G172" s="272"/>
      <c r="H172" s="272"/>
      <c r="I172" s="272"/>
      <c r="J172" s="272"/>
      <c r="K172" s="272"/>
      <c r="L172" s="272"/>
      <c r="M172" s="272"/>
      <c r="N172" s="272"/>
      <c r="O172" s="272"/>
      <c r="P172" s="272"/>
      <c r="Q172" s="272"/>
      <c r="R172" s="272"/>
      <c r="S172" s="272"/>
      <c r="T172" s="318">
        <f>T68</f>
        <v>316207</v>
      </c>
      <c r="U172" s="340"/>
      <c r="V172" s="5"/>
    </row>
    <row r="173" spans="1:22" ht="15.6" x14ac:dyDescent="0.3">
      <c r="A173" s="271"/>
      <c r="B173" s="272" t="s">
        <v>62</v>
      </c>
      <c r="C173" s="272"/>
      <c r="D173" s="272"/>
      <c r="E173" s="272"/>
      <c r="F173" s="272"/>
      <c r="G173" s="272"/>
      <c r="H173" s="272"/>
      <c r="I173" s="272"/>
      <c r="J173" s="272"/>
      <c r="K173" s="272"/>
      <c r="L173" s="272"/>
      <c r="M173" s="272"/>
      <c r="N173" s="272"/>
      <c r="O173" s="272"/>
      <c r="P173" s="272"/>
      <c r="Q173" s="272"/>
      <c r="R173" s="272"/>
      <c r="S173" s="272"/>
      <c r="T173" s="318">
        <f>T81</f>
        <v>316207</v>
      </c>
      <c r="U173" s="340"/>
      <c r="V173" s="5"/>
    </row>
    <row r="174" spans="1:22" ht="16.2" thickBot="1" x14ac:dyDescent="0.35">
      <c r="A174" s="177"/>
      <c r="B174" s="314"/>
      <c r="C174" s="314"/>
      <c r="D174" s="314"/>
      <c r="E174" s="314"/>
      <c r="F174" s="314"/>
      <c r="G174" s="314"/>
      <c r="H174" s="314"/>
      <c r="I174" s="314"/>
      <c r="J174" s="314"/>
      <c r="K174" s="314"/>
      <c r="L174" s="314"/>
      <c r="M174" s="314"/>
      <c r="N174" s="314"/>
      <c r="O174" s="314"/>
      <c r="P174" s="314"/>
      <c r="Q174" s="314"/>
      <c r="R174" s="314"/>
      <c r="S174" s="314"/>
      <c r="T174" s="342"/>
      <c r="U174" s="314"/>
      <c r="V174" s="5"/>
    </row>
    <row r="175" spans="1:22" ht="15.6" x14ac:dyDescent="0.3">
      <c r="A175" s="175"/>
      <c r="B175" s="176"/>
      <c r="C175" s="176"/>
      <c r="D175" s="176"/>
      <c r="E175" s="176"/>
      <c r="F175" s="176"/>
      <c r="G175" s="176"/>
      <c r="H175" s="176"/>
      <c r="I175" s="176"/>
      <c r="J175" s="176"/>
      <c r="K175" s="176"/>
      <c r="L175" s="176"/>
      <c r="M175" s="176"/>
      <c r="N175" s="176"/>
      <c r="O175" s="176"/>
      <c r="P175" s="176"/>
      <c r="Q175" s="176"/>
      <c r="R175" s="176"/>
      <c r="S175" s="176"/>
      <c r="T175" s="196"/>
      <c r="U175" s="176"/>
      <c r="V175" s="5"/>
    </row>
    <row r="176" spans="1:22" ht="15.6" x14ac:dyDescent="0.3">
      <c r="A176" s="177"/>
      <c r="B176" s="204" t="s">
        <v>63</v>
      </c>
      <c r="C176" s="201"/>
      <c r="D176" s="201"/>
      <c r="E176" s="201"/>
      <c r="F176" s="201"/>
      <c r="G176" s="201"/>
      <c r="H176" s="206"/>
      <c r="I176" s="206"/>
      <c r="J176" s="206"/>
      <c r="K176" s="206"/>
      <c r="L176" s="206"/>
      <c r="M176" s="206"/>
      <c r="N176" s="206"/>
      <c r="O176" s="206"/>
      <c r="P176" s="206"/>
      <c r="Q176" s="206" t="s">
        <v>107</v>
      </c>
      <c r="R176" s="206" t="s">
        <v>234</v>
      </c>
      <c r="S176" s="181"/>
      <c r="T176" s="207" t="s">
        <v>123</v>
      </c>
      <c r="U176" s="208"/>
      <c r="V176" s="5"/>
    </row>
    <row r="177" spans="1:22" ht="15.6" x14ac:dyDescent="0.3">
      <c r="A177" s="271"/>
      <c r="B177" s="272" t="s">
        <v>64</v>
      </c>
      <c r="C177" s="272"/>
      <c r="D177" s="272"/>
      <c r="E177" s="272"/>
      <c r="F177" s="272"/>
      <c r="G177" s="272"/>
      <c r="H177" s="272"/>
      <c r="I177" s="272"/>
      <c r="J177" s="272"/>
      <c r="K177" s="272"/>
      <c r="L177" s="272"/>
      <c r="M177" s="272"/>
      <c r="N177" s="272"/>
      <c r="O177" s="272"/>
      <c r="P177" s="272"/>
      <c r="Q177" s="318">
        <v>112000</v>
      </c>
      <c r="R177" s="306"/>
      <c r="S177" s="272"/>
      <c r="T177" s="318"/>
      <c r="U177" s="275"/>
      <c r="V177" s="5"/>
    </row>
    <row r="178" spans="1:22" ht="15.6" x14ac:dyDescent="0.3">
      <c r="A178" s="271"/>
      <c r="B178" s="272" t="s">
        <v>65</v>
      </c>
      <c r="C178" s="272"/>
      <c r="D178" s="272"/>
      <c r="E178" s="272"/>
      <c r="F178" s="272"/>
      <c r="G178" s="272"/>
      <c r="H178" s="272"/>
      <c r="I178" s="272"/>
      <c r="J178" s="272"/>
      <c r="K178" s="272"/>
      <c r="L178" s="272"/>
      <c r="M178" s="272"/>
      <c r="N178" s="272"/>
      <c r="O178" s="272"/>
      <c r="P178" s="272"/>
      <c r="Q178" s="318">
        <f>+'April 11'!Q180</f>
        <v>46284</v>
      </c>
      <c r="R178" s="318">
        <f>+'April 11'!R180</f>
        <v>2435</v>
      </c>
      <c r="S178" s="272"/>
      <c r="T178" s="318">
        <f>Q178+R178</f>
        <v>48719</v>
      </c>
      <c r="U178" s="275"/>
      <c r="V178" s="5"/>
    </row>
    <row r="179" spans="1:22" ht="15.6" x14ac:dyDescent="0.3">
      <c r="A179" s="271"/>
      <c r="B179" s="272" t="s">
        <v>66</v>
      </c>
      <c r="C179" s="272"/>
      <c r="D179" s="272"/>
      <c r="E179" s="272"/>
      <c r="F179" s="272"/>
      <c r="G179" s="272"/>
      <c r="H179" s="272"/>
      <c r="I179" s="272"/>
      <c r="J179" s="272"/>
      <c r="K179" s="272"/>
      <c r="L179" s="272"/>
      <c r="M179" s="272"/>
      <c r="N179" s="272"/>
      <c r="O179" s="272"/>
      <c r="P179" s="272"/>
      <c r="Q179" s="317">
        <v>44</v>
      </c>
      <c r="R179" s="317">
        <v>0</v>
      </c>
      <c r="S179" s="272"/>
      <c r="T179" s="318">
        <f>Q179+R179</f>
        <v>44</v>
      </c>
      <c r="U179" s="275"/>
      <c r="V179" s="5"/>
    </row>
    <row r="180" spans="1:22" ht="15.6" x14ac:dyDescent="0.3">
      <c r="A180" s="271"/>
      <c r="B180" s="272" t="s">
        <v>67</v>
      </c>
      <c r="C180" s="272"/>
      <c r="D180" s="272"/>
      <c r="E180" s="272"/>
      <c r="F180" s="272"/>
      <c r="G180" s="272"/>
      <c r="H180" s="272"/>
      <c r="I180" s="272"/>
      <c r="J180" s="272"/>
      <c r="K180" s="272"/>
      <c r="L180" s="272"/>
      <c r="M180" s="272"/>
      <c r="N180" s="272"/>
      <c r="O180" s="272"/>
      <c r="P180" s="272"/>
      <c r="Q180" s="318">
        <f>Q178+Q179</f>
        <v>46328</v>
      </c>
      <c r="R180" s="318">
        <f>R179+R178</f>
        <v>2435</v>
      </c>
      <c r="S180" s="272"/>
      <c r="T180" s="318">
        <f>Q180+R180</f>
        <v>48763</v>
      </c>
      <c r="U180" s="275"/>
      <c r="V180" s="5"/>
    </row>
    <row r="181" spans="1:22" ht="15.6" x14ac:dyDescent="0.3">
      <c r="A181" s="271"/>
      <c r="B181" s="272" t="s">
        <v>68</v>
      </c>
      <c r="C181" s="272"/>
      <c r="D181" s="272"/>
      <c r="E181" s="272"/>
      <c r="F181" s="272"/>
      <c r="G181" s="272"/>
      <c r="H181" s="272"/>
      <c r="I181" s="272"/>
      <c r="J181" s="272"/>
      <c r="K181" s="272"/>
      <c r="L181" s="272"/>
      <c r="M181" s="272"/>
      <c r="N181" s="272"/>
      <c r="O181" s="272"/>
      <c r="P181" s="272"/>
      <c r="Q181" s="318">
        <f>Q177-Q180-R180</f>
        <v>63237</v>
      </c>
      <c r="R181" s="306"/>
      <c r="S181" s="272"/>
      <c r="T181" s="318"/>
      <c r="U181" s="275"/>
      <c r="V181" s="5"/>
    </row>
    <row r="182" spans="1:22" ht="16.2" thickBot="1" x14ac:dyDescent="0.35">
      <c r="A182" s="177"/>
      <c r="B182" s="314"/>
      <c r="C182" s="314"/>
      <c r="D182" s="314"/>
      <c r="E182" s="314"/>
      <c r="F182" s="314"/>
      <c r="G182" s="314"/>
      <c r="H182" s="314"/>
      <c r="I182" s="314"/>
      <c r="J182" s="314"/>
      <c r="K182" s="314"/>
      <c r="L182" s="314"/>
      <c r="M182" s="314"/>
      <c r="N182" s="314"/>
      <c r="O182" s="314"/>
      <c r="P182" s="314"/>
      <c r="Q182" s="314"/>
      <c r="R182" s="314"/>
      <c r="S182" s="314"/>
      <c r="T182" s="342"/>
      <c r="U182" s="314"/>
      <c r="V182" s="5"/>
    </row>
    <row r="183" spans="1:22" ht="15.6" x14ac:dyDescent="0.3">
      <c r="A183" s="175"/>
      <c r="B183" s="176"/>
      <c r="C183" s="176"/>
      <c r="D183" s="176"/>
      <c r="E183" s="176"/>
      <c r="F183" s="176"/>
      <c r="G183" s="176"/>
      <c r="H183" s="176"/>
      <c r="I183" s="176"/>
      <c r="J183" s="176"/>
      <c r="K183" s="176"/>
      <c r="L183" s="176"/>
      <c r="M183" s="176"/>
      <c r="N183" s="176"/>
      <c r="O183" s="176"/>
      <c r="P183" s="176"/>
      <c r="Q183" s="176"/>
      <c r="R183" s="176"/>
      <c r="S183" s="176"/>
      <c r="T183" s="196"/>
      <c r="U183" s="176"/>
      <c r="V183" s="5"/>
    </row>
    <row r="184" spans="1:22" ht="15.6" x14ac:dyDescent="0.3">
      <c r="A184" s="177"/>
      <c r="B184" s="204" t="s">
        <v>69</v>
      </c>
      <c r="C184" s="179"/>
      <c r="D184" s="179"/>
      <c r="E184" s="179"/>
      <c r="F184" s="179"/>
      <c r="G184" s="179"/>
      <c r="H184" s="179"/>
      <c r="I184" s="179"/>
      <c r="J184" s="179"/>
      <c r="K184" s="179"/>
      <c r="L184" s="179"/>
      <c r="M184" s="179"/>
      <c r="N184" s="179"/>
      <c r="O184" s="179"/>
      <c r="P184" s="179"/>
      <c r="Q184" s="179"/>
      <c r="R184" s="179"/>
      <c r="S184" s="179"/>
      <c r="T184" s="209"/>
      <c r="U184" s="179"/>
      <c r="V184" s="5"/>
    </row>
    <row r="185" spans="1:22" ht="15.6" x14ac:dyDescent="0.3">
      <c r="A185" s="271"/>
      <c r="B185" s="272" t="s">
        <v>70</v>
      </c>
      <c r="C185" s="272"/>
      <c r="D185" s="272"/>
      <c r="E185" s="272"/>
      <c r="F185" s="272"/>
      <c r="G185" s="272"/>
      <c r="H185" s="272"/>
      <c r="I185" s="272"/>
      <c r="J185" s="272"/>
      <c r="K185" s="272"/>
      <c r="L185" s="272"/>
      <c r="M185" s="272"/>
      <c r="N185" s="272"/>
      <c r="O185" s="272"/>
      <c r="P185" s="272"/>
      <c r="Q185" s="272"/>
      <c r="R185" s="272"/>
      <c r="S185" s="272"/>
      <c r="T185" s="343">
        <f>(T97+T99+T100+T101+T102+T103)/-(T104+T105+T106)</f>
        <v>2.8005390835579513</v>
      </c>
      <c r="U185" s="275" t="s">
        <v>124</v>
      </c>
      <c r="V185" s="5"/>
    </row>
    <row r="186" spans="1:22" ht="15.6" x14ac:dyDescent="0.3">
      <c r="A186" s="271"/>
      <c r="B186" s="272" t="s">
        <v>71</v>
      </c>
      <c r="C186" s="272"/>
      <c r="D186" s="272"/>
      <c r="E186" s="272"/>
      <c r="F186" s="272"/>
      <c r="G186" s="272"/>
      <c r="H186" s="272"/>
      <c r="I186" s="272"/>
      <c r="J186" s="272"/>
      <c r="K186" s="272"/>
      <c r="L186" s="272"/>
      <c r="M186" s="272"/>
      <c r="N186" s="272"/>
      <c r="O186" s="272"/>
      <c r="P186" s="272"/>
      <c r="Q186" s="272"/>
      <c r="R186" s="272"/>
      <c r="S186" s="272"/>
      <c r="T186" s="345">
        <v>1.52</v>
      </c>
      <c r="U186" s="275" t="s">
        <v>124</v>
      </c>
      <c r="V186" s="5"/>
    </row>
    <row r="187" spans="1:22" ht="15.6" x14ac:dyDescent="0.3">
      <c r="A187" s="271"/>
      <c r="B187" s="272" t="s">
        <v>72</v>
      </c>
      <c r="C187" s="272"/>
      <c r="D187" s="272"/>
      <c r="E187" s="272"/>
      <c r="F187" s="272"/>
      <c r="G187" s="272"/>
      <c r="H187" s="272"/>
      <c r="I187" s="272"/>
      <c r="J187" s="272"/>
      <c r="K187" s="272"/>
      <c r="L187" s="272"/>
      <c r="M187" s="272"/>
      <c r="N187" s="272"/>
      <c r="O187" s="272"/>
      <c r="P187" s="272"/>
      <c r="Q187" s="272"/>
      <c r="R187" s="272"/>
      <c r="S187" s="272"/>
      <c r="T187" s="343">
        <f>(T97+T99+T100+T101+T102+T103+T104+T105+T106)/-(T107+T108)</f>
        <v>15.011235955056179</v>
      </c>
      <c r="U187" s="275" t="s">
        <v>124</v>
      </c>
      <c r="V187" s="5"/>
    </row>
    <row r="188" spans="1:22" ht="15.6" x14ac:dyDescent="0.3">
      <c r="A188" s="271"/>
      <c r="B188" s="272" t="s">
        <v>73</v>
      </c>
      <c r="C188" s="272"/>
      <c r="D188" s="272"/>
      <c r="E188" s="272"/>
      <c r="F188" s="272"/>
      <c r="G188" s="272"/>
      <c r="H188" s="272"/>
      <c r="I188" s="272"/>
      <c r="J188" s="272"/>
      <c r="K188" s="272"/>
      <c r="L188" s="272"/>
      <c r="M188" s="272"/>
      <c r="N188" s="272"/>
      <c r="O188" s="272"/>
      <c r="P188" s="272"/>
      <c r="Q188" s="272"/>
      <c r="R188" s="272"/>
      <c r="S188" s="272"/>
      <c r="T188" s="346">
        <v>7.94</v>
      </c>
      <c r="U188" s="275" t="s">
        <v>124</v>
      </c>
      <c r="V188" s="5"/>
    </row>
    <row r="189" spans="1:22" ht="15.6" x14ac:dyDescent="0.3">
      <c r="A189" s="271"/>
      <c r="B189" s="272" t="s">
        <v>243</v>
      </c>
      <c r="C189" s="272"/>
      <c r="D189" s="272"/>
      <c r="E189" s="272"/>
      <c r="F189" s="272"/>
      <c r="G189" s="272"/>
      <c r="H189" s="272"/>
      <c r="I189" s="272"/>
      <c r="J189" s="272"/>
      <c r="K189" s="272"/>
      <c r="L189" s="272"/>
      <c r="M189" s="272"/>
      <c r="N189" s="272"/>
      <c r="O189" s="272"/>
      <c r="P189" s="272"/>
      <c r="Q189" s="272"/>
      <c r="R189" s="272"/>
      <c r="S189" s="272"/>
      <c r="T189" s="343">
        <f>(T97+T99+T100+T101+T102+T103+T104+T105+T106+T107+T108)/-(T109+T110)</f>
        <v>5.854460093896714</v>
      </c>
      <c r="U189" s="275" t="s">
        <v>124</v>
      </c>
      <c r="V189" s="5"/>
    </row>
    <row r="190" spans="1:22" ht="15.6" x14ac:dyDescent="0.3">
      <c r="A190" s="271"/>
      <c r="B190" s="272" t="s">
        <v>244</v>
      </c>
      <c r="C190" s="272"/>
      <c r="D190" s="272"/>
      <c r="E190" s="272"/>
      <c r="F190" s="272"/>
      <c r="G190" s="272"/>
      <c r="H190" s="272"/>
      <c r="I190" s="272"/>
      <c r="J190" s="272"/>
      <c r="K190" s="272"/>
      <c r="L190" s="272"/>
      <c r="M190" s="272"/>
      <c r="N190" s="272"/>
      <c r="O190" s="272"/>
      <c r="P190" s="272"/>
      <c r="Q190" s="272"/>
      <c r="R190" s="272"/>
      <c r="S190" s="272"/>
      <c r="T190" s="346">
        <v>3.64</v>
      </c>
      <c r="U190" s="275" t="s">
        <v>124</v>
      </c>
      <c r="V190" s="5"/>
    </row>
    <row r="191" spans="1:22" ht="15.6" x14ac:dyDescent="0.3">
      <c r="A191" s="271"/>
      <c r="B191" s="272"/>
      <c r="C191" s="272"/>
      <c r="D191" s="272"/>
      <c r="E191" s="272"/>
      <c r="F191" s="272"/>
      <c r="G191" s="272"/>
      <c r="H191" s="272"/>
      <c r="I191" s="272"/>
      <c r="J191" s="272"/>
      <c r="K191" s="272"/>
      <c r="L191" s="272"/>
      <c r="M191" s="272"/>
      <c r="N191" s="272"/>
      <c r="O191" s="272"/>
      <c r="P191" s="272"/>
      <c r="Q191" s="272"/>
      <c r="R191" s="272"/>
      <c r="S191" s="272"/>
      <c r="T191" s="272"/>
      <c r="U191" s="275"/>
      <c r="V191" s="5"/>
    </row>
    <row r="192" spans="1:22" ht="15.6" x14ac:dyDescent="0.3">
      <c r="A192" s="177"/>
      <c r="B192" s="268"/>
      <c r="C192" s="268"/>
      <c r="D192" s="268"/>
      <c r="E192" s="268"/>
      <c r="F192" s="268"/>
      <c r="G192" s="268"/>
      <c r="H192" s="268"/>
      <c r="I192" s="268"/>
      <c r="J192" s="268"/>
      <c r="K192" s="268"/>
      <c r="L192" s="268"/>
      <c r="M192" s="268"/>
      <c r="N192" s="268"/>
      <c r="O192" s="268"/>
      <c r="P192" s="268"/>
      <c r="Q192" s="268"/>
      <c r="R192" s="268"/>
      <c r="S192" s="268"/>
      <c r="T192" s="268"/>
      <c r="U192" s="268"/>
      <c r="V192" s="5"/>
    </row>
    <row r="193" spans="1:22" ht="15.6" x14ac:dyDescent="0.3">
      <c r="A193" s="177"/>
      <c r="B193" s="234"/>
      <c r="C193" s="234"/>
      <c r="D193" s="234"/>
      <c r="E193" s="234"/>
      <c r="F193" s="234"/>
      <c r="G193" s="234"/>
      <c r="H193" s="234"/>
      <c r="I193" s="234"/>
      <c r="J193" s="234"/>
      <c r="K193" s="234"/>
      <c r="L193" s="234"/>
      <c r="M193" s="234"/>
      <c r="N193" s="234"/>
      <c r="O193" s="234"/>
      <c r="P193" s="234"/>
      <c r="Q193" s="234"/>
      <c r="R193" s="234"/>
      <c r="S193" s="234"/>
      <c r="T193" s="234"/>
      <c r="U193" s="234"/>
      <c r="V193" s="5"/>
    </row>
    <row r="194" spans="1:22" ht="18" thickBot="1" x14ac:dyDescent="0.35">
      <c r="A194" s="195"/>
      <c r="B194" s="238" t="str">
        <f>B133</f>
        <v>PM9 INVESTOR REPORT QUARTER ENDING JULY 2011</v>
      </c>
      <c r="C194" s="245"/>
      <c r="D194" s="245"/>
      <c r="E194" s="245"/>
      <c r="F194" s="245"/>
      <c r="G194" s="245"/>
      <c r="H194" s="245"/>
      <c r="I194" s="245"/>
      <c r="J194" s="245"/>
      <c r="K194" s="245"/>
      <c r="L194" s="245"/>
      <c r="M194" s="245"/>
      <c r="N194" s="245"/>
      <c r="O194" s="245"/>
      <c r="P194" s="245"/>
      <c r="Q194" s="245"/>
      <c r="R194" s="245"/>
      <c r="S194" s="245"/>
      <c r="T194" s="245"/>
      <c r="U194" s="246"/>
      <c r="V194" s="5"/>
    </row>
    <row r="195" spans="1:22" ht="15.6" x14ac:dyDescent="0.3">
      <c r="A195" s="321"/>
      <c r="B195" s="324" t="s">
        <v>74</v>
      </c>
      <c r="C195" s="325"/>
      <c r="D195" s="325"/>
      <c r="E195" s="325"/>
      <c r="F195" s="325"/>
      <c r="G195" s="326"/>
      <c r="H195" s="326"/>
      <c r="I195" s="326"/>
      <c r="J195" s="326"/>
      <c r="K195" s="326"/>
      <c r="L195" s="326"/>
      <c r="M195" s="326"/>
      <c r="N195" s="326"/>
      <c r="O195" s="326"/>
      <c r="P195" s="326"/>
      <c r="Q195" s="326"/>
      <c r="R195" s="326">
        <v>40753</v>
      </c>
      <c r="S195" s="322"/>
      <c r="T195" s="322"/>
      <c r="U195" s="322"/>
      <c r="V195" s="5"/>
    </row>
    <row r="196" spans="1:22" ht="15.6" x14ac:dyDescent="0.3">
      <c r="A196" s="210"/>
      <c r="B196" s="211"/>
      <c r="C196" s="212"/>
      <c r="D196" s="212"/>
      <c r="E196" s="212"/>
      <c r="F196" s="212"/>
      <c r="G196" s="213"/>
      <c r="H196" s="213"/>
      <c r="I196" s="213"/>
      <c r="J196" s="213"/>
      <c r="K196" s="213"/>
      <c r="L196" s="213"/>
      <c r="M196" s="213"/>
      <c r="N196" s="213"/>
      <c r="O196" s="213"/>
      <c r="P196" s="213"/>
      <c r="Q196" s="213"/>
      <c r="R196" s="213"/>
      <c r="S196" s="179"/>
      <c r="T196" s="179"/>
      <c r="U196" s="179"/>
      <c r="V196" s="5"/>
    </row>
    <row r="197" spans="1:22" ht="15.6" x14ac:dyDescent="0.3">
      <c r="A197" s="348"/>
      <c r="B197" s="272" t="s">
        <v>75</v>
      </c>
      <c r="C197" s="349"/>
      <c r="D197" s="349"/>
      <c r="E197" s="349"/>
      <c r="F197" s="349"/>
      <c r="G197" s="309"/>
      <c r="H197" s="309"/>
      <c r="I197" s="309"/>
      <c r="J197" s="309"/>
      <c r="K197" s="309"/>
      <c r="L197" s="309"/>
      <c r="M197" s="309"/>
      <c r="N197" s="309"/>
      <c r="O197" s="309"/>
      <c r="P197" s="309"/>
      <c r="Q197" s="309"/>
      <c r="R197" s="304">
        <v>5.8209999999999998E-2</v>
      </c>
      <c r="S197" s="272"/>
      <c r="T197" s="272"/>
      <c r="U197" s="340"/>
      <c r="V197" s="5"/>
    </row>
    <row r="198" spans="1:22" ht="15.6" x14ac:dyDescent="0.3">
      <c r="A198" s="348"/>
      <c r="B198" s="272" t="s">
        <v>164</v>
      </c>
      <c r="C198" s="349"/>
      <c r="D198" s="349"/>
      <c r="E198" s="349"/>
      <c r="F198" s="349"/>
      <c r="G198" s="309"/>
      <c r="H198" s="309"/>
      <c r="I198" s="309"/>
      <c r="J198" s="309"/>
      <c r="K198" s="309"/>
      <c r="L198" s="309"/>
      <c r="M198" s="309"/>
      <c r="N198" s="309"/>
      <c r="O198" s="309"/>
      <c r="P198" s="309"/>
      <c r="Q198" s="309"/>
      <c r="R198" s="304">
        <f>'Oct 05'!R193</f>
        <v>4.8438496428571419E-2</v>
      </c>
      <c r="S198" s="272"/>
      <c r="T198" s="272"/>
      <c r="U198" s="340"/>
      <c r="V198" s="5"/>
    </row>
    <row r="199" spans="1:22" ht="15.6" x14ac:dyDescent="0.3">
      <c r="A199" s="348"/>
      <c r="B199" s="272" t="s">
        <v>76</v>
      </c>
      <c r="C199" s="349"/>
      <c r="D199" s="349"/>
      <c r="E199" s="349"/>
      <c r="F199" s="349"/>
      <c r="G199" s="309"/>
      <c r="H199" s="309"/>
      <c r="I199" s="309"/>
      <c r="J199" s="309"/>
      <c r="K199" s="309"/>
      <c r="L199" s="309"/>
      <c r="M199" s="309"/>
      <c r="N199" s="309"/>
      <c r="O199" s="309"/>
      <c r="P199" s="309"/>
      <c r="Q199" s="309"/>
      <c r="R199" s="304">
        <f>R197-R198</f>
        <v>9.7715035714285789E-3</v>
      </c>
      <c r="S199" s="272"/>
      <c r="T199" s="272"/>
      <c r="U199" s="340"/>
      <c r="V199" s="5"/>
    </row>
    <row r="200" spans="1:22" ht="15.6" x14ac:dyDescent="0.3">
      <c r="A200" s="348"/>
      <c r="B200" s="272" t="s">
        <v>77</v>
      </c>
      <c r="C200" s="349"/>
      <c r="D200" s="349"/>
      <c r="E200" s="349"/>
      <c r="F200" s="349"/>
      <c r="G200" s="309"/>
      <c r="H200" s="309"/>
      <c r="I200" s="309"/>
      <c r="J200" s="309"/>
      <c r="K200" s="309"/>
      <c r="L200" s="309"/>
      <c r="M200" s="309"/>
      <c r="N200" s="309"/>
      <c r="O200" s="309"/>
      <c r="P200" s="309"/>
      <c r="Q200" s="309"/>
      <c r="R200" s="304">
        <v>2.6519999999999998E-2</v>
      </c>
      <c r="S200" s="272"/>
      <c r="T200" s="272"/>
      <c r="U200" s="340"/>
      <c r="V200" s="5"/>
    </row>
    <row r="201" spans="1:22" ht="15.6" x14ac:dyDescent="0.3">
      <c r="A201" s="348"/>
      <c r="B201" s="272" t="s">
        <v>257</v>
      </c>
      <c r="C201" s="349"/>
      <c r="D201" s="349"/>
      <c r="E201" s="349"/>
      <c r="F201" s="349"/>
      <c r="G201" s="309"/>
      <c r="H201" s="309"/>
      <c r="I201" s="309"/>
      <c r="J201" s="309"/>
      <c r="K201" s="309"/>
      <c r="L201" s="309"/>
      <c r="M201" s="309"/>
      <c r="N201" s="309"/>
      <c r="O201" s="309"/>
      <c r="P201" s="309"/>
      <c r="Q201" s="309"/>
      <c r="R201" s="304">
        <f>+T41</f>
        <v>1.3157896005141112E-2</v>
      </c>
      <c r="S201" s="272"/>
      <c r="T201" s="272"/>
      <c r="U201" s="340"/>
      <c r="V201" s="5"/>
    </row>
    <row r="202" spans="1:22" ht="15.6" x14ac:dyDescent="0.3">
      <c r="A202" s="348"/>
      <c r="B202" s="272" t="s">
        <v>78</v>
      </c>
      <c r="C202" s="349"/>
      <c r="D202" s="349"/>
      <c r="E202" s="349"/>
      <c r="F202" s="349"/>
      <c r="G202" s="309"/>
      <c r="H202" s="309"/>
      <c r="I202" s="309"/>
      <c r="J202" s="309"/>
      <c r="K202" s="309"/>
      <c r="L202" s="309"/>
      <c r="M202" s="309"/>
      <c r="N202" s="309"/>
      <c r="O202" s="309"/>
      <c r="P202" s="309"/>
      <c r="Q202" s="309"/>
      <c r="R202" s="304">
        <f>R200-R201</f>
        <v>1.3362103994858886E-2</v>
      </c>
      <c r="S202" s="272"/>
      <c r="T202" s="272"/>
      <c r="U202" s="340"/>
      <c r="V202" s="5"/>
    </row>
    <row r="203" spans="1:22" ht="15.6" x14ac:dyDescent="0.3">
      <c r="A203" s="348"/>
      <c r="B203" s="272" t="s">
        <v>268</v>
      </c>
      <c r="C203" s="349"/>
      <c r="D203" s="349"/>
      <c r="E203" s="349"/>
      <c r="F203" s="349"/>
      <c r="G203" s="309"/>
      <c r="H203" s="309"/>
      <c r="I203" s="309"/>
      <c r="J203" s="309"/>
      <c r="K203" s="309"/>
      <c r="L203" s="309"/>
      <c r="M203" s="309"/>
      <c r="N203" s="309"/>
      <c r="O203" s="309"/>
      <c r="P203" s="309"/>
      <c r="Q203" s="309"/>
      <c r="R203" s="304">
        <f>+T97/L68</f>
        <v>7.6318855782488123E-3</v>
      </c>
      <c r="S203" s="272"/>
      <c r="T203" s="272"/>
      <c r="U203" s="340"/>
      <c r="V203" s="5"/>
    </row>
    <row r="204" spans="1:22" ht="15.6" x14ac:dyDescent="0.3">
      <c r="A204" s="348"/>
      <c r="B204" s="272" t="s">
        <v>249</v>
      </c>
      <c r="C204" s="349"/>
      <c r="D204" s="349"/>
      <c r="E204" s="349"/>
      <c r="F204" s="349"/>
      <c r="G204" s="309"/>
      <c r="H204" s="309"/>
      <c r="I204" s="309"/>
      <c r="J204" s="309"/>
      <c r="K204" s="309"/>
      <c r="L204" s="309"/>
      <c r="M204" s="309"/>
      <c r="N204" s="309"/>
      <c r="O204" s="309"/>
      <c r="P204" s="309"/>
      <c r="Q204" s="309"/>
      <c r="R204" s="350">
        <v>51622</v>
      </c>
      <c r="S204" s="272"/>
      <c r="T204" s="272"/>
      <c r="U204" s="340"/>
      <c r="V204" s="5"/>
    </row>
    <row r="205" spans="1:22" ht="15.6" x14ac:dyDescent="0.3">
      <c r="A205" s="348"/>
      <c r="B205" s="272" t="s">
        <v>250</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251</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79</v>
      </c>
      <c r="C207" s="349"/>
      <c r="D207" s="349"/>
      <c r="E207" s="349"/>
      <c r="F207" s="349"/>
      <c r="G207" s="309"/>
      <c r="H207" s="309"/>
      <c r="I207" s="309"/>
      <c r="J207" s="309"/>
      <c r="K207" s="309"/>
      <c r="L207" s="309"/>
      <c r="M207" s="309"/>
      <c r="N207" s="309"/>
      <c r="O207" s="309"/>
      <c r="P207" s="309"/>
      <c r="Q207" s="309"/>
      <c r="R207" s="308">
        <v>20.95</v>
      </c>
      <c r="S207" s="272" t="s">
        <v>119</v>
      </c>
      <c r="T207" s="272"/>
      <c r="U207" s="340"/>
      <c r="V207" s="5"/>
    </row>
    <row r="208" spans="1:22" ht="15.6" x14ac:dyDescent="0.3">
      <c r="A208" s="348"/>
      <c r="B208" s="272" t="s">
        <v>80</v>
      </c>
      <c r="C208" s="349"/>
      <c r="D208" s="349"/>
      <c r="E208" s="349"/>
      <c r="F208" s="349"/>
      <c r="G208" s="309"/>
      <c r="H208" s="309"/>
      <c r="I208" s="309"/>
      <c r="J208" s="309"/>
      <c r="K208" s="309"/>
      <c r="L208" s="309"/>
      <c r="M208" s="309"/>
      <c r="N208" s="309"/>
      <c r="O208" s="309"/>
      <c r="P208" s="309"/>
      <c r="Q208" s="309"/>
      <c r="R208" s="308">
        <v>15.16</v>
      </c>
      <c r="S208" s="272" t="s">
        <v>119</v>
      </c>
      <c r="T208" s="272"/>
      <c r="U208" s="340"/>
      <c r="V208" s="5"/>
    </row>
    <row r="209" spans="1:22" ht="15.6" x14ac:dyDescent="0.3">
      <c r="A209" s="348"/>
      <c r="B209" s="272" t="s">
        <v>81</v>
      </c>
      <c r="C209" s="349"/>
      <c r="D209" s="349"/>
      <c r="E209" s="349"/>
      <c r="F209" s="349"/>
      <c r="G209" s="309"/>
      <c r="H209" s="309"/>
      <c r="I209" s="309"/>
      <c r="J209" s="309"/>
      <c r="K209" s="309"/>
      <c r="L209" s="309"/>
      <c r="M209" s="309"/>
      <c r="N209" s="309"/>
      <c r="O209" s="309"/>
      <c r="P209" s="309"/>
      <c r="Q209" s="309"/>
      <c r="R209" s="304">
        <f>N65/L65</f>
        <v>7.05085725233275E-3</v>
      </c>
      <c r="S209" s="272"/>
      <c r="T209" s="272"/>
      <c r="U209" s="340"/>
      <c r="V209" s="5"/>
    </row>
    <row r="210" spans="1:22" ht="15.6" x14ac:dyDescent="0.3">
      <c r="A210" s="348"/>
      <c r="B210" s="272" t="s">
        <v>82</v>
      </c>
      <c r="C210" s="349"/>
      <c r="D210" s="349"/>
      <c r="E210" s="349"/>
      <c r="F210" s="349"/>
      <c r="G210" s="309"/>
      <c r="H210" s="309"/>
      <c r="I210" s="309"/>
      <c r="J210" s="309"/>
      <c r="K210" s="309"/>
      <c r="L210" s="309"/>
      <c r="M210" s="309"/>
      <c r="N210" s="309"/>
      <c r="O210" s="309"/>
      <c r="P210" s="309"/>
      <c r="Q210" s="309"/>
      <c r="R210" s="304">
        <v>0.1363</v>
      </c>
      <c r="S210" s="272"/>
      <c r="T210" s="272"/>
      <c r="U210" s="340"/>
      <c r="V210" s="5"/>
    </row>
    <row r="211" spans="1:22" ht="15.6" x14ac:dyDescent="0.3">
      <c r="A211" s="210"/>
      <c r="B211" s="268"/>
      <c r="C211" s="268"/>
      <c r="D211" s="268"/>
      <c r="E211" s="268"/>
      <c r="F211" s="268"/>
      <c r="G211" s="268"/>
      <c r="H211" s="268"/>
      <c r="I211" s="268"/>
      <c r="J211" s="268"/>
      <c r="K211" s="268"/>
      <c r="L211" s="268"/>
      <c r="M211" s="268"/>
      <c r="N211" s="268"/>
      <c r="O211" s="268"/>
      <c r="P211" s="268"/>
      <c r="Q211" s="268"/>
      <c r="R211" s="344"/>
      <c r="S211" s="268"/>
      <c r="T211" s="347"/>
      <c r="U211" s="314"/>
      <c r="V211" s="5"/>
    </row>
    <row r="212" spans="1:22" ht="15.6" x14ac:dyDescent="0.3">
      <c r="A212" s="327"/>
      <c r="B212" s="259" t="s">
        <v>83</v>
      </c>
      <c r="C212" s="260"/>
      <c r="D212" s="260"/>
      <c r="E212" s="260"/>
      <c r="F212" s="261"/>
      <c r="G212" s="260"/>
      <c r="H212" s="260"/>
      <c r="I212" s="260"/>
      <c r="J212" s="260"/>
      <c r="K212" s="260"/>
      <c r="L212" s="260"/>
      <c r="M212" s="260"/>
      <c r="N212" s="260"/>
      <c r="O212" s="260"/>
      <c r="P212" s="260"/>
      <c r="Q212" s="260" t="s">
        <v>108</v>
      </c>
      <c r="R212" s="261" t="s">
        <v>115</v>
      </c>
      <c r="S212" s="262"/>
      <c r="T212" s="262"/>
      <c r="U212" s="262"/>
      <c r="V212" s="5"/>
    </row>
    <row r="213" spans="1:22" ht="15.6" x14ac:dyDescent="0.3">
      <c r="A213" s="214"/>
      <c r="B213" s="228" t="s">
        <v>84</v>
      </c>
      <c r="C213" s="231"/>
      <c r="D213" s="231"/>
      <c r="E213" s="231"/>
      <c r="F213" s="228"/>
      <c r="G213" s="228"/>
      <c r="H213" s="230"/>
      <c r="I213" s="230"/>
      <c r="J213" s="230"/>
      <c r="K213" s="230"/>
      <c r="L213" s="230"/>
      <c r="M213" s="230"/>
      <c r="N213" s="230"/>
      <c r="O213" s="230"/>
      <c r="P213" s="230"/>
      <c r="Q213" s="230">
        <v>0</v>
      </c>
      <c r="R213" s="248">
        <v>0</v>
      </c>
      <c r="S213" s="228"/>
      <c r="T213" s="247"/>
      <c r="U213" s="215"/>
      <c r="V213" s="5"/>
    </row>
    <row r="214" spans="1:22" ht="15.6" x14ac:dyDescent="0.3">
      <c r="A214" s="358"/>
      <c r="B214" s="272" t="s">
        <v>156</v>
      </c>
      <c r="C214" s="317"/>
      <c r="D214" s="317"/>
      <c r="E214" s="317"/>
      <c r="F214" s="272"/>
      <c r="G214" s="272"/>
      <c r="H214" s="279"/>
      <c r="I214" s="279"/>
      <c r="J214" s="279"/>
      <c r="K214" s="279"/>
      <c r="L214" s="279"/>
      <c r="M214" s="279"/>
      <c r="N214" s="279"/>
      <c r="O214" s="279"/>
      <c r="P214" s="279"/>
      <c r="Q214" s="359">
        <f>+P265</f>
        <v>64</v>
      </c>
      <c r="R214" s="360">
        <f>+R265</f>
        <v>9939</v>
      </c>
      <c r="S214" s="272"/>
      <c r="T214" s="361"/>
      <c r="U214" s="362"/>
      <c r="V214" s="5"/>
    </row>
    <row r="215" spans="1:22" ht="15.6" x14ac:dyDescent="0.3">
      <c r="A215" s="358"/>
      <c r="B215" s="272" t="s">
        <v>85</v>
      </c>
      <c r="C215" s="317"/>
      <c r="D215" s="317"/>
      <c r="E215" s="317"/>
      <c r="F215" s="272"/>
      <c r="G215" s="272"/>
      <c r="H215" s="279"/>
      <c r="I215" s="279"/>
      <c r="J215" s="279"/>
      <c r="K215" s="279"/>
      <c r="L215" s="279"/>
      <c r="M215" s="279"/>
      <c r="N215" s="279"/>
      <c r="O215" s="279"/>
      <c r="P215" s="279"/>
      <c r="Q215" s="359">
        <f>+P277</f>
        <v>0</v>
      </c>
      <c r="R215" s="360">
        <f>+R277</f>
        <v>0</v>
      </c>
      <c r="S215" s="272"/>
      <c r="T215" s="361"/>
      <c r="U215" s="362"/>
      <c r="V215" s="5"/>
    </row>
    <row r="216" spans="1:22" ht="15.6" x14ac:dyDescent="0.3">
      <c r="A216" s="358"/>
      <c r="B216" s="293" t="s">
        <v>86</v>
      </c>
      <c r="C216" s="363"/>
      <c r="D216" s="363"/>
      <c r="E216" s="363"/>
      <c r="F216" s="337"/>
      <c r="G216" s="337"/>
      <c r="H216" s="337"/>
      <c r="I216" s="337"/>
      <c r="J216" s="337"/>
      <c r="K216" s="337"/>
      <c r="L216" s="337"/>
      <c r="M216" s="337"/>
      <c r="N216" s="337"/>
      <c r="O216" s="337"/>
      <c r="P216" s="337"/>
      <c r="Q216" s="337"/>
      <c r="R216" s="360">
        <v>0</v>
      </c>
      <c r="S216" s="337"/>
      <c r="T216" s="364"/>
      <c r="U216" s="362"/>
      <c r="V216" s="5"/>
    </row>
    <row r="217" spans="1:22" ht="15.6" x14ac:dyDescent="0.3">
      <c r="A217" s="358"/>
      <c r="B217" s="293" t="s">
        <v>87</v>
      </c>
      <c r="C217" s="363"/>
      <c r="D217" s="363"/>
      <c r="E217" s="363"/>
      <c r="F217" s="337"/>
      <c r="G217" s="337"/>
      <c r="H217" s="337"/>
      <c r="I217" s="337"/>
      <c r="J217" s="337"/>
      <c r="K217" s="337"/>
      <c r="L217" s="337"/>
      <c r="M217" s="337"/>
      <c r="N217" s="337"/>
      <c r="O217" s="337"/>
      <c r="P217" s="337"/>
      <c r="Q217" s="337"/>
      <c r="R217" s="365" t="s">
        <v>116</v>
      </c>
      <c r="S217" s="337"/>
      <c r="T217" s="364"/>
      <c r="U217" s="362"/>
      <c r="V217" s="5"/>
    </row>
    <row r="218" spans="1:22" ht="15.6" x14ac:dyDescent="0.3">
      <c r="A218" s="366"/>
      <c r="B218" s="293" t="s">
        <v>88</v>
      </c>
      <c r="C218" s="367"/>
      <c r="D218" s="367"/>
      <c r="E218" s="367"/>
      <c r="F218" s="367"/>
      <c r="G218" s="337"/>
      <c r="H218" s="337"/>
      <c r="I218" s="337"/>
      <c r="J218" s="337"/>
      <c r="K218" s="337"/>
      <c r="L218" s="337"/>
      <c r="M218" s="337"/>
      <c r="N218" s="337"/>
      <c r="O218" s="337"/>
      <c r="P218" s="337"/>
      <c r="Q218" s="337"/>
      <c r="R218" s="368"/>
      <c r="S218" s="337"/>
      <c r="T218" s="364"/>
      <c r="U218" s="369"/>
      <c r="V218" s="5"/>
    </row>
    <row r="219" spans="1:22" ht="15.6" x14ac:dyDescent="0.3">
      <c r="A219" s="366"/>
      <c r="B219" s="272" t="s">
        <v>89</v>
      </c>
      <c r="C219" s="272"/>
      <c r="D219" s="272"/>
      <c r="E219" s="272"/>
      <c r="F219" s="272"/>
      <c r="G219" s="272"/>
      <c r="H219" s="272"/>
      <c r="I219" s="272"/>
      <c r="J219" s="272"/>
      <c r="K219" s="272"/>
      <c r="L219" s="272"/>
      <c r="M219" s="272"/>
      <c r="N219" s="272"/>
      <c r="O219" s="272"/>
      <c r="P219" s="272"/>
      <c r="Q219" s="279"/>
      <c r="R219" s="360">
        <f>T163</f>
        <v>-1018</v>
      </c>
      <c r="S219" s="272"/>
      <c r="T219" s="364"/>
      <c r="U219" s="369"/>
      <c r="V219" s="5"/>
    </row>
    <row r="220" spans="1:22" ht="15.6" x14ac:dyDescent="0.3">
      <c r="A220" s="358"/>
      <c r="B220" s="272" t="s">
        <v>90</v>
      </c>
      <c r="C220" s="317"/>
      <c r="D220" s="317"/>
      <c r="E220" s="317"/>
      <c r="F220" s="317"/>
      <c r="G220" s="272"/>
      <c r="H220" s="272"/>
      <c r="I220" s="272"/>
      <c r="J220" s="272"/>
      <c r="K220" s="272"/>
      <c r="L220" s="272"/>
      <c r="M220" s="272"/>
      <c r="N220" s="272"/>
      <c r="O220" s="272"/>
      <c r="P220" s="272"/>
      <c r="Q220" s="279"/>
      <c r="R220" s="360">
        <f>'April 11'!R220+'July 11'!R219</f>
        <v>2182</v>
      </c>
      <c r="S220" s="272"/>
      <c r="T220" s="364"/>
      <c r="U220" s="369"/>
      <c r="V220" s="5"/>
    </row>
    <row r="221" spans="1:22" ht="15.6" x14ac:dyDescent="0.3">
      <c r="A221" s="366"/>
      <c r="B221" s="293" t="s">
        <v>288</v>
      </c>
      <c r="C221" s="367"/>
      <c r="D221" s="367"/>
      <c r="E221" s="367"/>
      <c r="F221" s="367"/>
      <c r="G221" s="337"/>
      <c r="H221" s="337"/>
      <c r="I221" s="337"/>
      <c r="J221" s="337"/>
      <c r="K221" s="337"/>
      <c r="L221" s="337"/>
      <c r="M221" s="337"/>
      <c r="N221" s="337"/>
      <c r="O221" s="337"/>
      <c r="P221" s="337"/>
      <c r="Q221" s="374"/>
      <c r="R221" s="368"/>
      <c r="S221" s="337"/>
      <c r="T221" s="364"/>
      <c r="U221" s="369"/>
      <c r="V221" s="5"/>
    </row>
    <row r="222" spans="1:22" ht="15.6" x14ac:dyDescent="0.3">
      <c r="A222" s="375"/>
      <c r="B222" s="272" t="s">
        <v>286</v>
      </c>
      <c r="C222" s="272"/>
      <c r="D222" s="272"/>
      <c r="E222" s="272"/>
      <c r="F222" s="272"/>
      <c r="G222" s="272"/>
      <c r="H222" s="272"/>
      <c r="I222" s="272"/>
      <c r="J222" s="272"/>
      <c r="K222" s="272"/>
      <c r="L222" s="272"/>
      <c r="M222" s="272"/>
      <c r="N222" s="272"/>
      <c r="O222" s="272"/>
      <c r="P222" s="272"/>
      <c r="Q222" s="279">
        <v>0</v>
      </c>
      <c r="R222" s="360">
        <v>0</v>
      </c>
      <c r="S222" s="272"/>
      <c r="T222" s="361"/>
      <c r="U222" s="369"/>
      <c r="V222" s="5"/>
    </row>
    <row r="223" spans="1:22" ht="15.6" x14ac:dyDescent="0.3">
      <c r="A223" s="376"/>
      <c r="B223" s="272" t="s">
        <v>92</v>
      </c>
      <c r="C223" s="306"/>
      <c r="D223" s="306"/>
      <c r="E223" s="306"/>
      <c r="F223" s="377"/>
      <c r="G223" s="272"/>
      <c r="H223" s="272"/>
      <c r="I223" s="272"/>
      <c r="J223" s="272"/>
      <c r="K223" s="272"/>
      <c r="L223" s="272"/>
      <c r="M223" s="272"/>
      <c r="N223" s="272"/>
      <c r="O223" s="272"/>
      <c r="P223" s="272"/>
      <c r="Q223" s="279"/>
      <c r="R223" s="365">
        <v>0</v>
      </c>
      <c r="S223" s="272"/>
      <c r="T223" s="361"/>
      <c r="U223" s="369"/>
      <c r="V223" s="5"/>
    </row>
    <row r="224" spans="1:22" ht="15.6" x14ac:dyDescent="0.3">
      <c r="A224" s="376"/>
      <c r="B224" s="272" t="s">
        <v>93</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58"/>
      <c r="B225" s="293" t="s">
        <v>258</v>
      </c>
      <c r="C225" s="378"/>
      <c r="D225" s="378"/>
      <c r="E225" s="378"/>
      <c r="F225" s="379"/>
      <c r="G225" s="337"/>
      <c r="H225" s="337"/>
      <c r="I225" s="337"/>
      <c r="J225" s="337"/>
      <c r="K225" s="337"/>
      <c r="L225" s="337"/>
      <c r="M225" s="337"/>
      <c r="N225" s="337"/>
      <c r="O225" s="337"/>
      <c r="P225" s="337"/>
      <c r="Q225" s="374"/>
      <c r="R225" s="380"/>
      <c r="S225" s="337"/>
      <c r="T225" s="364"/>
      <c r="U225" s="369"/>
      <c r="V225" s="5"/>
    </row>
    <row r="226" spans="1:23" ht="15.6" x14ac:dyDescent="0.3">
      <c r="A226" s="376"/>
      <c r="B226" s="272" t="s">
        <v>286</v>
      </c>
      <c r="C226" s="306"/>
      <c r="D226" s="306"/>
      <c r="E226" s="306"/>
      <c r="F226" s="377"/>
      <c r="G226" s="272"/>
      <c r="H226" s="272"/>
      <c r="I226" s="272"/>
      <c r="J226" s="272"/>
      <c r="K226" s="272"/>
      <c r="L226" s="272"/>
      <c r="M226" s="272"/>
      <c r="N226" s="272"/>
      <c r="O226" s="272"/>
      <c r="P226" s="272"/>
      <c r="Q226" s="279">
        <v>4</v>
      </c>
      <c r="R226" s="360">
        <v>408</v>
      </c>
      <c r="S226" s="272"/>
      <c r="T226" s="364"/>
      <c r="U226" s="369"/>
      <c r="V226" s="5"/>
    </row>
    <row r="227" spans="1:23" ht="15.6" x14ac:dyDescent="0.3">
      <c r="A227" s="376"/>
      <c r="B227" s="272" t="s">
        <v>259</v>
      </c>
      <c r="C227" s="306"/>
      <c r="D227" s="306"/>
      <c r="E227" s="306"/>
      <c r="F227" s="377"/>
      <c r="G227" s="272"/>
      <c r="H227" s="272"/>
      <c r="I227" s="272"/>
      <c r="J227" s="272"/>
      <c r="K227" s="272"/>
      <c r="L227" s="272"/>
      <c r="M227" s="272"/>
      <c r="N227" s="272"/>
      <c r="O227" s="272"/>
      <c r="P227" s="272"/>
      <c r="Q227" s="272"/>
      <c r="R227" s="365">
        <v>1.43</v>
      </c>
      <c r="S227" s="272"/>
      <c r="T227" s="364"/>
      <c r="U227" s="369"/>
      <c r="V227" s="5"/>
    </row>
    <row r="228" spans="1:23" ht="15.6" x14ac:dyDescent="0.3">
      <c r="A228" s="358"/>
      <c r="B228" s="367"/>
      <c r="C228" s="378"/>
      <c r="D228" s="378"/>
      <c r="E228" s="378"/>
      <c r="F228" s="379"/>
      <c r="G228" s="337"/>
      <c r="H228" s="337"/>
      <c r="I228" s="337"/>
      <c r="J228" s="337"/>
      <c r="K228" s="337"/>
      <c r="L228" s="337"/>
      <c r="M228" s="337"/>
      <c r="N228" s="337"/>
      <c r="O228" s="337"/>
      <c r="P228" s="337"/>
      <c r="Q228" s="337"/>
      <c r="R228" s="381"/>
      <c r="S228" s="337"/>
      <c r="T228" s="364"/>
      <c r="U228" s="369"/>
      <c r="V228" s="5"/>
    </row>
    <row r="229" spans="1:23" ht="17.399999999999999" x14ac:dyDescent="0.3">
      <c r="A229" s="358"/>
      <c r="B229" s="382" t="s">
        <v>208</v>
      </c>
      <c r="C229" s="378"/>
      <c r="D229" s="378"/>
      <c r="E229" s="378"/>
      <c r="F229" s="379"/>
      <c r="G229" s="337"/>
      <c r="H229" s="337"/>
      <c r="I229" s="337"/>
      <c r="J229" s="337"/>
      <c r="K229" s="337"/>
      <c r="L229" s="337"/>
      <c r="M229" s="337"/>
      <c r="N229" s="383" t="s">
        <v>207</v>
      </c>
      <c r="O229" s="337"/>
      <c r="P229" s="337"/>
      <c r="Q229" s="337"/>
      <c r="R229" s="381"/>
      <c r="S229" s="337"/>
      <c r="T229" s="364"/>
      <c r="U229" s="369"/>
      <c r="V229" s="5"/>
    </row>
    <row r="230" spans="1:23" ht="15.6" x14ac:dyDescent="0.3">
      <c r="A230" s="351"/>
      <c r="B230" s="352"/>
      <c r="C230" s="353"/>
      <c r="D230" s="353"/>
      <c r="E230" s="353"/>
      <c r="F230" s="354"/>
      <c r="G230" s="314"/>
      <c r="H230" s="314"/>
      <c r="I230" s="314"/>
      <c r="J230" s="314"/>
      <c r="K230" s="314"/>
      <c r="L230" s="314"/>
      <c r="M230" s="314"/>
      <c r="N230" s="314"/>
      <c r="O230" s="314"/>
      <c r="P230" s="314"/>
      <c r="Q230" s="314"/>
      <c r="R230" s="355"/>
      <c r="S230" s="314"/>
      <c r="T230" s="356"/>
      <c r="U230" s="357"/>
      <c r="V230" s="5"/>
    </row>
    <row r="231" spans="1:23" ht="15.6" x14ac:dyDescent="0.3">
      <c r="A231" s="258"/>
      <c r="B231" s="259" t="s">
        <v>302</v>
      </c>
      <c r="C231" s="260"/>
      <c r="D231" s="260"/>
      <c r="E231" s="260"/>
      <c r="F231" s="261"/>
      <c r="G231" s="260"/>
      <c r="H231" s="260"/>
      <c r="I231" s="260"/>
      <c r="J231" s="260"/>
      <c r="K231" s="260"/>
      <c r="L231" s="260"/>
      <c r="M231" s="260"/>
      <c r="N231" s="260"/>
      <c r="O231" s="260"/>
      <c r="P231" s="261" t="s">
        <v>108</v>
      </c>
      <c r="Q231" s="260" t="s">
        <v>109</v>
      </c>
      <c r="R231" s="261" t="s">
        <v>117</v>
      </c>
      <c r="S231" s="260" t="s">
        <v>109</v>
      </c>
      <c r="T231" s="262"/>
      <c r="U231" s="259"/>
      <c r="V231" s="5"/>
    </row>
    <row r="232" spans="1:23" ht="15.6" x14ac:dyDescent="0.3">
      <c r="A232" s="232"/>
      <c r="B232" s="231" t="s">
        <v>94</v>
      </c>
      <c r="C232" s="249"/>
      <c r="D232" s="249"/>
      <c r="E232" s="249"/>
      <c r="F232" s="228"/>
      <c r="G232" s="249"/>
      <c r="H232" s="249"/>
      <c r="I232" s="249"/>
      <c r="J232" s="249"/>
      <c r="K232" s="249"/>
      <c r="L232" s="249"/>
      <c r="M232" s="249"/>
      <c r="N232" s="249"/>
      <c r="O232" s="249"/>
      <c r="P232" s="317">
        <f t="shared" ref="P232:P239" si="1">+P244+P256+P268</f>
        <v>2600</v>
      </c>
      <c r="Q232" s="388">
        <f t="shared" ref="Q232:Q239" si="2">P232/$P$241</f>
        <v>0.98484848484848486</v>
      </c>
      <c r="R232" s="318">
        <f t="shared" ref="R232:R239" si="3">+R244+R256+R268</f>
        <v>310204</v>
      </c>
      <c r="S232" s="388">
        <f t="shared" ref="S232:S239" si="4">R232/$R$241</f>
        <v>0.98101560054015247</v>
      </c>
      <c r="T232" s="247"/>
      <c r="U232" s="229"/>
      <c r="V232" s="5"/>
    </row>
    <row r="233" spans="1:23" ht="15.6" x14ac:dyDescent="0.3">
      <c r="A233" s="302"/>
      <c r="B233" s="317" t="s">
        <v>95</v>
      </c>
      <c r="C233" s="387"/>
      <c r="D233" s="387"/>
      <c r="E233" s="387"/>
      <c r="F233" s="272"/>
      <c r="G233" s="388"/>
      <c r="H233" s="387"/>
      <c r="I233" s="387"/>
      <c r="J233" s="387"/>
      <c r="K233" s="387"/>
      <c r="L233" s="387"/>
      <c r="M233" s="387"/>
      <c r="N233" s="387"/>
      <c r="O233" s="387"/>
      <c r="P233" s="317">
        <f t="shared" si="1"/>
        <v>23</v>
      </c>
      <c r="Q233" s="388">
        <f t="shared" si="2"/>
        <v>8.7121212121212127E-3</v>
      </c>
      <c r="R233" s="318">
        <f t="shared" si="3"/>
        <v>2809</v>
      </c>
      <c r="S233" s="388">
        <f t="shared" si="4"/>
        <v>8.8834213031337064E-3</v>
      </c>
      <c r="T233" s="361"/>
      <c r="U233" s="389"/>
      <c r="V233" s="5"/>
      <c r="W233" s="110"/>
    </row>
    <row r="234" spans="1:23" ht="15.6" x14ac:dyDescent="0.3">
      <c r="A234" s="302"/>
      <c r="B234" s="317" t="s">
        <v>96</v>
      </c>
      <c r="C234" s="387"/>
      <c r="D234" s="387"/>
      <c r="E234" s="387"/>
      <c r="F234" s="272"/>
      <c r="G234" s="388"/>
      <c r="H234" s="387"/>
      <c r="I234" s="387"/>
      <c r="J234" s="387"/>
      <c r="K234" s="387"/>
      <c r="L234" s="387"/>
      <c r="M234" s="387"/>
      <c r="N234" s="387"/>
      <c r="O234" s="387"/>
      <c r="P234" s="317">
        <f t="shared" si="1"/>
        <v>3</v>
      </c>
      <c r="Q234" s="388">
        <f t="shared" si="2"/>
        <v>1.1363636363636363E-3</v>
      </c>
      <c r="R234" s="318">
        <f t="shared" si="3"/>
        <v>661</v>
      </c>
      <c r="S234" s="388">
        <f t="shared" si="4"/>
        <v>2.0904028057569884E-3</v>
      </c>
      <c r="T234" s="361"/>
      <c r="U234" s="389"/>
      <c r="V234" s="5"/>
    </row>
    <row r="235" spans="1:23" ht="15.6" x14ac:dyDescent="0.3">
      <c r="A235" s="302"/>
      <c r="B235" s="317" t="s">
        <v>171</v>
      </c>
      <c r="C235" s="387"/>
      <c r="D235" s="387"/>
      <c r="E235" s="387"/>
      <c r="F235" s="272"/>
      <c r="G235" s="388"/>
      <c r="H235" s="387"/>
      <c r="I235" s="387"/>
      <c r="J235" s="387"/>
      <c r="K235" s="387"/>
      <c r="L235" s="387"/>
      <c r="M235" s="387"/>
      <c r="N235" s="387"/>
      <c r="O235" s="387"/>
      <c r="P235" s="317">
        <f t="shared" si="1"/>
        <v>1</v>
      </c>
      <c r="Q235" s="388">
        <f t="shared" si="2"/>
        <v>3.7878787878787879E-4</v>
      </c>
      <c r="R235" s="318">
        <f t="shared" si="3"/>
        <v>229</v>
      </c>
      <c r="S235" s="388">
        <f t="shared" si="4"/>
        <v>7.2420914148010635E-4</v>
      </c>
      <c r="T235" s="361"/>
      <c r="U235" s="389"/>
      <c r="V235" s="5"/>
      <c r="W235" s="110"/>
    </row>
    <row r="236" spans="1:23" ht="15.6" x14ac:dyDescent="0.3">
      <c r="A236" s="302"/>
      <c r="B236" s="317" t="s">
        <v>172</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row>
    <row r="237" spans="1:23" ht="15.6" x14ac:dyDescent="0.3">
      <c r="A237" s="302"/>
      <c r="B237" s="317" t="s">
        <v>173</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c r="W237" s="110"/>
    </row>
    <row r="238" spans="1:23" ht="15.6" x14ac:dyDescent="0.3">
      <c r="A238" s="302"/>
      <c r="B238" s="317" t="s">
        <v>174</v>
      </c>
      <c r="C238" s="387"/>
      <c r="D238" s="387"/>
      <c r="E238" s="387"/>
      <c r="F238" s="272"/>
      <c r="G238" s="388"/>
      <c r="H238" s="387"/>
      <c r="I238" s="387"/>
      <c r="J238" s="387"/>
      <c r="K238" s="387"/>
      <c r="L238" s="387"/>
      <c r="M238" s="387"/>
      <c r="N238" s="387"/>
      <c r="O238" s="387"/>
      <c r="P238" s="317">
        <f t="shared" si="1"/>
        <v>4</v>
      </c>
      <c r="Q238" s="388">
        <f t="shared" si="2"/>
        <v>1.5151515151515152E-3</v>
      </c>
      <c r="R238" s="318">
        <f t="shared" si="3"/>
        <v>469</v>
      </c>
      <c r="S238" s="388">
        <f t="shared" si="4"/>
        <v>1.4832056216339297E-3</v>
      </c>
      <c r="T238" s="361"/>
      <c r="U238" s="389"/>
      <c r="V238" s="5"/>
    </row>
    <row r="239" spans="1:23" ht="15.6" x14ac:dyDescent="0.3">
      <c r="A239" s="302"/>
      <c r="B239" s="317" t="s">
        <v>175</v>
      </c>
      <c r="C239" s="387"/>
      <c r="D239" s="387"/>
      <c r="E239" s="387"/>
      <c r="F239" s="272"/>
      <c r="G239" s="388"/>
      <c r="H239" s="387"/>
      <c r="I239" s="387"/>
      <c r="J239" s="387"/>
      <c r="K239" s="387"/>
      <c r="L239" s="387"/>
      <c r="M239" s="387"/>
      <c r="N239" s="387"/>
      <c r="O239" s="387"/>
      <c r="P239" s="317">
        <f t="shared" si="1"/>
        <v>9</v>
      </c>
      <c r="Q239" s="388">
        <f t="shared" si="2"/>
        <v>3.4090909090909089E-3</v>
      </c>
      <c r="R239" s="318">
        <f t="shared" si="3"/>
        <v>1835</v>
      </c>
      <c r="S239" s="388">
        <f t="shared" si="4"/>
        <v>5.8031605878427735E-3</v>
      </c>
      <c r="T239" s="361"/>
      <c r="U239" s="389"/>
      <c r="V239" s="5"/>
      <c r="W239" s="110"/>
    </row>
    <row r="240" spans="1:23" ht="15.6" x14ac:dyDescent="0.3">
      <c r="A240" s="302"/>
      <c r="B240" s="317"/>
      <c r="C240" s="387"/>
      <c r="D240" s="387"/>
      <c r="E240" s="387"/>
      <c r="F240" s="272"/>
      <c r="G240" s="388"/>
      <c r="H240" s="387"/>
      <c r="I240" s="387"/>
      <c r="J240" s="387"/>
      <c r="K240" s="387"/>
      <c r="L240" s="387"/>
      <c r="M240" s="387"/>
      <c r="N240" s="387"/>
      <c r="O240" s="387"/>
      <c r="P240" s="317"/>
      <c r="Q240" s="388"/>
      <c r="R240" s="318"/>
      <c r="S240" s="388"/>
      <c r="T240" s="361"/>
      <c r="U240" s="389"/>
      <c r="V240" s="5"/>
    </row>
    <row r="241" spans="1:23" ht="15.6" x14ac:dyDescent="0.3">
      <c r="A241" s="302"/>
      <c r="B241" s="272"/>
      <c r="C241" s="272"/>
      <c r="D241" s="272"/>
      <c r="E241" s="272"/>
      <c r="F241" s="272"/>
      <c r="G241" s="272"/>
      <c r="H241" s="390"/>
      <c r="I241" s="390"/>
      <c r="J241" s="390"/>
      <c r="K241" s="390"/>
      <c r="L241" s="390"/>
      <c r="M241" s="390"/>
      <c r="N241" s="390"/>
      <c r="O241" s="390"/>
      <c r="P241" s="317">
        <f>SUM(P232:P240)</f>
        <v>2640</v>
      </c>
      <c r="Q241" s="388">
        <f>SUM(Q232:Q240)</f>
        <v>0.99999999999999989</v>
      </c>
      <c r="R241" s="318">
        <f>SUM(R232:R240)</f>
        <v>316207</v>
      </c>
      <c r="S241" s="388">
        <f>SUM(S232:S240)</f>
        <v>1</v>
      </c>
      <c r="T241" s="272"/>
      <c r="U241" s="275"/>
      <c r="V241" s="5"/>
    </row>
    <row r="242" spans="1:23" ht="15.6" x14ac:dyDescent="0.3">
      <c r="A242" s="351"/>
      <c r="B242" s="352"/>
      <c r="C242" s="353"/>
      <c r="D242" s="353"/>
      <c r="E242" s="353"/>
      <c r="F242" s="354"/>
      <c r="G242" s="314"/>
      <c r="H242" s="314"/>
      <c r="I242" s="314"/>
      <c r="J242" s="314"/>
      <c r="K242" s="314"/>
      <c r="L242" s="314"/>
      <c r="M242" s="314"/>
      <c r="N242" s="314"/>
      <c r="O242" s="314"/>
      <c r="P242" s="314"/>
      <c r="Q242" s="314"/>
      <c r="R242" s="355"/>
      <c r="S242" s="314"/>
      <c r="T242" s="356"/>
      <c r="U242" s="357"/>
      <c r="V242" s="5"/>
    </row>
    <row r="243" spans="1:23" ht="15.6" x14ac:dyDescent="0.3">
      <c r="A243" s="258"/>
      <c r="B243" s="259" t="s">
        <v>177</v>
      </c>
      <c r="C243" s="260"/>
      <c r="D243" s="260"/>
      <c r="E243" s="260"/>
      <c r="F243" s="261"/>
      <c r="G243" s="260"/>
      <c r="H243" s="260"/>
      <c r="I243" s="260"/>
      <c r="J243" s="260"/>
      <c r="K243" s="260"/>
      <c r="L243" s="260"/>
      <c r="M243" s="260"/>
      <c r="N243" s="260"/>
      <c r="O243" s="260"/>
      <c r="P243" s="261" t="s">
        <v>108</v>
      </c>
      <c r="Q243" s="260" t="s">
        <v>109</v>
      </c>
      <c r="R243" s="261" t="s">
        <v>117</v>
      </c>
      <c r="S243" s="260" t="s">
        <v>109</v>
      </c>
      <c r="T243" s="262"/>
      <c r="U243" s="259"/>
      <c r="V243" s="5"/>
    </row>
    <row r="244" spans="1:23" ht="15.6" x14ac:dyDescent="0.3">
      <c r="A244" s="232"/>
      <c r="B244" s="231" t="s">
        <v>94</v>
      </c>
      <c r="C244" s="249"/>
      <c r="D244" s="249"/>
      <c r="E244" s="249"/>
      <c r="F244" s="228"/>
      <c r="G244" s="249"/>
      <c r="H244" s="249"/>
      <c r="I244" s="249"/>
      <c r="J244" s="249"/>
      <c r="K244" s="249"/>
      <c r="L244" s="249"/>
      <c r="M244" s="249"/>
      <c r="N244" s="249"/>
      <c r="O244" s="249"/>
      <c r="P244" s="231">
        <v>2549</v>
      </c>
      <c r="Q244" s="250">
        <f t="shared" ref="Q244:Q251" si="5">P244/$P$253</f>
        <v>0.98951863354037262</v>
      </c>
      <c r="R244" s="242">
        <v>302567</v>
      </c>
      <c r="S244" s="250">
        <f t="shared" ref="S244:S251" si="6">R244/$R$253</f>
        <v>0.98791581229511405</v>
      </c>
      <c r="T244" s="247"/>
      <c r="U244" s="229"/>
      <c r="V244" s="5"/>
    </row>
    <row r="245" spans="1:23" ht="15.6" x14ac:dyDescent="0.3">
      <c r="A245" s="302"/>
      <c r="B245" s="317" t="s">
        <v>95</v>
      </c>
      <c r="C245" s="387"/>
      <c r="D245" s="387"/>
      <c r="E245" s="387"/>
      <c r="F245" s="272"/>
      <c r="G245" s="388"/>
      <c r="H245" s="387"/>
      <c r="I245" s="387"/>
      <c r="J245" s="387"/>
      <c r="K245" s="387"/>
      <c r="L245" s="387"/>
      <c r="M245" s="387"/>
      <c r="N245" s="387"/>
      <c r="O245" s="387"/>
      <c r="P245" s="317">
        <v>22</v>
      </c>
      <c r="Q245" s="388">
        <f t="shared" si="5"/>
        <v>8.5403726708074539E-3</v>
      </c>
      <c r="R245" s="318">
        <v>2713</v>
      </c>
      <c r="S245" s="388">
        <f t="shared" si="6"/>
        <v>8.8582548617550643E-3</v>
      </c>
      <c r="T245" s="361"/>
      <c r="U245" s="389"/>
      <c r="V245" s="5"/>
      <c r="W245" s="110"/>
    </row>
    <row r="246" spans="1:23" ht="15.6" x14ac:dyDescent="0.3">
      <c r="A246" s="302"/>
      <c r="B246" s="317" t="s">
        <v>96</v>
      </c>
      <c r="C246" s="387"/>
      <c r="D246" s="387"/>
      <c r="E246" s="387"/>
      <c r="F246" s="272"/>
      <c r="G246" s="388"/>
      <c r="H246" s="387"/>
      <c r="I246" s="387"/>
      <c r="J246" s="387"/>
      <c r="K246" s="387"/>
      <c r="L246" s="387"/>
      <c r="M246" s="387"/>
      <c r="N246" s="387"/>
      <c r="O246" s="387"/>
      <c r="P246" s="317">
        <v>2</v>
      </c>
      <c r="Q246" s="388">
        <f t="shared" si="5"/>
        <v>7.7639751552795026E-4</v>
      </c>
      <c r="R246" s="318">
        <v>388</v>
      </c>
      <c r="S246" s="388">
        <f t="shared" si="6"/>
        <v>1.2668643149137356E-3</v>
      </c>
      <c r="T246" s="361"/>
      <c r="U246" s="389"/>
      <c r="V246" s="5"/>
    </row>
    <row r="247" spans="1:23" ht="15.6" x14ac:dyDescent="0.3">
      <c r="A247" s="302"/>
      <c r="B247" s="317" t="s">
        <v>171</v>
      </c>
      <c r="C247" s="387"/>
      <c r="D247" s="387"/>
      <c r="E247" s="387"/>
      <c r="F247" s="272"/>
      <c r="G247" s="388"/>
      <c r="H247" s="387"/>
      <c r="I247" s="387"/>
      <c r="J247" s="387"/>
      <c r="K247" s="387"/>
      <c r="L247" s="387"/>
      <c r="M247" s="387"/>
      <c r="N247" s="387"/>
      <c r="O247" s="387"/>
      <c r="P247" s="317">
        <v>1</v>
      </c>
      <c r="Q247" s="388">
        <f t="shared" si="5"/>
        <v>3.8819875776397513E-4</v>
      </c>
      <c r="R247" s="318">
        <v>229</v>
      </c>
      <c r="S247" s="388">
        <f t="shared" si="6"/>
        <v>7.4771115493619969E-4</v>
      </c>
      <c r="T247" s="361"/>
      <c r="U247" s="389"/>
      <c r="V247" s="5"/>
      <c r="W247" s="110"/>
    </row>
    <row r="248" spans="1:23" ht="15.6" x14ac:dyDescent="0.3">
      <c r="A248" s="302"/>
      <c r="B248" s="317" t="s">
        <v>172</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row>
    <row r="249" spans="1:23" ht="15.6" x14ac:dyDescent="0.3">
      <c r="A249" s="302"/>
      <c r="B249" s="317" t="s">
        <v>173</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c r="W249" s="110"/>
    </row>
    <row r="250" spans="1:23" ht="15.6" x14ac:dyDescent="0.3">
      <c r="A250" s="302"/>
      <c r="B250" s="317" t="s">
        <v>174</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row>
    <row r="251" spans="1:23" ht="15.6" x14ac:dyDescent="0.3">
      <c r="A251" s="302"/>
      <c r="B251" s="317" t="s">
        <v>175</v>
      </c>
      <c r="C251" s="387"/>
      <c r="D251" s="387"/>
      <c r="E251" s="387"/>
      <c r="F251" s="272"/>
      <c r="G251" s="388"/>
      <c r="H251" s="387"/>
      <c r="I251" s="387"/>
      <c r="J251" s="387"/>
      <c r="K251" s="387"/>
      <c r="L251" s="387"/>
      <c r="M251" s="387"/>
      <c r="N251" s="387"/>
      <c r="O251" s="387"/>
      <c r="P251" s="317">
        <v>2</v>
      </c>
      <c r="Q251" s="388">
        <f t="shared" si="5"/>
        <v>7.7639751552795026E-4</v>
      </c>
      <c r="R251" s="318">
        <v>371</v>
      </c>
      <c r="S251" s="388">
        <f t="shared" si="6"/>
        <v>1.2113573732809174E-3</v>
      </c>
      <c r="T251" s="361"/>
      <c r="U251" s="389"/>
      <c r="V251" s="5"/>
      <c r="W251" s="110"/>
    </row>
    <row r="252" spans="1:23" ht="15.6" x14ac:dyDescent="0.3">
      <c r="A252" s="302"/>
      <c r="B252" s="317"/>
      <c r="C252" s="387"/>
      <c r="D252" s="387"/>
      <c r="E252" s="387"/>
      <c r="F252" s="272"/>
      <c r="G252" s="388"/>
      <c r="H252" s="387"/>
      <c r="I252" s="387"/>
      <c r="J252" s="387"/>
      <c r="K252" s="387"/>
      <c r="L252" s="387"/>
      <c r="M252" s="387"/>
      <c r="N252" s="387"/>
      <c r="O252" s="387"/>
      <c r="P252" s="317"/>
      <c r="Q252" s="388"/>
      <c r="R252" s="318"/>
      <c r="S252" s="388"/>
      <c r="T252" s="361"/>
      <c r="U252" s="389"/>
      <c r="V252" s="5"/>
    </row>
    <row r="253" spans="1:23" ht="15.6" x14ac:dyDescent="0.3">
      <c r="A253" s="302"/>
      <c r="B253" s="272"/>
      <c r="C253" s="272"/>
      <c r="D253" s="272"/>
      <c r="E253" s="272"/>
      <c r="F253" s="272"/>
      <c r="G253" s="272"/>
      <c r="H253" s="390"/>
      <c r="I253" s="390"/>
      <c r="J253" s="390"/>
      <c r="K253" s="390"/>
      <c r="L253" s="390"/>
      <c r="M253" s="390"/>
      <c r="N253" s="390"/>
      <c r="O253" s="390"/>
      <c r="P253" s="317">
        <f>SUM(P244:P252)</f>
        <v>2576</v>
      </c>
      <c r="Q253" s="388">
        <f>SUM(Q244:Q252)</f>
        <v>0.99999999999999989</v>
      </c>
      <c r="R253" s="318">
        <f>SUM(R244:R252)</f>
        <v>306268</v>
      </c>
      <c r="S253" s="388">
        <f>SUM(S244:S252)</f>
        <v>1</v>
      </c>
      <c r="T253" s="272"/>
      <c r="U253" s="275"/>
      <c r="V253" s="5"/>
    </row>
    <row r="254" spans="1:23" ht="15.6" x14ac:dyDescent="0.3">
      <c r="A254" s="177"/>
      <c r="B254" s="314"/>
      <c r="C254" s="314"/>
      <c r="D254" s="314"/>
      <c r="E254" s="314"/>
      <c r="F254" s="314"/>
      <c r="G254" s="314"/>
      <c r="H254" s="384"/>
      <c r="I254" s="384"/>
      <c r="J254" s="384"/>
      <c r="K254" s="384"/>
      <c r="L254" s="384"/>
      <c r="M254" s="384"/>
      <c r="N254" s="384"/>
      <c r="O254" s="384"/>
      <c r="P254" s="315"/>
      <c r="Q254" s="385"/>
      <c r="R254" s="386"/>
      <c r="S254" s="385"/>
      <c r="T254" s="314"/>
      <c r="U254" s="314"/>
      <c r="V254" s="5"/>
    </row>
    <row r="255" spans="1:23" ht="15.6" x14ac:dyDescent="0.3">
      <c r="A255" s="263"/>
      <c r="B255" s="259" t="s">
        <v>279</v>
      </c>
      <c r="C255" s="260"/>
      <c r="D255" s="260"/>
      <c r="E255" s="260"/>
      <c r="F255" s="261"/>
      <c r="G255" s="260"/>
      <c r="H255" s="260"/>
      <c r="I255" s="260"/>
      <c r="J255" s="260"/>
      <c r="K255" s="260"/>
      <c r="L255" s="260"/>
      <c r="M255" s="260"/>
      <c r="N255" s="260"/>
      <c r="O255" s="260"/>
      <c r="P255" s="261" t="s">
        <v>108</v>
      </c>
      <c r="Q255" s="260" t="s">
        <v>109</v>
      </c>
      <c r="R255" s="261" t="s">
        <v>117</v>
      </c>
      <c r="S255" s="260" t="s">
        <v>109</v>
      </c>
      <c r="T255" s="264"/>
      <c r="U255" s="265"/>
      <c r="V255" s="5"/>
    </row>
    <row r="256" spans="1:23" ht="15.6" x14ac:dyDescent="0.3">
      <c r="A256" s="232"/>
      <c r="B256" s="231" t="s">
        <v>94</v>
      </c>
      <c r="C256" s="249"/>
      <c r="D256" s="249"/>
      <c r="E256" s="249"/>
      <c r="F256" s="228"/>
      <c r="G256" s="249"/>
      <c r="H256" s="249"/>
      <c r="I256" s="249"/>
      <c r="J256" s="249"/>
      <c r="K256" s="249"/>
      <c r="L256" s="249"/>
      <c r="M256" s="249"/>
      <c r="N256" s="249"/>
      <c r="O256" s="249"/>
      <c r="P256" s="231">
        <v>51</v>
      </c>
      <c r="Q256" s="250">
        <f t="shared" ref="Q256:Q263" si="7">P256/$P$265</f>
        <v>0.796875</v>
      </c>
      <c r="R256" s="242">
        <v>7637</v>
      </c>
      <c r="S256" s="250">
        <f t="shared" ref="S256:S263" si="8">R256/$R$265</f>
        <v>0.7683871616862864</v>
      </c>
      <c r="T256" s="228"/>
      <c r="U256" s="194"/>
      <c r="V256" s="5"/>
    </row>
    <row r="257" spans="1:22" ht="15.6" x14ac:dyDescent="0.3">
      <c r="A257" s="302"/>
      <c r="B257" s="317" t="s">
        <v>95</v>
      </c>
      <c r="C257" s="387"/>
      <c r="D257" s="387"/>
      <c r="E257" s="387"/>
      <c r="F257" s="272"/>
      <c r="G257" s="388"/>
      <c r="H257" s="387"/>
      <c r="I257" s="387"/>
      <c r="J257" s="387"/>
      <c r="K257" s="387"/>
      <c r="L257" s="387"/>
      <c r="M257" s="387"/>
      <c r="N257" s="387"/>
      <c r="O257" s="387"/>
      <c r="P257" s="317">
        <v>1</v>
      </c>
      <c r="Q257" s="388">
        <f t="shared" si="7"/>
        <v>1.5625E-2</v>
      </c>
      <c r="R257" s="318">
        <v>96</v>
      </c>
      <c r="S257" s="388">
        <f t="shared" si="8"/>
        <v>9.6589194083911856E-3</v>
      </c>
      <c r="T257" s="272"/>
      <c r="U257" s="340"/>
      <c r="V257" s="5"/>
    </row>
    <row r="258" spans="1:22" ht="15.6" x14ac:dyDescent="0.3">
      <c r="A258" s="302"/>
      <c r="B258" s="317" t="s">
        <v>96</v>
      </c>
      <c r="C258" s="387"/>
      <c r="D258" s="387"/>
      <c r="E258" s="387"/>
      <c r="F258" s="272"/>
      <c r="G258" s="388"/>
      <c r="H258" s="387"/>
      <c r="I258" s="387"/>
      <c r="J258" s="387"/>
      <c r="K258" s="387"/>
      <c r="L258" s="387"/>
      <c r="M258" s="387"/>
      <c r="N258" s="387"/>
      <c r="O258" s="387"/>
      <c r="P258" s="317">
        <v>1</v>
      </c>
      <c r="Q258" s="388">
        <f t="shared" si="7"/>
        <v>1.5625E-2</v>
      </c>
      <c r="R258" s="318">
        <v>273</v>
      </c>
      <c r="S258" s="388">
        <f t="shared" si="8"/>
        <v>2.7467552067612436E-2</v>
      </c>
      <c r="T258" s="272"/>
      <c r="U258" s="340"/>
      <c r="V258" s="5"/>
    </row>
    <row r="259" spans="1:22" ht="15.6" x14ac:dyDescent="0.3">
      <c r="A259" s="302"/>
      <c r="B259" s="317" t="s">
        <v>171</v>
      </c>
      <c r="C259" s="387"/>
      <c r="D259" s="387"/>
      <c r="E259" s="387"/>
      <c r="F259" s="272"/>
      <c r="G259" s="388"/>
      <c r="H259" s="387"/>
      <c r="I259" s="387"/>
      <c r="J259" s="387"/>
      <c r="K259" s="387"/>
      <c r="L259" s="387"/>
      <c r="M259" s="387"/>
      <c r="N259" s="387"/>
      <c r="O259" s="387"/>
      <c r="P259" s="317">
        <v>0</v>
      </c>
      <c r="Q259" s="388">
        <f t="shared" si="7"/>
        <v>0</v>
      </c>
      <c r="R259" s="318">
        <v>0</v>
      </c>
      <c r="S259" s="388">
        <f t="shared" si="8"/>
        <v>0</v>
      </c>
      <c r="T259" s="272"/>
      <c r="U259" s="340"/>
      <c r="V259" s="5"/>
    </row>
    <row r="260" spans="1:22" ht="15.6" x14ac:dyDescent="0.3">
      <c r="A260" s="302"/>
      <c r="B260" s="317" t="s">
        <v>172</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173</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174</v>
      </c>
      <c r="C262" s="387"/>
      <c r="D262" s="387"/>
      <c r="E262" s="387"/>
      <c r="F262" s="272"/>
      <c r="G262" s="388"/>
      <c r="H262" s="387"/>
      <c r="I262" s="387"/>
      <c r="J262" s="387"/>
      <c r="K262" s="387"/>
      <c r="L262" s="387"/>
      <c r="M262" s="387"/>
      <c r="N262" s="387"/>
      <c r="O262" s="387"/>
      <c r="P262" s="317">
        <v>4</v>
      </c>
      <c r="Q262" s="388">
        <f t="shared" si="7"/>
        <v>6.25E-2</v>
      </c>
      <c r="R262" s="318">
        <v>469</v>
      </c>
      <c r="S262" s="388">
        <f t="shared" si="8"/>
        <v>4.7187845859744441E-2</v>
      </c>
      <c r="T262" s="272"/>
      <c r="U262" s="340"/>
      <c r="V262" s="5"/>
    </row>
    <row r="263" spans="1:22" ht="15.6" x14ac:dyDescent="0.3">
      <c r="A263" s="302"/>
      <c r="B263" s="317" t="s">
        <v>175</v>
      </c>
      <c r="C263" s="387"/>
      <c r="D263" s="387"/>
      <c r="E263" s="387"/>
      <c r="F263" s="272"/>
      <c r="G263" s="388"/>
      <c r="H263" s="387"/>
      <c r="I263" s="387"/>
      <c r="J263" s="387"/>
      <c r="K263" s="387"/>
      <c r="L263" s="387"/>
      <c r="M263" s="387"/>
      <c r="N263" s="387"/>
      <c r="O263" s="387"/>
      <c r="P263" s="317">
        <v>7</v>
      </c>
      <c r="Q263" s="388">
        <f t="shared" si="7"/>
        <v>0.109375</v>
      </c>
      <c r="R263" s="318">
        <v>1464</v>
      </c>
      <c r="S263" s="388">
        <f t="shared" si="8"/>
        <v>0.14729852097796559</v>
      </c>
      <c r="T263" s="272"/>
      <c r="U263" s="340"/>
      <c r="V263" s="5"/>
    </row>
    <row r="264" spans="1:22" ht="15.6" x14ac:dyDescent="0.3">
      <c r="A264" s="302"/>
      <c r="B264" s="317"/>
      <c r="C264" s="387"/>
      <c r="D264" s="387"/>
      <c r="E264" s="387"/>
      <c r="F264" s="272"/>
      <c r="G264" s="388"/>
      <c r="H264" s="387"/>
      <c r="I264" s="387"/>
      <c r="J264" s="387"/>
      <c r="K264" s="387"/>
      <c r="L264" s="387"/>
      <c r="M264" s="387"/>
      <c r="N264" s="387"/>
      <c r="O264" s="387"/>
      <c r="P264" s="317"/>
      <c r="Q264" s="388"/>
      <c r="R264" s="318"/>
      <c r="S264" s="388"/>
      <c r="T264" s="272"/>
      <c r="U264" s="340"/>
      <c r="V264" s="5"/>
    </row>
    <row r="265" spans="1:22" ht="15.6" x14ac:dyDescent="0.3">
      <c r="A265" s="302"/>
      <c r="B265" s="272"/>
      <c r="C265" s="272"/>
      <c r="D265" s="272"/>
      <c r="E265" s="272"/>
      <c r="F265" s="272"/>
      <c r="G265" s="272"/>
      <c r="H265" s="390"/>
      <c r="I265" s="390"/>
      <c r="J265" s="390"/>
      <c r="K265" s="390"/>
      <c r="L265" s="390"/>
      <c r="M265" s="390"/>
      <c r="N265" s="390"/>
      <c r="O265" s="390"/>
      <c r="P265" s="317">
        <f>SUM(P256:P264)</f>
        <v>64</v>
      </c>
      <c r="Q265" s="388">
        <f>SUM(Q256:Q264)</f>
        <v>1</v>
      </c>
      <c r="R265" s="318">
        <f>SUM(R256:R264)</f>
        <v>9939</v>
      </c>
      <c r="S265" s="388">
        <f>SUM(S256:S264)</f>
        <v>1</v>
      </c>
      <c r="T265" s="272"/>
      <c r="U265" s="340"/>
      <c r="V265" s="5"/>
    </row>
    <row r="266" spans="1:22" ht="15.6" x14ac:dyDescent="0.3">
      <c r="A266" s="233"/>
      <c r="B266" s="268"/>
      <c r="C266" s="268"/>
      <c r="D266" s="268"/>
      <c r="E266" s="268"/>
      <c r="F266" s="268"/>
      <c r="G266" s="268"/>
      <c r="H266" s="391"/>
      <c r="I266" s="391"/>
      <c r="J266" s="391"/>
      <c r="K266" s="391"/>
      <c r="L266" s="391"/>
      <c r="M266" s="391"/>
      <c r="N266" s="391"/>
      <c r="O266" s="391"/>
      <c r="P266" s="333"/>
      <c r="Q266" s="392"/>
      <c r="R266" s="393"/>
      <c r="S266" s="392"/>
      <c r="T266" s="268"/>
      <c r="U266" s="314"/>
      <c r="V266" s="5"/>
    </row>
    <row r="267" spans="1:22" ht="15.6" x14ac:dyDescent="0.3">
      <c r="A267" s="263"/>
      <c r="B267" s="259" t="s">
        <v>179</v>
      </c>
      <c r="C267" s="264"/>
      <c r="D267" s="264"/>
      <c r="E267" s="264"/>
      <c r="F267" s="264"/>
      <c r="G267" s="264"/>
      <c r="H267" s="266"/>
      <c r="I267" s="266"/>
      <c r="J267" s="266"/>
      <c r="K267" s="266"/>
      <c r="L267" s="266"/>
      <c r="M267" s="266"/>
      <c r="N267" s="266"/>
      <c r="O267" s="266"/>
      <c r="P267" s="261" t="s">
        <v>108</v>
      </c>
      <c r="Q267" s="260" t="s">
        <v>109</v>
      </c>
      <c r="R267" s="261" t="s">
        <v>117</v>
      </c>
      <c r="S267" s="260" t="s">
        <v>109</v>
      </c>
      <c r="T267" s="264"/>
      <c r="U267" s="265"/>
      <c r="V267" s="5"/>
    </row>
    <row r="268" spans="1:22" ht="15.6" x14ac:dyDescent="0.3">
      <c r="A268" s="232"/>
      <c r="B268" s="231" t="s">
        <v>94</v>
      </c>
      <c r="C268" s="228"/>
      <c r="D268" s="228"/>
      <c r="E268" s="228"/>
      <c r="F268" s="228"/>
      <c r="G268" s="228"/>
      <c r="H268" s="251"/>
      <c r="I268" s="251"/>
      <c r="J268" s="251"/>
      <c r="K268" s="251"/>
      <c r="L268" s="251"/>
      <c r="M268" s="251"/>
      <c r="N268" s="251"/>
      <c r="O268" s="251"/>
      <c r="P268" s="231">
        <v>0</v>
      </c>
      <c r="Q268" s="250">
        <v>0</v>
      </c>
      <c r="R268" s="242">
        <v>0</v>
      </c>
      <c r="S268" s="250">
        <v>0</v>
      </c>
      <c r="T268" s="228"/>
      <c r="U268" s="194"/>
      <c r="V268" s="5"/>
    </row>
    <row r="269" spans="1:22" ht="15.6" x14ac:dyDescent="0.3">
      <c r="A269" s="302"/>
      <c r="B269" s="317" t="s">
        <v>95</v>
      </c>
      <c r="C269" s="272"/>
      <c r="D269" s="272"/>
      <c r="E269" s="272"/>
      <c r="F269" s="272"/>
      <c r="G269" s="272"/>
      <c r="H269" s="390"/>
      <c r="I269" s="390"/>
      <c r="J269" s="390"/>
      <c r="K269" s="390"/>
      <c r="L269" s="390"/>
      <c r="M269" s="390"/>
      <c r="N269" s="390"/>
      <c r="O269" s="390"/>
      <c r="P269" s="317">
        <v>0</v>
      </c>
      <c r="Q269" s="388">
        <v>0</v>
      </c>
      <c r="R269" s="318">
        <v>0</v>
      </c>
      <c r="S269" s="388">
        <v>0</v>
      </c>
      <c r="T269" s="272"/>
      <c r="U269" s="340"/>
      <c r="V269" s="5"/>
    </row>
    <row r="270" spans="1:22" ht="15.6" x14ac:dyDescent="0.3">
      <c r="A270" s="302"/>
      <c r="B270" s="317" t="s">
        <v>96</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171</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172</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173</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174</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175</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c r="C276" s="272"/>
      <c r="D276" s="272"/>
      <c r="E276" s="272"/>
      <c r="F276" s="272"/>
      <c r="G276" s="272"/>
      <c r="H276" s="390"/>
      <c r="I276" s="390"/>
      <c r="J276" s="390"/>
      <c r="K276" s="390"/>
      <c r="L276" s="390"/>
      <c r="M276" s="390"/>
      <c r="N276" s="390"/>
      <c r="O276" s="390"/>
      <c r="P276" s="317"/>
      <c r="Q276" s="388"/>
      <c r="R276" s="318"/>
      <c r="S276" s="388"/>
      <c r="T276" s="272"/>
      <c r="U276" s="340"/>
      <c r="V276" s="5"/>
    </row>
    <row r="277" spans="1:22" ht="15.6" x14ac:dyDescent="0.3">
      <c r="A277" s="302"/>
      <c r="B277" s="272" t="s">
        <v>123</v>
      </c>
      <c r="C277" s="272"/>
      <c r="D277" s="272"/>
      <c r="E277" s="272"/>
      <c r="F277" s="272"/>
      <c r="G277" s="272"/>
      <c r="H277" s="390"/>
      <c r="I277" s="390"/>
      <c r="J277" s="390"/>
      <c r="K277" s="390"/>
      <c r="L277" s="390"/>
      <c r="M277" s="390"/>
      <c r="N277" s="390"/>
      <c r="O277" s="390"/>
      <c r="P277" s="317">
        <f>SUM(P268:P275)</f>
        <v>0</v>
      </c>
      <c r="Q277" s="388">
        <f>SUM(Q268:Q275)</f>
        <v>0</v>
      </c>
      <c r="R277" s="318">
        <f>SUM(R268:R275)</f>
        <v>0</v>
      </c>
      <c r="S277" s="388">
        <f>SUM(S268:S275)</f>
        <v>0</v>
      </c>
      <c r="T277" s="272"/>
      <c r="U277" s="340"/>
      <c r="V277" s="5"/>
    </row>
    <row r="278" spans="1:22" ht="15.6" x14ac:dyDescent="0.3">
      <c r="A278" s="302"/>
      <c r="B278" s="272"/>
      <c r="C278" s="272"/>
      <c r="D278" s="272"/>
      <c r="E278" s="272"/>
      <c r="F278" s="272"/>
      <c r="G278" s="272"/>
      <c r="H278" s="390"/>
      <c r="I278" s="390"/>
      <c r="J278" s="390"/>
      <c r="K278" s="390"/>
      <c r="L278" s="390"/>
      <c r="M278" s="390"/>
      <c r="N278" s="390"/>
      <c r="O278" s="390"/>
      <c r="P278" s="317"/>
      <c r="Q278" s="388"/>
      <c r="R278" s="318"/>
      <c r="S278" s="388"/>
      <c r="T278" s="272"/>
      <c r="U278" s="340"/>
      <c r="V278" s="5"/>
    </row>
    <row r="279" spans="1:22" ht="15.6" x14ac:dyDescent="0.3">
      <c r="A279" s="302"/>
      <c r="B279" s="277" t="s">
        <v>180</v>
      </c>
      <c r="C279" s="272"/>
      <c r="D279" s="272"/>
      <c r="E279" s="272"/>
      <c r="F279" s="272"/>
      <c r="G279" s="272"/>
      <c r="H279" s="390"/>
      <c r="I279" s="390"/>
      <c r="J279" s="390"/>
      <c r="K279" s="390"/>
      <c r="L279" s="390"/>
      <c r="M279" s="390"/>
      <c r="N279" s="390"/>
      <c r="O279" s="390"/>
      <c r="P279" s="399">
        <f>+P253+P265+P277</f>
        <v>2640</v>
      </c>
      <c r="Q279" s="388"/>
      <c r="R279" s="396">
        <f>+R277+R265+R253</f>
        <v>316207</v>
      </c>
      <c r="S279" s="388"/>
      <c r="T279" s="272"/>
      <c r="U279" s="340"/>
      <c r="V279" s="5"/>
    </row>
    <row r="280" spans="1:22" ht="15.6" x14ac:dyDescent="0.3">
      <c r="A280" s="233"/>
      <c r="B280" s="268"/>
      <c r="C280" s="268"/>
      <c r="D280" s="268"/>
      <c r="E280" s="268"/>
      <c r="F280" s="268"/>
      <c r="G280" s="268"/>
      <c r="H280" s="391"/>
      <c r="I280" s="391"/>
      <c r="J280" s="391"/>
      <c r="K280" s="391"/>
      <c r="L280" s="391"/>
      <c r="M280" s="391"/>
      <c r="N280" s="391"/>
      <c r="O280" s="391"/>
      <c r="P280" s="391"/>
      <c r="Q280" s="391"/>
      <c r="R280" s="393"/>
      <c r="S280" s="391"/>
      <c r="T280" s="268"/>
      <c r="U280" s="314"/>
      <c r="V280" s="5"/>
    </row>
    <row r="281" spans="1:22" ht="15.6" x14ac:dyDescent="0.3">
      <c r="A281" s="233"/>
      <c r="B281" s="234"/>
      <c r="C281" s="234"/>
      <c r="D281" s="234"/>
      <c r="E281" s="234"/>
      <c r="F281" s="234"/>
      <c r="G281" s="234"/>
      <c r="H281" s="252"/>
      <c r="I281" s="252"/>
      <c r="J281" s="252"/>
      <c r="K281" s="252"/>
      <c r="L281" s="252"/>
      <c r="M281" s="252"/>
      <c r="N281" s="252"/>
      <c r="O281" s="252"/>
      <c r="P281" s="252"/>
      <c r="Q281" s="252"/>
      <c r="R281" s="253"/>
      <c r="S281" s="252"/>
      <c r="T281" s="234"/>
      <c r="U281" s="179"/>
      <c r="V281" s="5"/>
    </row>
    <row r="282" spans="1:22" ht="15.6" x14ac:dyDescent="0.3">
      <c r="A282" s="254"/>
      <c r="B282" s="220" t="s">
        <v>97</v>
      </c>
      <c r="C282" s="234"/>
      <c r="D282" s="234"/>
      <c r="E282" s="234"/>
      <c r="F282" s="225" t="s">
        <v>103</v>
      </c>
      <c r="G282" s="234"/>
      <c r="H282" s="220" t="s">
        <v>105</v>
      </c>
      <c r="I282" s="255"/>
      <c r="J282" s="255"/>
      <c r="K282" s="255"/>
      <c r="L282" s="255"/>
      <c r="M282" s="255"/>
      <c r="N282" s="255"/>
      <c r="O282" s="255"/>
      <c r="P282" s="255"/>
      <c r="Q282" s="255"/>
      <c r="R282" s="255"/>
      <c r="S282" s="255"/>
      <c r="T282" s="255"/>
      <c r="U282" s="192"/>
      <c r="V282" s="5"/>
    </row>
    <row r="283" spans="1:22" ht="15.6" x14ac:dyDescent="0.3">
      <c r="A283" s="254"/>
      <c r="B283" s="255"/>
      <c r="C283" s="234"/>
      <c r="D283" s="234"/>
      <c r="E283" s="234"/>
      <c r="F283" s="234"/>
      <c r="G283" s="234"/>
      <c r="H283" s="234"/>
      <c r="I283" s="255"/>
      <c r="J283" s="255"/>
      <c r="K283" s="255"/>
      <c r="L283" s="255"/>
      <c r="M283" s="255"/>
      <c r="N283" s="255"/>
      <c r="O283" s="255"/>
      <c r="P283" s="255"/>
      <c r="Q283" s="255"/>
      <c r="R283" s="255"/>
      <c r="S283" s="255"/>
      <c r="T283" s="255"/>
      <c r="U283" s="192"/>
      <c r="V283" s="5"/>
    </row>
    <row r="284" spans="1:22" ht="15.6" x14ac:dyDescent="0.3">
      <c r="A284" s="254"/>
      <c r="B284" s="220" t="s">
        <v>98</v>
      </c>
      <c r="C284" s="220"/>
      <c r="D284" s="220"/>
      <c r="E284" s="220"/>
      <c r="F284" s="256" t="s">
        <v>159</v>
      </c>
      <c r="G284" s="220"/>
      <c r="H284" s="220" t="s">
        <v>167</v>
      </c>
      <c r="I284" s="255"/>
      <c r="J284" s="255"/>
      <c r="K284" s="255"/>
      <c r="L284" s="255"/>
      <c r="M284" s="255"/>
      <c r="N284" s="255"/>
      <c r="O284" s="255"/>
      <c r="P284" s="255"/>
      <c r="Q284" s="255"/>
      <c r="R284" s="255"/>
      <c r="S284" s="255"/>
      <c r="T284" s="255"/>
      <c r="U284" s="192"/>
      <c r="V284" s="5"/>
    </row>
    <row r="285" spans="1:22" ht="15.6" x14ac:dyDescent="0.3">
      <c r="A285" s="254"/>
      <c r="B285" s="220" t="s">
        <v>273</v>
      </c>
      <c r="C285" s="220"/>
      <c r="D285" s="220"/>
      <c r="E285" s="220"/>
      <c r="F285" s="256" t="s">
        <v>274</v>
      </c>
      <c r="G285" s="220"/>
      <c r="H285" s="220" t="s">
        <v>275</v>
      </c>
      <c r="I285" s="255"/>
      <c r="J285" s="255"/>
      <c r="K285" s="255"/>
      <c r="L285" s="255"/>
      <c r="M285" s="255"/>
      <c r="N285" s="255"/>
      <c r="O285" s="255"/>
      <c r="P285" s="255"/>
      <c r="Q285" s="255"/>
      <c r="R285" s="255"/>
      <c r="S285" s="255"/>
      <c r="T285" s="255"/>
      <c r="U285" s="192"/>
      <c r="V285" s="5"/>
    </row>
    <row r="286" spans="1:22" ht="15.6" x14ac:dyDescent="0.3">
      <c r="A286" s="254"/>
      <c r="B286" s="220" t="s">
        <v>99</v>
      </c>
      <c r="C286" s="220"/>
      <c r="D286" s="220"/>
      <c r="E286" s="220"/>
      <c r="F286" s="256" t="s">
        <v>158</v>
      </c>
      <c r="G286" s="220"/>
      <c r="H286" s="220" t="s">
        <v>168</v>
      </c>
      <c r="I286" s="255"/>
      <c r="J286" s="255"/>
      <c r="K286" s="255"/>
      <c r="L286" s="255"/>
      <c r="M286" s="255"/>
      <c r="N286" s="255"/>
      <c r="O286" s="255"/>
      <c r="P286" s="255"/>
      <c r="Q286" s="255"/>
      <c r="R286" s="255"/>
      <c r="S286" s="255"/>
      <c r="T286" s="255"/>
      <c r="U286" s="192"/>
      <c r="V286" s="5"/>
    </row>
    <row r="287" spans="1:22" ht="15.6" x14ac:dyDescent="0.3">
      <c r="A287" s="254"/>
      <c r="B287" s="220"/>
      <c r="C287" s="220"/>
      <c r="D287" s="220"/>
      <c r="E287" s="220"/>
      <c r="F287" s="220"/>
      <c r="G287" s="257"/>
      <c r="H287" s="255"/>
      <c r="I287" s="255"/>
      <c r="J287" s="255"/>
      <c r="K287" s="255"/>
      <c r="L287" s="255"/>
      <c r="M287" s="255"/>
      <c r="N287" s="255"/>
      <c r="O287" s="255"/>
      <c r="P287" s="255"/>
      <c r="Q287" s="255"/>
      <c r="R287" s="255"/>
      <c r="S287" s="255"/>
      <c r="T287" s="255"/>
      <c r="U287" s="192"/>
      <c r="V287" s="5"/>
    </row>
    <row r="288" spans="1:22" ht="15.6" x14ac:dyDescent="0.3">
      <c r="A288" s="216"/>
      <c r="B288" s="185"/>
      <c r="C288" s="185"/>
      <c r="D288" s="185"/>
      <c r="E288" s="185"/>
      <c r="F288" s="185"/>
      <c r="G288" s="217"/>
      <c r="H288" s="192"/>
      <c r="I288" s="192"/>
      <c r="J288" s="192"/>
      <c r="K288" s="192"/>
      <c r="L288" s="192"/>
      <c r="M288" s="192"/>
      <c r="N288" s="192"/>
      <c r="O288" s="192"/>
      <c r="P288" s="192"/>
      <c r="Q288" s="192"/>
      <c r="R288" s="192"/>
      <c r="S288" s="192"/>
      <c r="T288" s="192"/>
      <c r="U288" s="192"/>
      <c r="V288" s="5"/>
    </row>
    <row r="289" spans="1:22" ht="18" thickBot="1" x14ac:dyDescent="0.35">
      <c r="A289" s="216"/>
      <c r="B289" s="267" t="str">
        <f>B194</f>
        <v>PM9 INVESTOR REPORT QUARTER ENDING JULY 2011</v>
      </c>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x14ac:dyDescent="0.25">
      <c r="A290" s="101"/>
      <c r="B290" s="101"/>
      <c r="C290" s="101"/>
      <c r="D290" s="101"/>
      <c r="E290" s="101"/>
      <c r="F290" s="101"/>
      <c r="G290" s="101"/>
      <c r="H290" s="101"/>
      <c r="I290" s="101"/>
      <c r="J290" s="101"/>
      <c r="K290" s="101"/>
      <c r="L290" s="101"/>
      <c r="M290" s="101"/>
      <c r="N290" s="101"/>
      <c r="O290" s="101"/>
      <c r="P290" s="101"/>
      <c r="Q290" s="101"/>
      <c r="R290" s="101"/>
      <c r="S290" s="101"/>
      <c r="T290" s="101"/>
      <c r="U290" s="101"/>
    </row>
  </sheetData>
  <phoneticPr fontId="0" type="noConversion"/>
  <hyperlinks>
    <hyperlink ref="J9" r:id="rId1" xr:uid="{00000000-0004-0000-1700-000000000000}"/>
    <hyperlink ref="N229" r:id="rId2" xr:uid="{00000000-0004-0000-17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1" man="1"/>
    <brk id="133" max="14" man="1"/>
    <brk id="194" max="14" man="1"/>
  </row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89CB31"/>
  </sheetPr>
  <dimension ref="A1:W290"/>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0.71940000000000004</v>
      </c>
      <c r="R16" s="225" t="s">
        <v>149</v>
      </c>
      <c r="S16" s="224">
        <v>0.28060000000000002</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40865</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150</v>
      </c>
      <c r="E25" s="398"/>
      <c r="F25" s="398" t="s">
        <v>150</v>
      </c>
      <c r="G25" s="398"/>
      <c r="H25" s="398" t="s">
        <v>150</v>
      </c>
      <c r="I25" s="398"/>
      <c r="J25" s="398" t="s">
        <v>192</v>
      </c>
      <c r="K25" s="398"/>
      <c r="L25" s="398" t="s">
        <v>192</v>
      </c>
      <c r="M25" s="398"/>
      <c r="N25" s="398" t="s">
        <v>151</v>
      </c>
      <c r="O25" s="398"/>
      <c r="P25" s="398" t="s">
        <v>151</v>
      </c>
      <c r="Q25" s="398"/>
      <c r="R25" s="273"/>
      <c r="S25" s="274"/>
      <c r="T25" s="274"/>
      <c r="U25" s="275"/>
      <c r="V25" s="5"/>
    </row>
    <row r="26" spans="1:22" ht="15.6" x14ac:dyDescent="0.3">
      <c r="A26" s="276"/>
      <c r="B26" s="277" t="s">
        <v>10</v>
      </c>
      <c r="C26" s="398"/>
      <c r="D26" s="398" t="s">
        <v>307</v>
      </c>
      <c r="E26" s="398"/>
      <c r="F26" s="398" t="s">
        <v>307</v>
      </c>
      <c r="G26" s="398"/>
      <c r="H26" s="398" t="s">
        <v>307</v>
      </c>
      <c r="I26" s="398"/>
      <c r="J26" s="398" t="s">
        <v>307</v>
      </c>
      <c r="K26" s="398"/>
      <c r="L26" s="398" t="s">
        <v>307</v>
      </c>
      <c r="M26" s="398"/>
      <c r="N26" s="398" t="s">
        <v>153</v>
      </c>
      <c r="O26" s="398"/>
      <c r="P26" s="398" t="s">
        <v>153</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137373.00279999999</v>
      </c>
      <c r="E30" s="280"/>
      <c r="F30" s="282">
        <f>F29*F36</f>
        <v>140946.28899999999</v>
      </c>
      <c r="G30" s="281"/>
      <c r="H30" s="283">
        <f>H29*H36</f>
        <v>23821.854000000003</v>
      </c>
      <c r="I30" s="281"/>
      <c r="J30" s="281">
        <f>J29*J36</f>
        <v>6324.1457999999993</v>
      </c>
      <c r="K30" s="281"/>
      <c r="L30" s="282">
        <f>L29*L36</f>
        <v>26651.757299999997</v>
      </c>
      <c r="M30" s="281"/>
      <c r="N30" s="284">
        <f>N29*N36</f>
        <v>2710.3481999999999</v>
      </c>
      <c r="O30" s="281"/>
      <c r="P30" s="282">
        <f>P29*P36</f>
        <v>59627.660400000001</v>
      </c>
      <c r="Q30" s="281"/>
      <c r="R30" s="281"/>
      <c r="S30" s="285"/>
      <c r="T30" s="281"/>
      <c r="U30" s="286"/>
      <c r="V30" s="5"/>
    </row>
    <row r="31" spans="1:22" ht="15.6" x14ac:dyDescent="0.3">
      <c r="A31" s="276"/>
      <c r="B31" s="277" t="s">
        <v>143</v>
      </c>
      <c r="C31" s="287"/>
      <c r="D31" s="288">
        <f>D35*D29</f>
        <v>136393.96119999999</v>
      </c>
      <c r="E31" s="287"/>
      <c r="F31" s="289">
        <f>F35*F29</f>
        <v>139941.78099999999</v>
      </c>
      <c r="G31" s="288"/>
      <c r="H31" s="290">
        <f>H35*H29</f>
        <v>23652.072</v>
      </c>
      <c r="I31" s="288"/>
      <c r="J31" s="288">
        <f>J35*J29</f>
        <v>6279.0713999999998</v>
      </c>
      <c r="K31" s="288"/>
      <c r="L31" s="289">
        <f>L35*L29</f>
        <v>26461.800899999998</v>
      </c>
      <c r="M31" s="288"/>
      <c r="N31" s="291">
        <f>N35*N29</f>
        <v>2691.0306</v>
      </c>
      <c r="O31" s="288"/>
      <c r="P31" s="289">
        <f>P35*P29</f>
        <v>59202.673199999997</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137373.00279999999</v>
      </c>
      <c r="E33" s="280"/>
      <c r="F33" s="281">
        <f>F32*F36</f>
        <v>97074.275099999999</v>
      </c>
      <c r="G33" s="281"/>
      <c r="H33" s="281">
        <f>H32*H36</f>
        <v>13459.347510000001</v>
      </c>
      <c r="I33" s="281"/>
      <c r="J33" s="281">
        <f>J32*J36</f>
        <v>6324.1457999999993</v>
      </c>
      <c r="K33" s="281"/>
      <c r="L33" s="281">
        <f>L32*L36</f>
        <v>18340.022819999998</v>
      </c>
      <c r="M33" s="281"/>
      <c r="N33" s="281">
        <f>N32*N36</f>
        <v>2710.3481999999999</v>
      </c>
      <c r="O33" s="281"/>
      <c r="P33" s="281">
        <f>P32*P36</f>
        <v>40926.257819999999</v>
      </c>
      <c r="Q33" s="281"/>
      <c r="R33" s="281"/>
      <c r="S33" s="285"/>
      <c r="T33" s="281">
        <f>SUM(C33:P33)</f>
        <v>316207.40005</v>
      </c>
      <c r="U33" s="286"/>
      <c r="V33" s="5"/>
    </row>
    <row r="34" spans="1:22" ht="15.6" x14ac:dyDescent="0.3">
      <c r="A34" s="276"/>
      <c r="B34" s="277" t="s">
        <v>291</v>
      </c>
      <c r="C34" s="287"/>
      <c r="D34" s="288">
        <f>D35*D32</f>
        <v>136393.96119999999</v>
      </c>
      <c r="E34" s="287"/>
      <c r="F34" s="288">
        <f>F35*F32</f>
        <v>96382.437900000004</v>
      </c>
      <c r="G34" s="288"/>
      <c r="H34" s="288">
        <f>H35*H32</f>
        <v>13363.420679999999</v>
      </c>
      <c r="I34" s="288"/>
      <c r="J34" s="288">
        <f>J35*J32</f>
        <v>6279.0713999999998</v>
      </c>
      <c r="K34" s="288"/>
      <c r="L34" s="288">
        <f>L35*L32</f>
        <v>18209.307059999999</v>
      </c>
      <c r="M34" s="288"/>
      <c r="N34" s="288">
        <f>N35*N32</f>
        <v>2691.0306</v>
      </c>
      <c r="O34" s="288"/>
      <c r="P34" s="288">
        <f>P35*P32</f>
        <v>40634.562059999997</v>
      </c>
      <c r="Q34" s="288"/>
      <c r="R34" s="288"/>
      <c r="S34" s="292"/>
      <c r="T34" s="288">
        <f>SUM(C34:P34)</f>
        <v>313953.79090000002</v>
      </c>
      <c r="U34" s="286"/>
      <c r="V34" s="5"/>
    </row>
    <row r="35" spans="1:22" ht="15.6" x14ac:dyDescent="0.3">
      <c r="A35" s="276"/>
      <c r="B35" s="293" t="s">
        <v>139</v>
      </c>
      <c r="C35" s="294"/>
      <c r="D35" s="295">
        <v>0.3942022</v>
      </c>
      <c r="E35" s="296"/>
      <c r="F35" s="295">
        <v>0.3942022</v>
      </c>
      <c r="G35" s="295"/>
      <c r="H35" s="295">
        <v>0.39420119999999997</v>
      </c>
      <c r="I35" s="297"/>
      <c r="J35" s="295">
        <v>0.89701019999999998</v>
      </c>
      <c r="K35" s="297"/>
      <c r="L35" s="295">
        <v>0.89701019999999998</v>
      </c>
      <c r="M35" s="297"/>
      <c r="N35" s="295">
        <v>0.89701019999999998</v>
      </c>
      <c r="O35" s="297"/>
      <c r="P35" s="295">
        <v>0.89701019999999998</v>
      </c>
      <c r="Q35" s="298"/>
      <c r="R35" s="298"/>
      <c r="S35" s="299"/>
      <c r="T35" s="298"/>
      <c r="U35" s="300"/>
      <c r="V35" s="5"/>
    </row>
    <row r="36" spans="1:22" ht="15.6" x14ac:dyDescent="0.3">
      <c r="A36" s="276"/>
      <c r="B36" s="293" t="s">
        <v>140</v>
      </c>
      <c r="C36" s="294"/>
      <c r="D36" s="295">
        <v>0.39703179999999999</v>
      </c>
      <c r="E36" s="296"/>
      <c r="F36" s="295">
        <v>0.39703179999999999</v>
      </c>
      <c r="G36" s="295"/>
      <c r="H36" s="295">
        <v>0.39703090000000002</v>
      </c>
      <c r="I36" s="297"/>
      <c r="J36" s="295">
        <v>0.90344939999999996</v>
      </c>
      <c r="K36" s="297"/>
      <c r="L36" s="295">
        <v>0.90344939999999996</v>
      </c>
      <c r="M36" s="297"/>
      <c r="N36" s="295">
        <v>0.90344939999999996</v>
      </c>
      <c r="O36" s="297"/>
      <c r="P36" s="295">
        <v>0.90344939999999996</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1.21219E-2</v>
      </c>
      <c r="E38" s="272"/>
      <c r="F38" s="303">
        <v>1.8950000000000002E-2</v>
      </c>
      <c r="G38" s="304"/>
      <c r="H38" s="303">
        <v>6.4616999999999999E-3</v>
      </c>
      <c r="I38" s="304"/>
      <c r="J38" s="303">
        <v>1.43219E-2</v>
      </c>
      <c r="K38" s="304"/>
      <c r="L38" s="303">
        <v>2.1149999999999999E-2</v>
      </c>
      <c r="M38" s="304"/>
      <c r="N38" s="303">
        <v>1.8921899999999998E-2</v>
      </c>
      <c r="O38" s="304"/>
      <c r="P38" s="303">
        <v>2.5749999999999999E-2</v>
      </c>
      <c r="Q38" s="304"/>
      <c r="R38" s="303"/>
      <c r="S38" s="274"/>
      <c r="T38" s="304"/>
      <c r="U38" s="275"/>
      <c r="V38" s="5"/>
    </row>
    <row r="39" spans="1:22" ht="15.6" x14ac:dyDescent="0.3">
      <c r="A39" s="302"/>
      <c r="B39" s="272" t="s">
        <v>14</v>
      </c>
      <c r="C39" s="272"/>
      <c r="D39" s="303">
        <v>1.1818800000000001E-2</v>
      </c>
      <c r="E39" s="272"/>
      <c r="F39" s="303">
        <v>1.78E-2</v>
      </c>
      <c r="G39" s="304"/>
      <c r="H39" s="303">
        <v>6.2075000000000003E-3</v>
      </c>
      <c r="I39" s="304"/>
      <c r="J39" s="303">
        <v>1.40188E-2</v>
      </c>
      <c r="K39" s="304"/>
      <c r="L39" s="303">
        <v>0.02</v>
      </c>
      <c r="M39" s="304"/>
      <c r="N39" s="303">
        <v>1.8618800000000001E-2</v>
      </c>
      <c r="O39" s="304"/>
      <c r="P39" s="303">
        <v>2.46E-2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1.21219E-2</v>
      </c>
      <c r="E41" s="272"/>
      <c r="F41" s="303">
        <v>1.23219E-2</v>
      </c>
      <c r="G41" s="304"/>
      <c r="H41" s="303">
        <v>1.25819E-2</v>
      </c>
      <c r="I41" s="304"/>
      <c r="J41" s="303">
        <f>+J38</f>
        <v>1.43219E-2</v>
      </c>
      <c r="K41" s="304"/>
      <c r="L41" s="303">
        <v>1.4911900000000001E-2</v>
      </c>
      <c r="M41" s="304"/>
      <c r="N41" s="303">
        <f>+N38</f>
        <v>1.8921899999999998E-2</v>
      </c>
      <c r="O41" s="304"/>
      <c r="P41" s="303">
        <v>1.9801900000000001E-2</v>
      </c>
      <c r="Q41" s="304"/>
      <c r="R41" s="303"/>
      <c r="S41" s="274"/>
      <c r="T41" s="304">
        <f>SUMPRODUCT(D41:P41,D33:P33)/T33</f>
        <v>1.3460995691792935E-2</v>
      </c>
      <c r="U41" s="275"/>
      <c r="V41" s="5"/>
    </row>
    <row r="42" spans="1:22" ht="15.6" x14ac:dyDescent="0.3">
      <c r="A42" s="302"/>
      <c r="B42" s="272" t="s">
        <v>294</v>
      </c>
      <c r="C42" s="272"/>
      <c r="D42" s="303">
        <f>+D39</f>
        <v>1.1818800000000001E-2</v>
      </c>
      <c r="E42" s="272"/>
      <c r="F42" s="303">
        <v>1.20188E-2</v>
      </c>
      <c r="G42" s="304"/>
      <c r="H42" s="303">
        <v>1.2278799999999999E-2</v>
      </c>
      <c r="I42" s="304"/>
      <c r="J42" s="303">
        <f>+J39</f>
        <v>1.40188E-2</v>
      </c>
      <c r="K42" s="304"/>
      <c r="L42" s="303">
        <v>1.46088E-2</v>
      </c>
      <c r="M42" s="304"/>
      <c r="N42" s="303">
        <f>+N39</f>
        <v>1.8618800000000001E-2</v>
      </c>
      <c r="O42" s="304"/>
      <c r="P42" s="303">
        <v>1.94988E-2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0.27550995682296425</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40862</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91</v>
      </c>
      <c r="Q54" s="272"/>
      <c r="R54" s="312">
        <v>40679</v>
      </c>
      <c r="S54" s="313"/>
      <c r="T54" s="312">
        <v>40769</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92</v>
      </c>
      <c r="Q55" s="272"/>
      <c r="R55" s="312">
        <v>40770</v>
      </c>
      <c r="S55" s="313"/>
      <c r="T55" s="312">
        <v>40861</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40848</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308</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316207</v>
      </c>
      <c r="M65" s="317"/>
      <c r="N65" s="317">
        <f>2253+14</f>
        <v>2267</v>
      </c>
      <c r="O65" s="317"/>
      <c r="P65" s="317">
        <v>14</v>
      </c>
      <c r="Q65" s="317"/>
      <c r="R65" s="317">
        <v>0</v>
      </c>
      <c r="S65" s="317"/>
      <c r="T65" s="318">
        <f>+L65-N65+P65-R65</f>
        <v>313954</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316207</v>
      </c>
      <c r="M68" s="317"/>
      <c r="N68" s="317">
        <f>SUM(N65:N67)</f>
        <v>2267</v>
      </c>
      <c r="O68" s="317"/>
      <c r="P68" s="317">
        <f>SUM(P65:P67)</f>
        <v>14</v>
      </c>
      <c r="Q68" s="317"/>
      <c r="R68" s="317">
        <f>SUM(R65:R67)</f>
        <v>0</v>
      </c>
      <c r="S68" s="317"/>
      <c r="T68" s="317">
        <f>SUM(T65:T67)</f>
        <v>313954</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316207</v>
      </c>
      <c r="M81" s="317"/>
      <c r="N81" s="317"/>
      <c r="O81" s="317"/>
      <c r="P81" s="317"/>
      <c r="Q81" s="317"/>
      <c r="R81" s="317"/>
      <c r="S81" s="317"/>
      <c r="T81" s="317">
        <f>SUM(T68:T80)</f>
        <v>313954</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+R195</f>
        <v>40847</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2267+18</f>
        <v>2285</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1894+742-375-138</f>
        <v>2123</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5+15</f>
        <v>20</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24</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149</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2285</v>
      </c>
      <c r="S93" s="272"/>
      <c r="T93" s="317">
        <f>SUM(T85:T92)</f>
        <v>2316</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-1</v>
      </c>
      <c r="S94" s="272"/>
      <c r="T94" s="317">
        <f>-R94</f>
        <v>1</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-211</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2284</v>
      </c>
      <c r="S97" s="272"/>
      <c r="T97" s="317">
        <f>T93+T95+T94+T96</f>
        <v>2106</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160</v>
      </c>
      <c r="C101" s="272"/>
      <c r="D101" s="272"/>
      <c r="E101" s="272"/>
      <c r="F101" s="272"/>
      <c r="G101" s="272"/>
      <c r="H101" s="272"/>
      <c r="I101" s="272"/>
      <c r="J101" s="272"/>
      <c r="K101" s="272"/>
      <c r="L101" s="272"/>
      <c r="M101" s="272"/>
      <c r="N101" s="272"/>
      <c r="O101" s="272"/>
      <c r="P101" s="272"/>
      <c r="Q101" s="272"/>
      <c r="R101" s="272"/>
      <c r="S101" s="272"/>
      <c r="T101" s="318">
        <f>-121-148-4</f>
        <v>-273</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-51</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-1</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-420</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-301</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-43</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-23</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-69</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-13</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-204</v>
      </c>
      <c r="U110" s="340"/>
      <c r="V110" s="5"/>
      <c r="W110" s="110"/>
    </row>
    <row r="111" spans="1:23" ht="15.6" x14ac:dyDescent="0.3">
      <c r="A111" s="302">
        <v>7</v>
      </c>
      <c r="B111" s="272" t="s">
        <v>38</v>
      </c>
      <c r="C111" s="272"/>
      <c r="D111" s="272"/>
      <c r="E111" s="272"/>
      <c r="F111" s="272"/>
      <c r="G111" s="272"/>
      <c r="H111" s="272"/>
      <c r="I111" s="272"/>
      <c r="J111" s="272"/>
      <c r="K111" s="272"/>
      <c r="L111" s="272"/>
      <c r="M111" s="272"/>
      <c r="N111" s="272"/>
      <c r="O111" s="272"/>
      <c r="P111" s="272"/>
      <c r="Q111" s="272"/>
      <c r="R111" s="272"/>
      <c r="S111" s="272"/>
      <c r="T111" s="318">
        <v>-8</v>
      </c>
      <c r="U111" s="340"/>
      <c r="V111" s="5"/>
    </row>
    <row r="112" spans="1:23" ht="15.6" x14ac:dyDescent="0.3">
      <c r="A112" s="302">
        <f t="shared" ref="A112:A117" si="0">+A111+1</f>
        <v>8</v>
      </c>
      <c r="B112" s="272" t="s">
        <v>49</v>
      </c>
      <c r="C112" s="272"/>
      <c r="D112" s="272"/>
      <c r="E112" s="272"/>
      <c r="F112" s="272"/>
      <c r="G112" s="272"/>
      <c r="H112" s="272"/>
      <c r="I112" s="272"/>
      <c r="J112" s="272"/>
      <c r="K112" s="272"/>
      <c r="L112" s="272"/>
      <c r="M112" s="272"/>
      <c r="N112" s="272"/>
      <c r="O112" s="272"/>
      <c r="P112" s="272"/>
      <c r="Q112" s="272"/>
      <c r="R112" s="317">
        <f>-T112</f>
        <v>-18</v>
      </c>
      <c r="S112" s="272"/>
      <c r="T112" s="318">
        <v>18</v>
      </c>
      <c r="U112" s="340"/>
      <c r="V112" s="5"/>
    </row>
    <row r="113" spans="1:22" ht="15.6" x14ac:dyDescent="0.3">
      <c r="A113" s="302">
        <f t="shared" si="0"/>
        <v>9</v>
      </c>
      <c r="B113" s="272" t="s">
        <v>134</v>
      </c>
      <c r="C113" s="272"/>
      <c r="D113" s="272"/>
      <c r="E113" s="272"/>
      <c r="F113" s="272"/>
      <c r="G113" s="272"/>
      <c r="H113" s="272"/>
      <c r="I113" s="272"/>
      <c r="J113" s="272"/>
      <c r="K113" s="272"/>
      <c r="L113" s="272"/>
      <c r="M113" s="272"/>
      <c r="N113" s="272"/>
      <c r="O113" s="272"/>
      <c r="P113" s="272"/>
      <c r="Q113" s="272"/>
      <c r="R113" s="272"/>
      <c r="S113" s="272"/>
      <c r="T113" s="318">
        <v>0</v>
      </c>
      <c r="U113" s="340"/>
      <c r="V113" s="5"/>
    </row>
    <row r="114" spans="1:22" ht="15.6" x14ac:dyDescent="0.3">
      <c r="A114" s="302">
        <f t="shared" si="0"/>
        <v>10</v>
      </c>
      <c r="B114" s="272" t="s">
        <v>39</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40</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161</v>
      </c>
      <c r="C116" s="272"/>
      <c r="D116" s="272"/>
      <c r="E116" s="272"/>
      <c r="F116" s="272"/>
      <c r="G116" s="272"/>
      <c r="H116" s="272"/>
      <c r="I116" s="272"/>
      <c r="J116" s="272"/>
      <c r="K116" s="272"/>
      <c r="L116" s="272"/>
      <c r="M116" s="272"/>
      <c r="N116" s="272"/>
      <c r="O116" s="272"/>
      <c r="P116" s="272"/>
      <c r="Q116" s="272"/>
      <c r="R116" s="272"/>
      <c r="S116" s="272"/>
      <c r="T116" s="318">
        <v>-121</v>
      </c>
      <c r="U116" s="340"/>
      <c r="V116" s="5"/>
    </row>
    <row r="117" spans="1:22" ht="15.6" x14ac:dyDescent="0.3">
      <c r="A117" s="302">
        <f t="shared" si="0"/>
        <v>13</v>
      </c>
      <c r="B117" s="272" t="s">
        <v>135</v>
      </c>
      <c r="C117" s="272"/>
      <c r="D117" s="272"/>
      <c r="E117" s="272"/>
      <c r="F117" s="272"/>
      <c r="G117" s="272"/>
      <c r="H117" s="272"/>
      <c r="I117" s="272"/>
      <c r="J117" s="272"/>
      <c r="K117" s="272"/>
      <c r="L117" s="272"/>
      <c r="M117" s="272"/>
      <c r="N117" s="272"/>
      <c r="O117" s="272"/>
      <c r="P117" s="272"/>
      <c r="Q117" s="272"/>
      <c r="R117" s="272"/>
      <c r="S117" s="272"/>
      <c r="T117" s="318">
        <f>-T97-SUM(T99:T116)</f>
        <v>-595</v>
      </c>
      <c r="U117" s="340"/>
      <c r="V117" s="5"/>
    </row>
    <row r="118" spans="1:22" ht="15.6" x14ac:dyDescent="0.3">
      <c r="A118" s="271"/>
      <c r="B118" s="336" t="s">
        <v>41</v>
      </c>
      <c r="C118" s="337"/>
      <c r="D118" s="337"/>
      <c r="E118" s="337"/>
      <c r="F118" s="337"/>
      <c r="G118" s="337"/>
      <c r="H118" s="337"/>
      <c r="I118" s="337"/>
      <c r="J118" s="337"/>
      <c r="K118" s="337"/>
      <c r="L118" s="337"/>
      <c r="M118" s="337"/>
      <c r="N118" s="337"/>
      <c r="O118" s="337"/>
      <c r="P118" s="337"/>
      <c r="Q118" s="337"/>
      <c r="R118" s="337"/>
      <c r="S118" s="337"/>
      <c r="T118" s="341"/>
      <c r="U118" s="340"/>
      <c r="V118" s="5"/>
    </row>
    <row r="119" spans="1:22" ht="15.6" x14ac:dyDescent="0.3">
      <c r="A119" s="302"/>
      <c r="B119" s="272" t="s">
        <v>229</v>
      </c>
      <c r="C119" s="272"/>
      <c r="D119" s="272"/>
      <c r="E119" s="272"/>
      <c r="F119" s="272"/>
      <c r="G119" s="272"/>
      <c r="H119" s="272"/>
      <c r="I119" s="272"/>
      <c r="J119" s="272"/>
      <c r="K119" s="272"/>
      <c r="L119" s="272"/>
      <c r="M119" s="272"/>
      <c r="N119" s="272"/>
      <c r="O119" s="272"/>
      <c r="P119" s="272"/>
      <c r="Q119" s="272"/>
      <c r="R119" s="317">
        <f>-R179</f>
        <v>0</v>
      </c>
      <c r="S119" s="317"/>
      <c r="T119" s="318"/>
      <c r="U119" s="275"/>
      <c r="V119" s="5"/>
    </row>
    <row r="120" spans="1:22" ht="15.6" x14ac:dyDescent="0.3">
      <c r="A120" s="302"/>
      <c r="B120" s="272" t="s">
        <v>230</v>
      </c>
      <c r="C120" s="272"/>
      <c r="D120" s="272"/>
      <c r="E120" s="272"/>
      <c r="F120" s="272"/>
      <c r="G120" s="272"/>
      <c r="H120" s="272"/>
      <c r="I120" s="272"/>
      <c r="J120" s="272"/>
      <c r="K120" s="272"/>
      <c r="L120" s="272"/>
      <c r="M120" s="272"/>
      <c r="N120" s="272"/>
      <c r="O120" s="272"/>
      <c r="P120" s="272"/>
      <c r="Q120" s="272"/>
      <c r="R120" s="317">
        <v>-13</v>
      </c>
      <c r="S120" s="317"/>
      <c r="T120" s="318"/>
      <c r="U120" s="275"/>
      <c r="V120" s="5"/>
    </row>
    <row r="121" spans="1:22" ht="15.6" x14ac:dyDescent="0.3">
      <c r="A121" s="302"/>
      <c r="B121" s="272" t="s">
        <v>42</v>
      </c>
      <c r="C121" s="272"/>
      <c r="D121" s="272"/>
      <c r="E121" s="272"/>
      <c r="F121" s="272"/>
      <c r="G121" s="272"/>
      <c r="H121" s="272"/>
      <c r="I121" s="272"/>
      <c r="J121" s="272"/>
      <c r="K121" s="272"/>
      <c r="L121" s="272"/>
      <c r="M121" s="272"/>
      <c r="N121" s="272"/>
      <c r="O121" s="272"/>
      <c r="P121" s="272"/>
      <c r="Q121" s="272"/>
      <c r="R121" s="317">
        <f>-Q179</f>
        <v>0</v>
      </c>
      <c r="S121" s="317"/>
      <c r="T121" s="318"/>
      <c r="U121" s="275"/>
      <c r="V121" s="5"/>
    </row>
    <row r="122" spans="1:22" ht="15.6" x14ac:dyDescent="0.3">
      <c r="A122" s="302"/>
      <c r="B122" s="272" t="s">
        <v>235</v>
      </c>
      <c r="C122" s="272"/>
      <c r="D122" s="272"/>
      <c r="E122" s="272"/>
      <c r="F122" s="272"/>
      <c r="G122" s="272"/>
      <c r="H122" s="272"/>
      <c r="I122" s="272"/>
      <c r="J122" s="272"/>
      <c r="K122" s="272"/>
      <c r="L122" s="272"/>
      <c r="M122" s="272"/>
      <c r="N122" s="272"/>
      <c r="O122" s="272"/>
      <c r="P122" s="272"/>
      <c r="Q122" s="272"/>
      <c r="R122" s="317">
        <v>-979</v>
      </c>
      <c r="S122" s="317"/>
      <c r="T122" s="318"/>
      <c r="U122" s="275"/>
      <c r="V122" s="5"/>
    </row>
    <row r="123" spans="1:22" ht="15.6" x14ac:dyDescent="0.3">
      <c r="A123" s="302"/>
      <c r="B123" s="272" t="s">
        <v>236</v>
      </c>
      <c r="C123" s="272"/>
      <c r="D123" s="272"/>
      <c r="E123" s="272"/>
      <c r="F123" s="272"/>
      <c r="G123" s="272"/>
      <c r="H123" s="272"/>
      <c r="I123" s="272"/>
      <c r="J123" s="272"/>
      <c r="K123" s="272"/>
      <c r="L123" s="272"/>
      <c r="M123" s="272"/>
      <c r="N123" s="272"/>
      <c r="O123" s="272"/>
      <c r="P123" s="272"/>
      <c r="Q123" s="272"/>
      <c r="R123" s="317">
        <v>-692</v>
      </c>
      <c r="S123" s="317"/>
      <c r="T123" s="318"/>
      <c r="U123" s="275"/>
      <c r="V123" s="5"/>
    </row>
    <row r="124" spans="1:22" ht="15.6" x14ac:dyDescent="0.3">
      <c r="A124" s="302"/>
      <c r="B124" s="272" t="s">
        <v>241</v>
      </c>
      <c r="C124" s="272"/>
      <c r="D124" s="272"/>
      <c r="E124" s="272"/>
      <c r="F124" s="272"/>
      <c r="G124" s="272"/>
      <c r="H124" s="272"/>
      <c r="I124" s="272"/>
      <c r="J124" s="272"/>
      <c r="K124" s="272"/>
      <c r="L124" s="272"/>
      <c r="M124" s="272"/>
      <c r="N124" s="272"/>
      <c r="O124" s="272"/>
      <c r="P124" s="272"/>
      <c r="Q124" s="272"/>
      <c r="R124" s="317">
        <v>-96</v>
      </c>
      <c r="S124" s="317"/>
      <c r="T124" s="318"/>
      <c r="U124" s="275"/>
      <c r="V124" s="5"/>
    </row>
    <row r="125" spans="1:22" ht="15.6" x14ac:dyDescent="0.3">
      <c r="A125" s="302"/>
      <c r="B125" s="272" t="s">
        <v>237</v>
      </c>
      <c r="C125" s="272"/>
      <c r="D125" s="272"/>
      <c r="E125" s="272"/>
      <c r="F125" s="272"/>
      <c r="G125" s="272"/>
      <c r="H125" s="272"/>
      <c r="I125" s="272"/>
      <c r="J125" s="272"/>
      <c r="K125" s="272"/>
      <c r="L125" s="272"/>
      <c r="M125" s="272"/>
      <c r="N125" s="272"/>
      <c r="O125" s="272"/>
      <c r="P125" s="272"/>
      <c r="Q125" s="272"/>
      <c r="R125" s="317">
        <v>-45</v>
      </c>
      <c r="S125" s="317"/>
      <c r="T125" s="318"/>
      <c r="U125" s="275"/>
      <c r="V125" s="5"/>
    </row>
    <row r="126" spans="1:22" ht="15.6" x14ac:dyDescent="0.3">
      <c r="A126" s="302"/>
      <c r="B126" s="272" t="s">
        <v>238</v>
      </c>
      <c r="C126" s="272"/>
      <c r="D126" s="272"/>
      <c r="E126" s="272"/>
      <c r="F126" s="272"/>
      <c r="G126" s="272"/>
      <c r="H126" s="272"/>
      <c r="I126" s="272"/>
      <c r="J126" s="272"/>
      <c r="K126" s="272"/>
      <c r="L126" s="272"/>
      <c r="M126" s="272"/>
      <c r="N126" s="272"/>
      <c r="O126" s="272"/>
      <c r="P126" s="272"/>
      <c r="Q126" s="272"/>
      <c r="R126" s="317">
        <v>-131</v>
      </c>
      <c r="S126" s="317"/>
      <c r="T126" s="318"/>
      <c r="U126" s="275"/>
      <c r="V126" s="5"/>
    </row>
    <row r="127" spans="1:22" ht="15.6" x14ac:dyDescent="0.3">
      <c r="A127" s="302"/>
      <c r="B127" s="272" t="s">
        <v>239</v>
      </c>
      <c r="C127" s="272"/>
      <c r="D127" s="272"/>
      <c r="E127" s="272"/>
      <c r="F127" s="272"/>
      <c r="G127" s="272"/>
      <c r="H127" s="272"/>
      <c r="I127" s="272"/>
      <c r="J127" s="272"/>
      <c r="K127" s="272"/>
      <c r="L127" s="272"/>
      <c r="M127" s="272"/>
      <c r="N127" s="272"/>
      <c r="O127" s="272"/>
      <c r="P127" s="272"/>
      <c r="Q127" s="272"/>
      <c r="R127" s="317">
        <v>-19</v>
      </c>
      <c r="S127" s="317"/>
      <c r="T127" s="318"/>
      <c r="U127" s="275"/>
      <c r="V127" s="5"/>
    </row>
    <row r="128" spans="1:22" ht="15.6" x14ac:dyDescent="0.3">
      <c r="A128" s="302"/>
      <c r="B128" s="272" t="s">
        <v>240</v>
      </c>
      <c r="C128" s="272"/>
      <c r="D128" s="272"/>
      <c r="E128" s="272"/>
      <c r="F128" s="272"/>
      <c r="G128" s="272"/>
      <c r="H128" s="272"/>
      <c r="I128" s="272"/>
      <c r="J128" s="272"/>
      <c r="K128" s="272"/>
      <c r="L128" s="272"/>
      <c r="M128" s="272"/>
      <c r="N128" s="272"/>
      <c r="O128" s="272"/>
      <c r="P128" s="272"/>
      <c r="Q128" s="272"/>
      <c r="R128" s="317">
        <v>-291</v>
      </c>
      <c r="S128" s="317"/>
      <c r="T128" s="318"/>
      <c r="U128" s="275"/>
      <c r="V128" s="5"/>
    </row>
    <row r="129" spans="1:22" ht="15.6" x14ac:dyDescent="0.3">
      <c r="A129" s="302"/>
      <c r="B129" s="272" t="s">
        <v>43</v>
      </c>
      <c r="C129" s="272"/>
      <c r="D129" s="272"/>
      <c r="E129" s="272"/>
      <c r="F129" s="272"/>
      <c r="G129" s="272"/>
      <c r="H129" s="272"/>
      <c r="I129" s="272"/>
      <c r="J129" s="272"/>
      <c r="K129" s="272"/>
      <c r="L129" s="272"/>
      <c r="M129" s="272"/>
      <c r="N129" s="272"/>
      <c r="O129" s="272"/>
      <c r="P129" s="272"/>
      <c r="Q129" s="272"/>
      <c r="R129" s="317">
        <f>SUM(R119:R128)</f>
        <v>-2266</v>
      </c>
      <c r="S129" s="317"/>
      <c r="T129" s="317">
        <f>SUM(T98:T127)</f>
        <v>-2106</v>
      </c>
      <c r="U129" s="275"/>
      <c r="V129" s="5"/>
    </row>
    <row r="130" spans="1:22" ht="15.6" x14ac:dyDescent="0.3">
      <c r="A130" s="302"/>
      <c r="B130" s="272" t="s">
        <v>44</v>
      </c>
      <c r="C130" s="272"/>
      <c r="D130" s="272"/>
      <c r="E130" s="272"/>
      <c r="F130" s="272"/>
      <c r="G130" s="272"/>
      <c r="H130" s="272"/>
      <c r="I130" s="272"/>
      <c r="J130" s="272"/>
      <c r="K130" s="272"/>
      <c r="L130" s="272"/>
      <c r="M130" s="272"/>
      <c r="N130" s="272"/>
      <c r="O130" s="272"/>
      <c r="P130" s="272"/>
      <c r="Q130" s="272"/>
      <c r="R130" s="317">
        <f>R97+R129+R112</f>
        <v>0</v>
      </c>
      <c r="S130" s="317"/>
      <c r="T130" s="317">
        <f>T97+T129</f>
        <v>0</v>
      </c>
      <c r="U130" s="275"/>
      <c r="V130" s="5"/>
    </row>
    <row r="131" spans="1:22" ht="15.6" x14ac:dyDescent="0.3">
      <c r="A131" s="233"/>
      <c r="B131" s="268"/>
      <c r="C131" s="268"/>
      <c r="D131" s="268"/>
      <c r="E131" s="268"/>
      <c r="F131" s="268"/>
      <c r="G131" s="268"/>
      <c r="H131" s="268"/>
      <c r="I131" s="268"/>
      <c r="J131" s="268"/>
      <c r="K131" s="268"/>
      <c r="L131" s="268"/>
      <c r="M131" s="268"/>
      <c r="N131" s="268"/>
      <c r="O131" s="268"/>
      <c r="P131" s="268"/>
      <c r="Q131" s="268"/>
      <c r="R131" s="333"/>
      <c r="S131" s="333"/>
      <c r="T131" s="333"/>
      <c r="U131" s="268"/>
      <c r="V131" s="5"/>
    </row>
    <row r="132" spans="1:22" ht="15.6" x14ac:dyDescent="0.3">
      <c r="A132" s="233"/>
      <c r="B132" s="234"/>
      <c r="C132" s="234"/>
      <c r="D132" s="234"/>
      <c r="E132" s="234"/>
      <c r="F132" s="234"/>
      <c r="G132" s="234"/>
      <c r="H132" s="234"/>
      <c r="I132" s="234"/>
      <c r="J132" s="234"/>
      <c r="K132" s="234"/>
      <c r="L132" s="234"/>
      <c r="M132" s="234"/>
      <c r="N132" s="234"/>
      <c r="O132" s="234"/>
      <c r="P132" s="234"/>
      <c r="Q132" s="234"/>
      <c r="R132" s="234"/>
      <c r="S132" s="234"/>
      <c r="T132" s="243"/>
      <c r="U132" s="234"/>
      <c r="V132" s="5"/>
    </row>
    <row r="133" spans="1:22" ht="18" thickBot="1" x14ac:dyDescent="0.35">
      <c r="A133" s="237"/>
      <c r="B133" s="238" t="str">
        <f>B61</f>
        <v>PM9 INVESTOR REPORT QUARTER ENDING OCTOBER 2011</v>
      </c>
      <c r="C133" s="239"/>
      <c r="D133" s="239"/>
      <c r="E133" s="239"/>
      <c r="F133" s="239"/>
      <c r="G133" s="239"/>
      <c r="H133" s="239"/>
      <c r="I133" s="239"/>
      <c r="J133" s="239"/>
      <c r="K133" s="239"/>
      <c r="L133" s="239"/>
      <c r="M133" s="239"/>
      <c r="N133" s="239"/>
      <c r="O133" s="239"/>
      <c r="P133" s="239"/>
      <c r="Q133" s="239"/>
      <c r="R133" s="239"/>
      <c r="S133" s="239"/>
      <c r="T133" s="244"/>
      <c r="U133" s="241"/>
      <c r="V133" s="5"/>
    </row>
    <row r="134" spans="1:22" ht="15.6" x14ac:dyDescent="0.3">
      <c r="A134" s="321"/>
      <c r="B134" s="324" t="s">
        <v>45</v>
      </c>
      <c r="C134" s="322"/>
      <c r="D134" s="322"/>
      <c r="E134" s="322"/>
      <c r="F134" s="322"/>
      <c r="G134" s="322"/>
      <c r="H134" s="322"/>
      <c r="I134" s="322"/>
      <c r="J134" s="322"/>
      <c r="K134" s="322"/>
      <c r="L134" s="322"/>
      <c r="M134" s="322"/>
      <c r="N134" s="322"/>
      <c r="O134" s="322"/>
      <c r="P134" s="322"/>
      <c r="Q134" s="322"/>
      <c r="R134" s="322"/>
      <c r="S134" s="322"/>
      <c r="T134" s="323"/>
      <c r="U134" s="322"/>
      <c r="V134" s="5"/>
    </row>
    <row r="135" spans="1:22" ht="15.6" x14ac:dyDescent="0.3">
      <c r="A135" s="177"/>
      <c r="B135" s="191"/>
      <c r="C135" s="179"/>
      <c r="D135" s="179"/>
      <c r="E135" s="179"/>
      <c r="F135" s="179"/>
      <c r="G135" s="179"/>
      <c r="H135" s="179"/>
      <c r="I135" s="179"/>
      <c r="J135" s="179"/>
      <c r="K135" s="179"/>
      <c r="L135" s="179"/>
      <c r="M135" s="179"/>
      <c r="N135" s="179"/>
      <c r="O135" s="179"/>
      <c r="P135" s="179"/>
      <c r="Q135" s="179"/>
      <c r="R135" s="179"/>
      <c r="S135" s="179"/>
      <c r="T135" s="197"/>
      <c r="U135" s="179"/>
      <c r="V135" s="5"/>
    </row>
    <row r="136" spans="1:22" ht="15.6" x14ac:dyDescent="0.3">
      <c r="A136" s="177"/>
      <c r="B136" s="204" t="s">
        <v>46</v>
      </c>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271"/>
      <c r="B137" s="272" t="s">
        <v>47</v>
      </c>
      <c r="C137" s="272"/>
      <c r="D137" s="272"/>
      <c r="E137" s="272"/>
      <c r="F137" s="272"/>
      <c r="G137" s="272"/>
      <c r="H137" s="272"/>
      <c r="I137" s="272"/>
      <c r="J137" s="272"/>
      <c r="K137" s="272"/>
      <c r="L137" s="272"/>
      <c r="M137" s="272"/>
      <c r="N137" s="272"/>
      <c r="O137" s="272"/>
      <c r="P137" s="272"/>
      <c r="Q137" s="272"/>
      <c r="R137" s="272"/>
      <c r="S137" s="272"/>
      <c r="T137" s="318">
        <f>+T32*0.0176</f>
        <v>12320</v>
      </c>
      <c r="U137" s="275"/>
      <c r="V137" s="5"/>
    </row>
    <row r="138" spans="1:22" ht="15.6" x14ac:dyDescent="0.3">
      <c r="A138" s="271"/>
      <c r="B138" s="272" t="s">
        <v>48</v>
      </c>
      <c r="C138" s="272"/>
      <c r="D138" s="272"/>
      <c r="E138" s="272"/>
      <c r="F138" s="272"/>
      <c r="G138" s="272"/>
      <c r="H138" s="272"/>
      <c r="I138" s="272"/>
      <c r="J138" s="272"/>
      <c r="K138" s="272"/>
      <c r="L138" s="272"/>
      <c r="M138" s="272"/>
      <c r="N138" s="272"/>
      <c r="O138" s="272"/>
      <c r="P138" s="272"/>
      <c r="Q138" s="272"/>
      <c r="R138" s="272"/>
      <c r="S138" s="272"/>
      <c r="T138" s="318">
        <v>12320</v>
      </c>
      <c r="U138" s="275"/>
      <c r="V138" s="5"/>
    </row>
    <row r="139" spans="1:22" ht="15.6" x14ac:dyDescent="0.3">
      <c r="A139" s="271"/>
      <c r="B139" s="272" t="s">
        <v>145</v>
      </c>
      <c r="C139" s="272"/>
      <c r="D139" s="272"/>
      <c r="E139" s="272"/>
      <c r="F139" s="272"/>
      <c r="G139" s="272"/>
      <c r="H139" s="272"/>
      <c r="I139" s="272"/>
      <c r="J139" s="272"/>
      <c r="K139" s="272"/>
      <c r="L139" s="272"/>
      <c r="M139" s="272"/>
      <c r="N139" s="272"/>
      <c r="O139" s="272"/>
      <c r="P139" s="272"/>
      <c r="Q139" s="272"/>
      <c r="R139" s="272"/>
      <c r="S139" s="272"/>
      <c r="T139" s="318">
        <v>0</v>
      </c>
      <c r="U139" s="275"/>
      <c r="V139" s="5"/>
    </row>
    <row r="140" spans="1:22" ht="15.6" x14ac:dyDescent="0.3">
      <c r="A140" s="271"/>
      <c r="B140" s="272" t="s">
        <v>132</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133</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232</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49</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138</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231</v>
      </c>
      <c r="C145" s="272"/>
      <c r="D145" s="272"/>
      <c r="E145" s="272"/>
      <c r="F145" s="272"/>
      <c r="G145" s="272"/>
      <c r="H145" s="272"/>
      <c r="I145" s="272"/>
      <c r="J145" s="272"/>
      <c r="K145" s="272"/>
      <c r="L145" s="272"/>
      <c r="M145" s="272"/>
      <c r="N145" s="272"/>
      <c r="O145" s="272"/>
      <c r="P145" s="272"/>
      <c r="Q145" s="272"/>
      <c r="R145" s="272"/>
      <c r="S145" s="272"/>
      <c r="T145" s="318">
        <v>0</v>
      </c>
      <c r="U145" s="275"/>
      <c r="V145" s="5"/>
      <c r="W145" s="110"/>
    </row>
    <row r="146" spans="1:23" ht="15.6" x14ac:dyDescent="0.3">
      <c r="A146" s="271"/>
      <c r="B146" s="272" t="s">
        <v>50</v>
      </c>
      <c r="C146" s="272"/>
      <c r="D146" s="272"/>
      <c r="E146" s="272"/>
      <c r="F146" s="272"/>
      <c r="G146" s="272"/>
      <c r="H146" s="272"/>
      <c r="I146" s="272"/>
      <c r="J146" s="272"/>
      <c r="K146" s="272"/>
      <c r="L146" s="272"/>
      <c r="M146" s="272"/>
      <c r="N146" s="272"/>
      <c r="O146" s="272"/>
      <c r="P146" s="272"/>
      <c r="Q146" s="272"/>
      <c r="R146" s="272"/>
      <c r="S146" s="272"/>
      <c r="T146" s="318">
        <f>SUM(T138:T145)</f>
        <v>12320</v>
      </c>
      <c r="U146" s="275"/>
      <c r="V146" s="5"/>
    </row>
    <row r="147" spans="1:23" ht="15.6" x14ac:dyDescent="0.3">
      <c r="A147" s="271"/>
      <c r="B147" s="337"/>
      <c r="C147" s="337"/>
      <c r="D147" s="337"/>
      <c r="E147" s="337"/>
      <c r="F147" s="337"/>
      <c r="G147" s="337"/>
      <c r="H147" s="337"/>
      <c r="I147" s="337"/>
      <c r="J147" s="337"/>
      <c r="K147" s="337"/>
      <c r="L147" s="337"/>
      <c r="M147" s="337"/>
      <c r="N147" s="337"/>
      <c r="O147" s="337"/>
      <c r="P147" s="337"/>
      <c r="Q147" s="337"/>
      <c r="R147" s="337"/>
      <c r="S147" s="337"/>
      <c r="T147" s="339"/>
      <c r="U147" s="340"/>
      <c r="V147" s="5"/>
    </row>
    <row r="148" spans="1:23" ht="15.6" x14ac:dyDescent="0.3">
      <c r="A148" s="271"/>
      <c r="B148" s="336" t="s">
        <v>264</v>
      </c>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272" t="s">
        <v>170</v>
      </c>
      <c r="C149" s="272"/>
      <c r="D149" s="272"/>
      <c r="E149" s="272"/>
      <c r="F149" s="272"/>
      <c r="G149" s="272"/>
      <c r="H149" s="272"/>
      <c r="I149" s="272"/>
      <c r="J149" s="272"/>
      <c r="K149" s="272"/>
      <c r="L149" s="272"/>
      <c r="M149" s="272"/>
      <c r="N149" s="272"/>
      <c r="O149" s="272"/>
      <c r="P149" s="272"/>
      <c r="Q149" s="272"/>
      <c r="R149" s="272"/>
      <c r="S149" s="272"/>
      <c r="T149" s="318">
        <v>10000</v>
      </c>
      <c r="U149" s="275"/>
      <c r="V149" s="5"/>
    </row>
    <row r="150" spans="1:23" ht="15.6" x14ac:dyDescent="0.3">
      <c r="A150" s="271"/>
      <c r="B150" s="272" t="s">
        <v>260</v>
      </c>
      <c r="C150" s="272"/>
      <c r="D150" s="272"/>
      <c r="E150" s="272"/>
      <c r="F150" s="272"/>
      <c r="G150" s="272"/>
      <c r="H150" s="272"/>
      <c r="I150" s="272"/>
      <c r="J150" s="272"/>
      <c r="K150" s="272"/>
      <c r="L150" s="272"/>
      <c r="M150" s="272"/>
      <c r="N150" s="272"/>
      <c r="O150" s="272"/>
      <c r="P150" s="272"/>
      <c r="Q150" s="272"/>
      <c r="R150" s="272"/>
      <c r="S150" s="272"/>
      <c r="T150" s="318">
        <v>1819</v>
      </c>
      <c r="U150" s="275"/>
      <c r="V150" s="5"/>
    </row>
    <row r="151" spans="1:23" ht="15.6" x14ac:dyDescent="0.3">
      <c r="A151" s="271"/>
      <c r="B151" s="272" t="s">
        <v>228</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300</v>
      </c>
      <c r="C152" s="272"/>
      <c r="D152" s="272"/>
      <c r="E152" s="272"/>
      <c r="F152" s="272"/>
      <c r="G152" s="272"/>
      <c r="H152" s="272"/>
      <c r="I152" s="272"/>
      <c r="J152" s="272"/>
      <c r="K152" s="272"/>
      <c r="L152" s="272"/>
      <c r="M152" s="272"/>
      <c r="N152" s="272"/>
      <c r="O152" s="272"/>
      <c r="P152" s="272"/>
      <c r="Q152" s="272"/>
      <c r="R152" s="272"/>
      <c r="S152" s="272"/>
      <c r="T152" s="318">
        <v>1819</v>
      </c>
      <c r="U152" s="275"/>
      <c r="V152" s="5"/>
    </row>
    <row r="153" spans="1:23" ht="15.6" x14ac:dyDescent="0.3">
      <c r="A153" s="271"/>
      <c r="B153" s="337"/>
      <c r="C153" s="337"/>
      <c r="D153" s="337"/>
      <c r="E153" s="337"/>
      <c r="F153" s="337"/>
      <c r="G153" s="337"/>
      <c r="H153" s="337"/>
      <c r="I153" s="337"/>
      <c r="J153" s="337"/>
      <c r="K153" s="337"/>
      <c r="L153" s="337"/>
      <c r="M153" s="337"/>
      <c r="N153" s="337"/>
      <c r="O153" s="337"/>
      <c r="P153" s="337"/>
      <c r="Q153" s="337"/>
      <c r="R153" s="337"/>
      <c r="S153" s="337"/>
      <c r="T153" s="339"/>
      <c r="U153" s="340"/>
      <c r="V153" s="5"/>
    </row>
    <row r="154" spans="1:23" ht="15.6" x14ac:dyDescent="0.3">
      <c r="A154" s="177"/>
      <c r="B154" s="314"/>
      <c r="C154" s="314"/>
      <c r="D154" s="314"/>
      <c r="E154" s="314"/>
      <c r="F154" s="314"/>
      <c r="G154" s="314"/>
      <c r="H154" s="314"/>
      <c r="I154" s="314"/>
      <c r="J154" s="314"/>
      <c r="K154" s="314"/>
      <c r="L154" s="314"/>
      <c r="M154" s="314"/>
      <c r="N154" s="314"/>
      <c r="O154" s="314"/>
      <c r="P154" s="314"/>
      <c r="Q154" s="314"/>
      <c r="R154" s="314"/>
      <c r="S154" s="314"/>
      <c r="T154" s="342"/>
      <c r="U154" s="314"/>
      <c r="V154" s="5"/>
    </row>
    <row r="155" spans="1:23" ht="15.6" x14ac:dyDescent="0.3">
      <c r="A155" s="177"/>
      <c r="B155" s="204" t="s">
        <v>25</v>
      </c>
      <c r="C155" s="179"/>
      <c r="D155" s="179"/>
      <c r="E155" s="179"/>
      <c r="F155" s="179"/>
      <c r="G155" s="179"/>
      <c r="H155" s="179"/>
      <c r="I155" s="179"/>
      <c r="J155" s="179"/>
      <c r="K155" s="179"/>
      <c r="L155" s="179"/>
      <c r="M155" s="179"/>
      <c r="N155" s="179"/>
      <c r="O155" s="179"/>
      <c r="P155" s="179"/>
      <c r="Q155" s="179"/>
      <c r="R155" s="179"/>
      <c r="S155" s="179"/>
      <c r="T155" s="197"/>
      <c r="U155" s="179"/>
      <c r="V155" s="5"/>
    </row>
    <row r="156" spans="1:23" ht="15.6" x14ac:dyDescent="0.3">
      <c r="A156" s="271"/>
      <c r="B156" s="272" t="s">
        <v>51</v>
      </c>
      <c r="C156" s="272"/>
      <c r="D156" s="272"/>
      <c r="E156" s="272"/>
      <c r="F156" s="272"/>
      <c r="G156" s="272"/>
      <c r="H156" s="272"/>
      <c r="I156" s="272"/>
      <c r="J156" s="272"/>
      <c r="K156" s="272"/>
      <c r="L156" s="272"/>
      <c r="M156" s="272"/>
      <c r="N156" s="272"/>
      <c r="O156" s="272"/>
      <c r="P156" s="272"/>
      <c r="Q156" s="272"/>
      <c r="R156" s="272"/>
      <c r="S156" s="272"/>
      <c r="T156" s="343" t="s">
        <v>127</v>
      </c>
      <c r="U156" s="340"/>
      <c r="V156" s="5"/>
    </row>
    <row r="157" spans="1:23" ht="15.6" x14ac:dyDescent="0.3">
      <c r="A157" s="271"/>
      <c r="B157" s="272" t="s">
        <v>52</v>
      </c>
      <c r="C157" s="274"/>
      <c r="D157" s="274"/>
      <c r="E157" s="274"/>
      <c r="F157" s="274"/>
      <c r="G157" s="274"/>
      <c r="H157" s="274"/>
      <c r="I157" s="274"/>
      <c r="J157" s="274"/>
      <c r="K157" s="274"/>
      <c r="L157" s="274"/>
      <c r="M157" s="274"/>
      <c r="N157" s="274"/>
      <c r="O157" s="274"/>
      <c r="P157" s="274"/>
      <c r="Q157" s="274"/>
      <c r="R157" s="274"/>
      <c r="S157" s="274"/>
      <c r="T157" s="343" t="s">
        <v>127</v>
      </c>
      <c r="U157" s="340"/>
      <c r="V157" s="5"/>
    </row>
    <row r="158" spans="1:23" ht="15.6" x14ac:dyDescent="0.3">
      <c r="A158" s="271"/>
      <c r="B158" s="272" t="s">
        <v>53</v>
      </c>
      <c r="C158" s="272"/>
      <c r="D158" s="272"/>
      <c r="E158" s="272"/>
      <c r="F158" s="272"/>
      <c r="G158" s="272"/>
      <c r="H158" s="272"/>
      <c r="I158" s="272"/>
      <c r="J158" s="272"/>
      <c r="K158" s="272"/>
      <c r="L158" s="272"/>
      <c r="M158" s="272"/>
      <c r="N158" s="272"/>
      <c r="O158" s="272"/>
      <c r="P158" s="272"/>
      <c r="Q158" s="272"/>
      <c r="R158" s="272"/>
      <c r="S158" s="272"/>
      <c r="T158" s="343" t="s">
        <v>127</v>
      </c>
      <c r="U158" s="340"/>
      <c r="V158" s="5"/>
    </row>
    <row r="159" spans="1:23" ht="15.6" x14ac:dyDescent="0.3">
      <c r="A159" s="271"/>
      <c r="B159" s="272" t="s">
        <v>54</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177"/>
      <c r="B160" s="314"/>
      <c r="C160" s="314"/>
      <c r="D160" s="314"/>
      <c r="E160" s="314"/>
      <c r="F160" s="314"/>
      <c r="G160" s="314"/>
      <c r="H160" s="314"/>
      <c r="I160" s="314"/>
      <c r="J160" s="314"/>
      <c r="K160" s="314"/>
      <c r="L160" s="314"/>
      <c r="M160" s="314"/>
      <c r="N160" s="314"/>
      <c r="O160" s="314"/>
      <c r="P160" s="314"/>
      <c r="Q160" s="314"/>
      <c r="R160" s="314"/>
      <c r="S160" s="314"/>
      <c r="T160" s="342"/>
      <c r="U160" s="314"/>
      <c r="V160" s="5"/>
    </row>
    <row r="161" spans="1:22" ht="15.6" x14ac:dyDescent="0.3">
      <c r="A161" s="177"/>
      <c r="B161" s="204" t="s">
        <v>55</v>
      </c>
      <c r="C161" s="179"/>
      <c r="D161" s="179"/>
      <c r="E161" s="179"/>
      <c r="F161" s="179"/>
      <c r="G161" s="179"/>
      <c r="H161" s="179"/>
      <c r="I161" s="179"/>
      <c r="J161" s="179"/>
      <c r="K161" s="179"/>
      <c r="L161" s="179"/>
      <c r="M161" s="179"/>
      <c r="N161" s="179"/>
      <c r="O161" s="179"/>
      <c r="P161" s="179"/>
      <c r="Q161" s="179"/>
      <c r="R161" s="179"/>
      <c r="S161" s="179"/>
      <c r="T161" s="205"/>
      <c r="U161" s="179"/>
      <c r="V161" s="5"/>
    </row>
    <row r="162" spans="1:22" ht="15.6" x14ac:dyDescent="0.3">
      <c r="A162" s="271"/>
      <c r="B162" s="272" t="s">
        <v>56</v>
      </c>
      <c r="C162" s="272"/>
      <c r="D162" s="272"/>
      <c r="E162" s="272"/>
      <c r="F162" s="272"/>
      <c r="G162" s="272"/>
      <c r="H162" s="272"/>
      <c r="I162" s="272"/>
      <c r="J162" s="272"/>
      <c r="K162" s="272"/>
      <c r="L162" s="272"/>
      <c r="M162" s="272"/>
      <c r="N162" s="272"/>
      <c r="O162" s="272"/>
      <c r="P162" s="272"/>
      <c r="Q162" s="272"/>
      <c r="R162" s="272"/>
      <c r="S162" s="272"/>
      <c r="T162" s="318">
        <v>0</v>
      </c>
      <c r="U162" s="340"/>
      <c r="V162" s="5"/>
    </row>
    <row r="163" spans="1:22" ht="15.6" x14ac:dyDescent="0.3">
      <c r="A163" s="271"/>
      <c r="B163" s="272" t="s">
        <v>57</v>
      </c>
      <c r="C163" s="272"/>
      <c r="D163" s="272"/>
      <c r="E163" s="272"/>
      <c r="F163" s="272"/>
      <c r="G163" s="272"/>
      <c r="H163" s="272"/>
      <c r="I163" s="272"/>
      <c r="J163" s="272"/>
      <c r="K163" s="272"/>
      <c r="L163" s="272"/>
      <c r="M163" s="272"/>
      <c r="N163" s="272"/>
      <c r="O163" s="272"/>
      <c r="P163" s="272"/>
      <c r="Q163" s="272"/>
      <c r="R163" s="272"/>
      <c r="S163" s="272"/>
      <c r="T163" s="318">
        <f>-T112</f>
        <v>-18</v>
      </c>
      <c r="U163" s="340"/>
      <c r="V163" s="5"/>
    </row>
    <row r="164" spans="1:22" ht="15.6" x14ac:dyDescent="0.3">
      <c r="A164" s="271"/>
      <c r="B164" s="272" t="s">
        <v>58</v>
      </c>
      <c r="C164" s="272"/>
      <c r="D164" s="272"/>
      <c r="E164" s="272"/>
      <c r="F164" s="272"/>
      <c r="G164" s="272"/>
      <c r="H164" s="272"/>
      <c r="I164" s="272"/>
      <c r="J164" s="272"/>
      <c r="K164" s="272"/>
      <c r="L164" s="272"/>
      <c r="M164" s="272"/>
      <c r="N164" s="272"/>
      <c r="O164" s="272"/>
      <c r="P164" s="272"/>
      <c r="Q164" s="272"/>
      <c r="R164" s="272"/>
      <c r="S164" s="272"/>
      <c r="T164" s="318">
        <f>T163+T162</f>
        <v>-18</v>
      </c>
      <c r="U164" s="340"/>
      <c r="V164" s="5"/>
    </row>
    <row r="165" spans="1:22" ht="15.6" x14ac:dyDescent="0.3">
      <c r="A165" s="271"/>
      <c r="B165" s="400" t="s">
        <v>309</v>
      </c>
      <c r="C165" s="272"/>
      <c r="D165" s="272"/>
      <c r="E165" s="272"/>
      <c r="F165" s="272"/>
      <c r="G165" s="272"/>
      <c r="H165" s="272"/>
      <c r="I165" s="272"/>
      <c r="J165" s="272"/>
      <c r="K165" s="272"/>
      <c r="L165" s="272"/>
      <c r="M165" s="272"/>
      <c r="N165" s="272"/>
      <c r="O165" s="272"/>
      <c r="P165" s="272"/>
      <c r="Q165" s="272"/>
      <c r="R165" s="272"/>
      <c r="S165" s="272"/>
      <c r="T165" s="318">
        <f>T112</f>
        <v>18</v>
      </c>
      <c r="U165" s="340"/>
      <c r="V165" s="5"/>
    </row>
    <row r="166" spans="1:22" ht="15.6" x14ac:dyDescent="0.3">
      <c r="A166" s="271"/>
      <c r="B166" s="272" t="s">
        <v>59</v>
      </c>
      <c r="C166" s="272"/>
      <c r="D166" s="272"/>
      <c r="E166" s="272"/>
      <c r="F166" s="272"/>
      <c r="G166" s="272"/>
      <c r="H166" s="272"/>
      <c r="I166" s="272"/>
      <c r="J166" s="272"/>
      <c r="K166" s="272"/>
      <c r="L166" s="272"/>
      <c r="M166" s="272"/>
      <c r="N166" s="272"/>
      <c r="O166" s="272"/>
      <c r="P166" s="272"/>
      <c r="Q166" s="272"/>
      <c r="R166" s="272"/>
      <c r="S166" s="272"/>
      <c r="T166" s="318">
        <f>T164+T165</f>
        <v>0</v>
      </c>
      <c r="U166" s="340"/>
      <c r="V166" s="5"/>
    </row>
    <row r="167" spans="1:22" ht="15.6" x14ac:dyDescent="0.3">
      <c r="A167" s="271"/>
      <c r="B167" s="272" t="s">
        <v>278</v>
      </c>
      <c r="C167" s="272"/>
      <c r="D167" s="272"/>
      <c r="E167" s="272"/>
      <c r="F167" s="272"/>
      <c r="G167" s="272"/>
      <c r="H167" s="272"/>
      <c r="I167" s="272"/>
      <c r="J167" s="272"/>
      <c r="K167" s="272"/>
      <c r="L167" s="272"/>
      <c r="M167" s="272"/>
      <c r="N167" s="272"/>
      <c r="O167" s="272"/>
      <c r="P167" s="272"/>
      <c r="Q167" s="272"/>
      <c r="R167" s="272"/>
      <c r="S167" s="272"/>
      <c r="T167" s="318">
        <f>-T96</f>
        <v>211</v>
      </c>
      <c r="U167" s="340"/>
      <c r="V167" s="5"/>
    </row>
    <row r="168" spans="1:22" ht="16.2" thickBot="1" x14ac:dyDescent="0.35">
      <c r="A168" s="177"/>
      <c r="B168" s="268"/>
      <c r="C168" s="268"/>
      <c r="D168" s="268"/>
      <c r="E168" s="268"/>
      <c r="F168" s="268"/>
      <c r="G168" s="268"/>
      <c r="H168" s="268"/>
      <c r="I168" s="268"/>
      <c r="J168" s="268"/>
      <c r="K168" s="268"/>
      <c r="L168" s="268"/>
      <c r="M168" s="268"/>
      <c r="N168" s="268"/>
      <c r="O168" s="268"/>
      <c r="P168" s="268"/>
      <c r="Q168" s="268"/>
      <c r="R168" s="268"/>
      <c r="S168" s="268"/>
      <c r="T168" s="344"/>
      <c r="U168" s="314"/>
      <c r="V168" s="5"/>
    </row>
    <row r="169" spans="1:22" ht="15.6" x14ac:dyDescent="0.3">
      <c r="A169" s="175"/>
      <c r="B169" s="176"/>
      <c r="C169" s="176"/>
      <c r="D169" s="176"/>
      <c r="E169" s="176"/>
      <c r="F169" s="176"/>
      <c r="G169" s="176"/>
      <c r="H169" s="176"/>
      <c r="I169" s="176"/>
      <c r="J169" s="176"/>
      <c r="K169" s="176"/>
      <c r="L169" s="176"/>
      <c r="M169" s="176"/>
      <c r="N169" s="176"/>
      <c r="O169" s="176"/>
      <c r="P169" s="176"/>
      <c r="Q169" s="176"/>
      <c r="R169" s="176"/>
      <c r="S169" s="176"/>
      <c r="T169" s="196"/>
      <c r="U169" s="176"/>
      <c r="V169" s="5"/>
    </row>
    <row r="170" spans="1:22" ht="15.6" x14ac:dyDescent="0.3">
      <c r="A170" s="177"/>
      <c r="B170" s="204" t="s">
        <v>60</v>
      </c>
      <c r="C170" s="179"/>
      <c r="D170" s="179"/>
      <c r="E170" s="179"/>
      <c r="F170" s="179"/>
      <c r="G170" s="179"/>
      <c r="H170" s="179"/>
      <c r="I170" s="179"/>
      <c r="J170" s="179"/>
      <c r="K170" s="179"/>
      <c r="L170" s="179"/>
      <c r="M170" s="179"/>
      <c r="N170" s="179"/>
      <c r="O170" s="179"/>
      <c r="P170" s="179"/>
      <c r="Q170" s="179"/>
      <c r="R170" s="179"/>
      <c r="S170" s="179"/>
      <c r="T170" s="197"/>
      <c r="U170" s="179"/>
      <c r="V170" s="5"/>
    </row>
    <row r="171" spans="1:22" ht="15.6" x14ac:dyDescent="0.3">
      <c r="A171" s="177"/>
      <c r="B171" s="191"/>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271"/>
      <c r="B172" s="272" t="s">
        <v>61</v>
      </c>
      <c r="C172" s="272"/>
      <c r="D172" s="272"/>
      <c r="E172" s="272"/>
      <c r="F172" s="272"/>
      <c r="G172" s="272"/>
      <c r="H172" s="272"/>
      <c r="I172" s="272"/>
      <c r="J172" s="272"/>
      <c r="K172" s="272"/>
      <c r="L172" s="272"/>
      <c r="M172" s="272"/>
      <c r="N172" s="272"/>
      <c r="O172" s="272"/>
      <c r="P172" s="272"/>
      <c r="Q172" s="272"/>
      <c r="R172" s="272"/>
      <c r="S172" s="272"/>
      <c r="T172" s="318">
        <f>T68</f>
        <v>313954</v>
      </c>
      <c r="U172" s="340"/>
      <c r="V172" s="5"/>
    </row>
    <row r="173" spans="1:22" ht="15.6" x14ac:dyDescent="0.3">
      <c r="A173" s="271"/>
      <c r="B173" s="272" t="s">
        <v>62</v>
      </c>
      <c r="C173" s="272"/>
      <c r="D173" s="272"/>
      <c r="E173" s="272"/>
      <c r="F173" s="272"/>
      <c r="G173" s="272"/>
      <c r="H173" s="272"/>
      <c r="I173" s="272"/>
      <c r="J173" s="272"/>
      <c r="K173" s="272"/>
      <c r="L173" s="272"/>
      <c r="M173" s="272"/>
      <c r="N173" s="272"/>
      <c r="O173" s="272"/>
      <c r="P173" s="272"/>
      <c r="Q173" s="272"/>
      <c r="R173" s="272"/>
      <c r="S173" s="272"/>
      <c r="T173" s="318">
        <f>T81</f>
        <v>313954</v>
      </c>
      <c r="U173" s="340"/>
      <c r="V173" s="5"/>
    </row>
    <row r="174" spans="1:22" ht="16.2" thickBot="1" x14ac:dyDescent="0.35">
      <c r="A174" s="177"/>
      <c r="B174" s="314"/>
      <c r="C174" s="314"/>
      <c r="D174" s="314"/>
      <c r="E174" s="314"/>
      <c r="F174" s="314"/>
      <c r="G174" s="314"/>
      <c r="H174" s="314"/>
      <c r="I174" s="314"/>
      <c r="J174" s="314"/>
      <c r="K174" s="314"/>
      <c r="L174" s="314"/>
      <c r="M174" s="314"/>
      <c r="N174" s="314"/>
      <c r="O174" s="314"/>
      <c r="P174" s="314"/>
      <c r="Q174" s="314"/>
      <c r="R174" s="314"/>
      <c r="S174" s="314"/>
      <c r="T174" s="342"/>
      <c r="U174" s="314"/>
      <c r="V174" s="5"/>
    </row>
    <row r="175" spans="1:22" ht="15.6" x14ac:dyDescent="0.3">
      <c r="A175" s="175"/>
      <c r="B175" s="176"/>
      <c r="C175" s="176"/>
      <c r="D175" s="176"/>
      <c r="E175" s="176"/>
      <c r="F175" s="176"/>
      <c r="G175" s="176"/>
      <c r="H175" s="176"/>
      <c r="I175" s="176"/>
      <c r="J175" s="176"/>
      <c r="K175" s="176"/>
      <c r="L175" s="176"/>
      <c r="M175" s="176"/>
      <c r="N175" s="176"/>
      <c r="O175" s="176"/>
      <c r="P175" s="176"/>
      <c r="Q175" s="176"/>
      <c r="R175" s="176"/>
      <c r="S175" s="176"/>
      <c r="T175" s="196"/>
      <c r="U175" s="176"/>
      <c r="V175" s="5"/>
    </row>
    <row r="176" spans="1:22" ht="15.6" x14ac:dyDescent="0.3">
      <c r="A176" s="177"/>
      <c r="B176" s="204" t="s">
        <v>63</v>
      </c>
      <c r="C176" s="201"/>
      <c r="D176" s="201"/>
      <c r="E176" s="201"/>
      <c r="F176" s="201"/>
      <c r="G176" s="201"/>
      <c r="H176" s="206"/>
      <c r="I176" s="206"/>
      <c r="J176" s="206"/>
      <c r="K176" s="206"/>
      <c r="L176" s="206"/>
      <c r="M176" s="206"/>
      <c r="N176" s="206"/>
      <c r="O176" s="206"/>
      <c r="P176" s="206"/>
      <c r="Q176" s="206" t="s">
        <v>107</v>
      </c>
      <c r="R176" s="206" t="s">
        <v>234</v>
      </c>
      <c r="S176" s="181"/>
      <c r="T176" s="207" t="s">
        <v>123</v>
      </c>
      <c r="U176" s="208"/>
      <c r="V176" s="5"/>
    </row>
    <row r="177" spans="1:22" ht="15.6" x14ac:dyDescent="0.3">
      <c r="A177" s="271"/>
      <c r="B177" s="272" t="s">
        <v>64</v>
      </c>
      <c r="C177" s="272"/>
      <c r="D177" s="272"/>
      <c r="E177" s="272"/>
      <c r="F177" s="272"/>
      <c r="G177" s="272"/>
      <c r="H177" s="272"/>
      <c r="I177" s="272"/>
      <c r="J177" s="272"/>
      <c r="K177" s="272"/>
      <c r="L177" s="272"/>
      <c r="M177" s="272"/>
      <c r="N177" s="272"/>
      <c r="O177" s="272"/>
      <c r="P177" s="272"/>
      <c r="Q177" s="318">
        <v>112000</v>
      </c>
      <c r="R177" s="306"/>
      <c r="S177" s="272"/>
      <c r="T177" s="318"/>
      <c r="U177" s="275"/>
      <c r="V177" s="5"/>
    </row>
    <row r="178" spans="1:22" ht="15.6" x14ac:dyDescent="0.3">
      <c r="A178" s="271"/>
      <c r="B178" s="272" t="s">
        <v>65</v>
      </c>
      <c r="C178" s="272"/>
      <c r="D178" s="272"/>
      <c r="E178" s="272"/>
      <c r="F178" s="272"/>
      <c r="G178" s="272"/>
      <c r="H178" s="272"/>
      <c r="I178" s="272"/>
      <c r="J178" s="272"/>
      <c r="K178" s="272"/>
      <c r="L178" s="272"/>
      <c r="M178" s="272"/>
      <c r="N178" s="272"/>
      <c r="O178" s="272"/>
      <c r="P178" s="272"/>
      <c r="Q178" s="318">
        <f>+'July 11'!Q180</f>
        <v>46328</v>
      </c>
      <c r="R178" s="318">
        <f>+'July 11'!R180</f>
        <v>2435</v>
      </c>
      <c r="S178" s="272"/>
      <c r="T178" s="318">
        <f>Q178+R178</f>
        <v>48763</v>
      </c>
      <c r="U178" s="275"/>
      <c r="V178" s="5"/>
    </row>
    <row r="179" spans="1:22" ht="15.6" x14ac:dyDescent="0.3">
      <c r="A179" s="271"/>
      <c r="B179" s="272" t="s">
        <v>66</v>
      </c>
      <c r="C179" s="272"/>
      <c r="D179" s="272"/>
      <c r="E179" s="272"/>
      <c r="F179" s="272"/>
      <c r="G179" s="272"/>
      <c r="H179" s="272"/>
      <c r="I179" s="272"/>
      <c r="J179" s="272"/>
      <c r="K179" s="272"/>
      <c r="L179" s="272"/>
      <c r="M179" s="272"/>
      <c r="N179" s="272"/>
      <c r="O179" s="272"/>
      <c r="P179" s="272"/>
      <c r="Q179" s="317">
        <v>0</v>
      </c>
      <c r="R179" s="317">
        <v>0</v>
      </c>
      <c r="S179" s="272"/>
      <c r="T179" s="318">
        <f>Q179+R179</f>
        <v>0</v>
      </c>
      <c r="U179" s="275"/>
      <c r="V179" s="5"/>
    </row>
    <row r="180" spans="1:22" ht="15.6" x14ac:dyDescent="0.3">
      <c r="A180" s="271"/>
      <c r="B180" s="272" t="s">
        <v>67</v>
      </c>
      <c r="C180" s="272"/>
      <c r="D180" s="272"/>
      <c r="E180" s="272"/>
      <c r="F180" s="272"/>
      <c r="G180" s="272"/>
      <c r="H180" s="272"/>
      <c r="I180" s="272"/>
      <c r="J180" s="272"/>
      <c r="K180" s="272"/>
      <c r="L180" s="272"/>
      <c r="M180" s="272"/>
      <c r="N180" s="272"/>
      <c r="O180" s="272"/>
      <c r="P180" s="272"/>
      <c r="Q180" s="318">
        <f>Q178+Q179</f>
        <v>46328</v>
      </c>
      <c r="R180" s="318">
        <f>R179+R178</f>
        <v>2435</v>
      </c>
      <c r="S180" s="272"/>
      <c r="T180" s="318">
        <f>Q180+R180</f>
        <v>48763</v>
      </c>
      <c r="U180" s="275"/>
      <c r="V180" s="5"/>
    </row>
    <row r="181" spans="1:22" ht="15.6" x14ac:dyDescent="0.3">
      <c r="A181" s="271"/>
      <c r="B181" s="272" t="s">
        <v>68</v>
      </c>
      <c r="C181" s="272"/>
      <c r="D181" s="272"/>
      <c r="E181" s="272"/>
      <c r="F181" s="272"/>
      <c r="G181" s="272"/>
      <c r="H181" s="272"/>
      <c r="I181" s="272"/>
      <c r="J181" s="272"/>
      <c r="K181" s="272"/>
      <c r="L181" s="272"/>
      <c r="M181" s="272"/>
      <c r="N181" s="272"/>
      <c r="O181" s="272"/>
      <c r="P181" s="272"/>
      <c r="Q181" s="318">
        <f>Q177-Q180-R180</f>
        <v>63237</v>
      </c>
      <c r="R181" s="306"/>
      <c r="S181" s="272"/>
      <c r="T181" s="318"/>
      <c r="U181" s="275"/>
      <c r="V181" s="5"/>
    </row>
    <row r="182" spans="1:22" ht="16.2" thickBot="1" x14ac:dyDescent="0.35">
      <c r="A182" s="177"/>
      <c r="B182" s="314"/>
      <c r="C182" s="314"/>
      <c r="D182" s="314"/>
      <c r="E182" s="314"/>
      <c r="F182" s="314"/>
      <c r="G182" s="314"/>
      <c r="H182" s="314"/>
      <c r="I182" s="314"/>
      <c r="J182" s="314"/>
      <c r="K182" s="314"/>
      <c r="L182" s="314"/>
      <c r="M182" s="314"/>
      <c r="N182" s="314"/>
      <c r="O182" s="314"/>
      <c r="P182" s="314"/>
      <c r="Q182" s="314"/>
      <c r="R182" s="314"/>
      <c r="S182" s="314"/>
      <c r="T182" s="342"/>
      <c r="U182" s="314"/>
      <c r="V182" s="5"/>
    </row>
    <row r="183" spans="1:22" ht="15.6" x14ac:dyDescent="0.3">
      <c r="A183" s="175"/>
      <c r="B183" s="176"/>
      <c r="C183" s="176"/>
      <c r="D183" s="176"/>
      <c r="E183" s="176"/>
      <c r="F183" s="176"/>
      <c r="G183" s="176"/>
      <c r="H183" s="176"/>
      <c r="I183" s="176"/>
      <c r="J183" s="176"/>
      <c r="K183" s="176"/>
      <c r="L183" s="176"/>
      <c r="M183" s="176"/>
      <c r="N183" s="176"/>
      <c r="O183" s="176"/>
      <c r="P183" s="176"/>
      <c r="Q183" s="176"/>
      <c r="R183" s="176"/>
      <c r="S183" s="176"/>
      <c r="T183" s="196"/>
      <c r="U183" s="176"/>
      <c r="V183" s="5"/>
    </row>
    <row r="184" spans="1:22" ht="15.6" x14ac:dyDescent="0.3">
      <c r="A184" s="177"/>
      <c r="B184" s="204" t="s">
        <v>69</v>
      </c>
      <c r="C184" s="179"/>
      <c r="D184" s="179"/>
      <c r="E184" s="179"/>
      <c r="F184" s="179"/>
      <c r="G184" s="179"/>
      <c r="H184" s="179"/>
      <c r="I184" s="179"/>
      <c r="J184" s="179"/>
      <c r="K184" s="179"/>
      <c r="L184" s="179"/>
      <c r="M184" s="179"/>
      <c r="N184" s="179"/>
      <c r="O184" s="179"/>
      <c r="P184" s="179"/>
      <c r="Q184" s="179"/>
      <c r="R184" s="179"/>
      <c r="S184" s="179"/>
      <c r="T184" s="209"/>
      <c r="U184" s="179"/>
      <c r="V184" s="5"/>
    </row>
    <row r="185" spans="1:22" ht="15.6" x14ac:dyDescent="0.3">
      <c r="A185" s="271"/>
      <c r="B185" s="272" t="s">
        <v>70</v>
      </c>
      <c r="C185" s="272"/>
      <c r="D185" s="272"/>
      <c r="E185" s="272"/>
      <c r="F185" s="272"/>
      <c r="G185" s="272"/>
      <c r="H185" s="272"/>
      <c r="I185" s="272"/>
      <c r="J185" s="272"/>
      <c r="K185" s="272"/>
      <c r="L185" s="272"/>
      <c r="M185" s="272"/>
      <c r="N185" s="272"/>
      <c r="O185" s="272"/>
      <c r="P185" s="272"/>
      <c r="Q185" s="272"/>
      <c r="R185" s="272"/>
      <c r="S185" s="272"/>
      <c r="T185" s="343">
        <f>(T97+T99+T100+T101+T102+T103)/-(T104+T105+T106)</f>
        <v>2.3285340314136125</v>
      </c>
      <c r="U185" s="275" t="s">
        <v>124</v>
      </c>
      <c r="V185" s="5"/>
    </row>
    <row r="186" spans="1:22" ht="15.6" x14ac:dyDescent="0.3">
      <c r="A186" s="271"/>
      <c r="B186" s="272" t="s">
        <v>71</v>
      </c>
      <c r="C186" s="272"/>
      <c r="D186" s="272"/>
      <c r="E186" s="272"/>
      <c r="F186" s="272"/>
      <c r="G186" s="272"/>
      <c r="H186" s="272"/>
      <c r="I186" s="272"/>
      <c r="J186" s="272"/>
      <c r="K186" s="272"/>
      <c r="L186" s="272"/>
      <c r="M186" s="272"/>
      <c r="N186" s="272"/>
      <c r="O186" s="272"/>
      <c r="P186" s="272"/>
      <c r="Q186" s="272"/>
      <c r="R186" s="272"/>
      <c r="S186" s="272"/>
      <c r="T186" s="345">
        <v>1.53</v>
      </c>
      <c r="U186" s="275" t="s">
        <v>124</v>
      </c>
      <c r="V186" s="5"/>
    </row>
    <row r="187" spans="1:22" ht="15.6" x14ac:dyDescent="0.3">
      <c r="A187" s="271"/>
      <c r="B187" s="272" t="s">
        <v>72</v>
      </c>
      <c r="C187" s="272"/>
      <c r="D187" s="272"/>
      <c r="E187" s="272"/>
      <c r="F187" s="272"/>
      <c r="G187" s="272"/>
      <c r="H187" s="272"/>
      <c r="I187" s="272"/>
      <c r="J187" s="272"/>
      <c r="K187" s="272"/>
      <c r="L187" s="272"/>
      <c r="M187" s="272"/>
      <c r="N187" s="272"/>
      <c r="O187" s="272"/>
      <c r="P187" s="272"/>
      <c r="Q187" s="272"/>
      <c r="R187" s="272"/>
      <c r="S187" s="272"/>
      <c r="T187" s="343">
        <f>(T97+T99+T100+T101+T102+T103+T104+T105+T106)/-(T107+T108)</f>
        <v>11.032608695652174</v>
      </c>
      <c r="U187" s="275" t="s">
        <v>124</v>
      </c>
      <c r="V187" s="5"/>
    </row>
    <row r="188" spans="1:22" ht="15.6" x14ac:dyDescent="0.3">
      <c r="A188" s="271"/>
      <c r="B188" s="272" t="s">
        <v>73</v>
      </c>
      <c r="C188" s="272"/>
      <c r="D188" s="272"/>
      <c r="E188" s="272"/>
      <c r="F188" s="272"/>
      <c r="G188" s="272"/>
      <c r="H188" s="272"/>
      <c r="I188" s="272"/>
      <c r="J188" s="272"/>
      <c r="K188" s="272"/>
      <c r="L188" s="272"/>
      <c r="M188" s="272"/>
      <c r="N188" s="272"/>
      <c r="O188" s="272"/>
      <c r="P188" s="272"/>
      <c r="Q188" s="272"/>
      <c r="R188" s="272"/>
      <c r="S188" s="272"/>
      <c r="T188" s="346">
        <v>7.98</v>
      </c>
      <c r="U188" s="275" t="s">
        <v>124</v>
      </c>
      <c r="V188" s="5"/>
    </row>
    <row r="189" spans="1:22" ht="15.6" x14ac:dyDescent="0.3">
      <c r="A189" s="271"/>
      <c r="B189" s="272" t="s">
        <v>243</v>
      </c>
      <c r="C189" s="272"/>
      <c r="D189" s="272"/>
      <c r="E189" s="272"/>
      <c r="F189" s="272"/>
      <c r="G189" s="272"/>
      <c r="H189" s="272"/>
      <c r="I189" s="272"/>
      <c r="J189" s="272"/>
      <c r="K189" s="272"/>
      <c r="L189" s="272"/>
      <c r="M189" s="272"/>
      <c r="N189" s="272"/>
      <c r="O189" s="272"/>
      <c r="P189" s="272"/>
      <c r="Q189" s="272"/>
      <c r="R189" s="272"/>
      <c r="S189" s="272"/>
      <c r="T189" s="343">
        <f>(T97+T99+T100+T101+T102+T103+T104+T105+T106+T107+T108)/-(T109+T110)</f>
        <v>4.2534562211981566</v>
      </c>
      <c r="U189" s="275" t="s">
        <v>124</v>
      </c>
      <c r="V189" s="5"/>
    </row>
    <row r="190" spans="1:22" ht="15.6" x14ac:dyDescent="0.3">
      <c r="A190" s="271"/>
      <c r="B190" s="272" t="s">
        <v>244</v>
      </c>
      <c r="C190" s="272"/>
      <c r="D190" s="272"/>
      <c r="E190" s="272"/>
      <c r="F190" s="272"/>
      <c r="G190" s="272"/>
      <c r="H190" s="272"/>
      <c r="I190" s="272"/>
      <c r="J190" s="272"/>
      <c r="K190" s="272"/>
      <c r="L190" s="272"/>
      <c r="M190" s="272"/>
      <c r="N190" s="272"/>
      <c r="O190" s="272"/>
      <c r="P190" s="272"/>
      <c r="Q190" s="272"/>
      <c r="R190" s="272"/>
      <c r="S190" s="272"/>
      <c r="T190" s="346">
        <v>3.65</v>
      </c>
      <c r="U190" s="275" t="s">
        <v>124</v>
      </c>
      <c r="V190" s="5"/>
    </row>
    <row r="191" spans="1:22" ht="15.6" x14ac:dyDescent="0.3">
      <c r="A191" s="271"/>
      <c r="B191" s="272"/>
      <c r="C191" s="272"/>
      <c r="D191" s="272"/>
      <c r="E191" s="272"/>
      <c r="F191" s="272"/>
      <c r="G191" s="272"/>
      <c r="H191" s="272"/>
      <c r="I191" s="272"/>
      <c r="J191" s="272"/>
      <c r="K191" s="272"/>
      <c r="L191" s="272"/>
      <c r="M191" s="272"/>
      <c r="N191" s="272"/>
      <c r="O191" s="272"/>
      <c r="P191" s="272"/>
      <c r="Q191" s="272"/>
      <c r="R191" s="272"/>
      <c r="S191" s="272"/>
      <c r="T191" s="272"/>
      <c r="U191" s="275"/>
      <c r="V191" s="5"/>
    </row>
    <row r="192" spans="1:22" ht="15.6" x14ac:dyDescent="0.3">
      <c r="A192" s="177"/>
      <c r="B192" s="268"/>
      <c r="C192" s="268"/>
      <c r="D192" s="268"/>
      <c r="E192" s="268"/>
      <c r="F192" s="268"/>
      <c r="G192" s="268"/>
      <c r="H192" s="268"/>
      <c r="I192" s="268"/>
      <c r="J192" s="268"/>
      <c r="K192" s="268"/>
      <c r="L192" s="268"/>
      <c r="M192" s="268"/>
      <c r="N192" s="268"/>
      <c r="O192" s="268"/>
      <c r="P192" s="268"/>
      <c r="Q192" s="268"/>
      <c r="R192" s="268"/>
      <c r="S192" s="268"/>
      <c r="T192" s="268"/>
      <c r="U192" s="268"/>
      <c r="V192" s="5"/>
    </row>
    <row r="193" spans="1:22" ht="15.6" x14ac:dyDescent="0.3">
      <c r="A193" s="177"/>
      <c r="B193" s="234"/>
      <c r="C193" s="234"/>
      <c r="D193" s="234"/>
      <c r="E193" s="234"/>
      <c r="F193" s="234"/>
      <c r="G193" s="234"/>
      <c r="H193" s="234"/>
      <c r="I193" s="234"/>
      <c r="J193" s="234"/>
      <c r="K193" s="234"/>
      <c r="L193" s="234"/>
      <c r="M193" s="234"/>
      <c r="N193" s="234"/>
      <c r="O193" s="234"/>
      <c r="P193" s="234"/>
      <c r="Q193" s="234"/>
      <c r="R193" s="234"/>
      <c r="S193" s="234"/>
      <c r="T193" s="234"/>
      <c r="U193" s="234"/>
      <c r="V193" s="5"/>
    </row>
    <row r="194" spans="1:22" ht="18" thickBot="1" x14ac:dyDescent="0.35">
      <c r="A194" s="195"/>
      <c r="B194" s="238" t="str">
        <f>B133</f>
        <v>PM9 INVESTOR REPORT QUARTER ENDING OCTOBER 2011</v>
      </c>
      <c r="C194" s="245"/>
      <c r="D194" s="245"/>
      <c r="E194" s="245"/>
      <c r="F194" s="245"/>
      <c r="G194" s="245"/>
      <c r="H194" s="245"/>
      <c r="I194" s="245"/>
      <c r="J194" s="245"/>
      <c r="K194" s="245"/>
      <c r="L194" s="245"/>
      <c r="M194" s="245"/>
      <c r="N194" s="245"/>
      <c r="O194" s="245"/>
      <c r="P194" s="245"/>
      <c r="Q194" s="245"/>
      <c r="R194" s="245"/>
      <c r="S194" s="245"/>
      <c r="T194" s="245"/>
      <c r="U194" s="246"/>
      <c r="V194" s="5"/>
    </row>
    <row r="195" spans="1:22" ht="15.6" x14ac:dyDescent="0.3">
      <c r="A195" s="321"/>
      <c r="B195" s="324" t="s">
        <v>74</v>
      </c>
      <c r="C195" s="325"/>
      <c r="D195" s="325"/>
      <c r="E195" s="325"/>
      <c r="F195" s="325"/>
      <c r="G195" s="326"/>
      <c r="H195" s="326"/>
      <c r="I195" s="326"/>
      <c r="J195" s="326"/>
      <c r="K195" s="326"/>
      <c r="L195" s="326"/>
      <c r="M195" s="326"/>
      <c r="N195" s="326"/>
      <c r="O195" s="326"/>
      <c r="P195" s="326"/>
      <c r="Q195" s="326"/>
      <c r="R195" s="326">
        <v>40847</v>
      </c>
      <c r="S195" s="322"/>
      <c r="T195" s="322"/>
      <c r="U195" s="322"/>
      <c r="V195" s="5"/>
    </row>
    <row r="196" spans="1:22" ht="15.6" x14ac:dyDescent="0.3">
      <c r="A196" s="210"/>
      <c r="B196" s="211"/>
      <c r="C196" s="212"/>
      <c r="D196" s="212"/>
      <c r="E196" s="212"/>
      <c r="F196" s="212"/>
      <c r="G196" s="213"/>
      <c r="H196" s="213"/>
      <c r="I196" s="213"/>
      <c r="J196" s="213"/>
      <c r="K196" s="213"/>
      <c r="L196" s="213"/>
      <c r="M196" s="213"/>
      <c r="N196" s="213"/>
      <c r="O196" s="213"/>
      <c r="P196" s="213"/>
      <c r="Q196" s="213"/>
      <c r="R196" s="213"/>
      <c r="S196" s="179"/>
      <c r="T196" s="179"/>
      <c r="U196" s="179"/>
      <c r="V196" s="5"/>
    </row>
    <row r="197" spans="1:22" ht="15.6" x14ac:dyDescent="0.3">
      <c r="A197" s="348"/>
      <c r="B197" s="272" t="s">
        <v>75</v>
      </c>
      <c r="C197" s="349"/>
      <c r="D197" s="349"/>
      <c r="E197" s="349"/>
      <c r="F197" s="349"/>
      <c r="G197" s="309"/>
      <c r="H197" s="309"/>
      <c r="I197" s="309"/>
      <c r="J197" s="309"/>
      <c r="K197" s="309"/>
      <c r="L197" s="309"/>
      <c r="M197" s="309"/>
      <c r="N197" s="309"/>
      <c r="O197" s="309"/>
      <c r="P197" s="309"/>
      <c r="Q197" s="309"/>
      <c r="R197" s="304">
        <v>5.8209999999999998E-2</v>
      </c>
      <c r="S197" s="272"/>
      <c r="T197" s="272"/>
      <c r="U197" s="340"/>
      <c r="V197" s="5"/>
    </row>
    <row r="198" spans="1:22" ht="15.6" x14ac:dyDescent="0.3">
      <c r="A198" s="348"/>
      <c r="B198" s="272" t="s">
        <v>164</v>
      </c>
      <c r="C198" s="349"/>
      <c r="D198" s="349"/>
      <c r="E198" s="349"/>
      <c r="F198" s="349"/>
      <c r="G198" s="309"/>
      <c r="H198" s="309"/>
      <c r="I198" s="309"/>
      <c r="J198" s="309"/>
      <c r="K198" s="309"/>
      <c r="L198" s="309"/>
      <c r="M198" s="309"/>
      <c r="N198" s="309"/>
      <c r="O198" s="309"/>
      <c r="P198" s="309"/>
      <c r="Q198" s="309"/>
      <c r="R198" s="304">
        <f>'Oct 05'!R193</f>
        <v>4.8438496428571419E-2</v>
      </c>
      <c r="S198" s="272"/>
      <c r="T198" s="272"/>
      <c r="U198" s="340"/>
      <c r="V198" s="5"/>
    </row>
    <row r="199" spans="1:22" ht="15.6" x14ac:dyDescent="0.3">
      <c r="A199" s="348"/>
      <c r="B199" s="272" t="s">
        <v>76</v>
      </c>
      <c r="C199" s="349"/>
      <c r="D199" s="349"/>
      <c r="E199" s="349"/>
      <c r="F199" s="349"/>
      <c r="G199" s="309"/>
      <c r="H199" s="309"/>
      <c r="I199" s="309"/>
      <c r="J199" s="309"/>
      <c r="K199" s="309"/>
      <c r="L199" s="309"/>
      <c r="M199" s="309"/>
      <c r="N199" s="309"/>
      <c r="O199" s="309"/>
      <c r="P199" s="309"/>
      <c r="Q199" s="309"/>
      <c r="R199" s="304">
        <f>R197-R198</f>
        <v>9.7715035714285789E-3</v>
      </c>
      <c r="S199" s="272"/>
      <c r="T199" s="272"/>
      <c r="U199" s="340"/>
      <c r="V199" s="5"/>
    </row>
    <row r="200" spans="1:22" ht="15.6" x14ac:dyDescent="0.3">
      <c r="A200" s="348"/>
      <c r="B200" s="272" t="s">
        <v>77</v>
      </c>
      <c r="C200" s="349"/>
      <c r="D200" s="349"/>
      <c r="E200" s="349"/>
      <c r="F200" s="349"/>
      <c r="G200" s="309"/>
      <c r="H200" s="309"/>
      <c r="I200" s="309"/>
      <c r="J200" s="309"/>
      <c r="K200" s="309"/>
      <c r="L200" s="309"/>
      <c r="M200" s="309"/>
      <c r="N200" s="309"/>
      <c r="O200" s="309"/>
      <c r="P200" s="309"/>
      <c r="Q200" s="309"/>
      <c r="R200" s="304">
        <v>2.716E-2</v>
      </c>
      <c r="S200" s="272"/>
      <c r="T200" s="272"/>
      <c r="U200" s="340"/>
      <c r="V200" s="5"/>
    </row>
    <row r="201" spans="1:22" ht="15.6" x14ac:dyDescent="0.3">
      <c r="A201" s="348"/>
      <c r="B201" s="272" t="s">
        <v>257</v>
      </c>
      <c r="C201" s="349"/>
      <c r="D201" s="349"/>
      <c r="E201" s="349"/>
      <c r="F201" s="349"/>
      <c r="G201" s="309"/>
      <c r="H201" s="309"/>
      <c r="I201" s="309"/>
      <c r="J201" s="309"/>
      <c r="K201" s="309"/>
      <c r="L201" s="309"/>
      <c r="M201" s="309"/>
      <c r="N201" s="309"/>
      <c r="O201" s="309"/>
      <c r="P201" s="309"/>
      <c r="Q201" s="309"/>
      <c r="R201" s="304">
        <f>+T41</f>
        <v>1.3460995691792935E-2</v>
      </c>
      <c r="S201" s="272"/>
      <c r="T201" s="272"/>
      <c r="U201" s="340"/>
      <c r="V201" s="5"/>
    </row>
    <row r="202" spans="1:22" ht="15.6" x14ac:dyDescent="0.3">
      <c r="A202" s="348"/>
      <c r="B202" s="272" t="s">
        <v>78</v>
      </c>
      <c r="C202" s="349"/>
      <c r="D202" s="349"/>
      <c r="E202" s="349"/>
      <c r="F202" s="349"/>
      <c r="G202" s="309"/>
      <c r="H202" s="309"/>
      <c r="I202" s="309"/>
      <c r="J202" s="309"/>
      <c r="K202" s="309"/>
      <c r="L202" s="309"/>
      <c r="M202" s="309"/>
      <c r="N202" s="309"/>
      <c r="O202" s="309"/>
      <c r="P202" s="309"/>
      <c r="Q202" s="309"/>
      <c r="R202" s="304">
        <f>R200-R201</f>
        <v>1.3699004308207065E-2</v>
      </c>
      <c r="S202" s="272"/>
      <c r="T202" s="272"/>
      <c r="U202" s="340"/>
      <c r="V202" s="5"/>
    </row>
    <row r="203" spans="1:22" ht="15.6" x14ac:dyDescent="0.3">
      <c r="A203" s="348"/>
      <c r="B203" s="272" t="s">
        <v>268</v>
      </c>
      <c r="C203" s="349"/>
      <c r="D203" s="349"/>
      <c r="E203" s="349"/>
      <c r="F203" s="349"/>
      <c r="G203" s="309"/>
      <c r="H203" s="309"/>
      <c r="I203" s="309"/>
      <c r="J203" s="309"/>
      <c r="K203" s="309"/>
      <c r="L203" s="309"/>
      <c r="M203" s="309"/>
      <c r="N203" s="309"/>
      <c r="O203" s="309"/>
      <c r="P203" s="309"/>
      <c r="Q203" s="309"/>
      <c r="R203" s="304">
        <f>+T97/L68</f>
        <v>6.6601941133497995E-3</v>
      </c>
      <c r="S203" s="272"/>
      <c r="T203" s="272"/>
      <c r="U203" s="340"/>
      <c r="V203" s="5"/>
    </row>
    <row r="204" spans="1:22" ht="15.6" x14ac:dyDescent="0.3">
      <c r="A204" s="348"/>
      <c r="B204" s="272" t="s">
        <v>249</v>
      </c>
      <c r="C204" s="349"/>
      <c r="D204" s="349"/>
      <c r="E204" s="349"/>
      <c r="F204" s="349"/>
      <c r="G204" s="309"/>
      <c r="H204" s="309"/>
      <c r="I204" s="309"/>
      <c r="J204" s="309"/>
      <c r="K204" s="309"/>
      <c r="L204" s="309"/>
      <c r="M204" s="309"/>
      <c r="N204" s="309"/>
      <c r="O204" s="309"/>
      <c r="P204" s="309"/>
      <c r="Q204" s="309"/>
      <c r="R204" s="350">
        <v>51622</v>
      </c>
      <c r="S204" s="272"/>
      <c r="T204" s="272"/>
      <c r="U204" s="340"/>
      <c r="V204" s="5"/>
    </row>
    <row r="205" spans="1:22" ht="15.6" x14ac:dyDescent="0.3">
      <c r="A205" s="348"/>
      <c r="B205" s="272" t="s">
        <v>250</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251</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79</v>
      </c>
      <c r="C207" s="349"/>
      <c r="D207" s="349"/>
      <c r="E207" s="349"/>
      <c r="F207" s="349"/>
      <c r="G207" s="309"/>
      <c r="H207" s="309"/>
      <c r="I207" s="309"/>
      <c r="J207" s="309"/>
      <c r="K207" s="309"/>
      <c r="L207" s="309"/>
      <c r="M207" s="309"/>
      <c r="N207" s="309"/>
      <c r="O207" s="309"/>
      <c r="P207" s="309"/>
      <c r="Q207" s="309"/>
      <c r="R207" s="308">
        <v>20.95</v>
      </c>
      <c r="S207" s="272" t="s">
        <v>119</v>
      </c>
      <c r="T207" s="272"/>
      <c r="U207" s="340"/>
      <c r="V207" s="5"/>
    </row>
    <row r="208" spans="1:22" ht="15.6" x14ac:dyDescent="0.3">
      <c r="A208" s="348"/>
      <c r="B208" s="272" t="s">
        <v>80</v>
      </c>
      <c r="C208" s="349"/>
      <c r="D208" s="349"/>
      <c r="E208" s="349"/>
      <c r="F208" s="349"/>
      <c r="G208" s="309"/>
      <c r="H208" s="309"/>
      <c r="I208" s="309"/>
      <c r="J208" s="309"/>
      <c r="K208" s="309"/>
      <c r="L208" s="309"/>
      <c r="M208" s="309"/>
      <c r="N208" s="309"/>
      <c r="O208" s="309"/>
      <c r="P208" s="309"/>
      <c r="Q208" s="309"/>
      <c r="R208" s="308">
        <v>14.95</v>
      </c>
      <c r="S208" s="272" t="s">
        <v>119</v>
      </c>
      <c r="T208" s="272"/>
      <c r="U208" s="340"/>
      <c r="V208" s="5"/>
    </row>
    <row r="209" spans="1:22" ht="15.6" x14ac:dyDescent="0.3">
      <c r="A209" s="348"/>
      <c r="B209" s="272" t="s">
        <v>81</v>
      </c>
      <c r="C209" s="349"/>
      <c r="D209" s="349"/>
      <c r="E209" s="349"/>
      <c r="F209" s="349"/>
      <c r="G209" s="309"/>
      <c r="H209" s="309"/>
      <c r="I209" s="309"/>
      <c r="J209" s="309"/>
      <c r="K209" s="309"/>
      <c r="L209" s="309"/>
      <c r="M209" s="309"/>
      <c r="N209" s="309"/>
      <c r="O209" s="309"/>
      <c r="P209" s="309"/>
      <c r="Q209" s="309"/>
      <c r="R209" s="304">
        <f>N65/L65</f>
        <v>7.1693542521196561E-3</v>
      </c>
      <c r="S209" s="272"/>
      <c r="T209" s="272"/>
      <c r="U209" s="340"/>
      <c r="V209" s="5"/>
    </row>
    <row r="210" spans="1:22" ht="15.6" x14ac:dyDescent="0.3">
      <c r="A210" s="348"/>
      <c r="B210" s="272" t="s">
        <v>82</v>
      </c>
      <c r="C210" s="349"/>
      <c r="D210" s="349"/>
      <c r="E210" s="349"/>
      <c r="F210" s="349"/>
      <c r="G210" s="309"/>
      <c r="H210" s="309"/>
      <c r="I210" s="309"/>
      <c r="J210" s="309"/>
      <c r="K210" s="309"/>
      <c r="L210" s="309"/>
      <c r="M210" s="309"/>
      <c r="N210" s="309"/>
      <c r="O210" s="309"/>
      <c r="P210" s="309"/>
      <c r="Q210" s="309"/>
      <c r="R210" s="304">
        <v>0.1323</v>
      </c>
      <c r="S210" s="272"/>
      <c r="T210" s="272"/>
      <c r="U210" s="340"/>
      <c r="V210" s="5"/>
    </row>
    <row r="211" spans="1:22" ht="15.6" x14ac:dyDescent="0.3">
      <c r="A211" s="210"/>
      <c r="B211" s="268"/>
      <c r="C211" s="268"/>
      <c r="D211" s="268"/>
      <c r="E211" s="268"/>
      <c r="F211" s="268"/>
      <c r="G211" s="268"/>
      <c r="H211" s="268"/>
      <c r="I211" s="268"/>
      <c r="J211" s="268"/>
      <c r="K211" s="268"/>
      <c r="L211" s="268"/>
      <c r="M211" s="268"/>
      <c r="N211" s="268"/>
      <c r="O211" s="268"/>
      <c r="P211" s="268"/>
      <c r="Q211" s="268"/>
      <c r="R211" s="344"/>
      <c r="S211" s="268"/>
      <c r="T211" s="347"/>
      <c r="U211" s="314"/>
      <c r="V211" s="5"/>
    </row>
    <row r="212" spans="1:22" ht="15.6" x14ac:dyDescent="0.3">
      <c r="A212" s="327"/>
      <c r="B212" s="259" t="s">
        <v>83</v>
      </c>
      <c r="C212" s="260"/>
      <c r="D212" s="260"/>
      <c r="E212" s="260"/>
      <c r="F212" s="261"/>
      <c r="G212" s="260"/>
      <c r="H212" s="260"/>
      <c r="I212" s="260"/>
      <c r="J212" s="260"/>
      <c r="K212" s="260"/>
      <c r="L212" s="260"/>
      <c r="M212" s="260"/>
      <c r="N212" s="260"/>
      <c r="O212" s="260"/>
      <c r="P212" s="260"/>
      <c r="Q212" s="260" t="s">
        <v>108</v>
      </c>
      <c r="R212" s="261" t="s">
        <v>115</v>
      </c>
      <c r="S212" s="262"/>
      <c r="T212" s="262"/>
      <c r="U212" s="262"/>
      <c r="V212" s="5"/>
    </row>
    <row r="213" spans="1:22" ht="15.6" x14ac:dyDescent="0.3">
      <c r="A213" s="214"/>
      <c r="B213" s="228" t="s">
        <v>84</v>
      </c>
      <c r="C213" s="231"/>
      <c r="D213" s="231"/>
      <c r="E213" s="231"/>
      <c r="F213" s="228"/>
      <c r="G213" s="228"/>
      <c r="H213" s="230"/>
      <c r="I213" s="230"/>
      <c r="J213" s="230"/>
      <c r="K213" s="230"/>
      <c r="L213" s="230"/>
      <c r="M213" s="230"/>
      <c r="N213" s="230"/>
      <c r="O213" s="230"/>
      <c r="P213" s="230"/>
      <c r="Q213" s="230">
        <v>1</v>
      </c>
      <c r="R213" s="248">
        <v>48</v>
      </c>
      <c r="S213" s="228"/>
      <c r="T213" s="247"/>
      <c r="U213" s="215"/>
      <c r="V213" s="5"/>
    </row>
    <row r="214" spans="1:22" ht="15.6" x14ac:dyDescent="0.3">
      <c r="A214" s="358"/>
      <c r="B214" s="272" t="s">
        <v>156</v>
      </c>
      <c r="C214" s="317"/>
      <c r="D214" s="317"/>
      <c r="E214" s="317"/>
      <c r="F214" s="272"/>
      <c r="G214" s="272"/>
      <c r="H214" s="279"/>
      <c r="I214" s="279"/>
      <c r="J214" s="279"/>
      <c r="K214" s="279"/>
      <c r="L214" s="279"/>
      <c r="M214" s="279"/>
      <c r="N214" s="279"/>
      <c r="O214" s="279"/>
      <c r="P214" s="279"/>
      <c r="Q214" s="359">
        <f>+P265</f>
        <v>69</v>
      </c>
      <c r="R214" s="360">
        <f>+R265</f>
        <v>10648</v>
      </c>
      <c r="S214" s="272"/>
      <c r="T214" s="361"/>
      <c r="U214" s="362"/>
      <c r="V214" s="5"/>
    </row>
    <row r="215" spans="1:22" ht="15.6" x14ac:dyDescent="0.3">
      <c r="A215" s="358"/>
      <c r="B215" s="272" t="s">
        <v>85</v>
      </c>
      <c r="C215" s="317"/>
      <c r="D215" s="317"/>
      <c r="E215" s="317"/>
      <c r="F215" s="272"/>
      <c r="G215" s="272"/>
      <c r="H215" s="279"/>
      <c r="I215" s="279"/>
      <c r="J215" s="279"/>
      <c r="K215" s="279"/>
      <c r="L215" s="279"/>
      <c r="M215" s="279"/>
      <c r="N215" s="279"/>
      <c r="O215" s="279"/>
      <c r="P215" s="279"/>
      <c r="Q215" s="359">
        <f>+P277</f>
        <v>1</v>
      </c>
      <c r="R215" s="360">
        <f>+R277</f>
        <v>175</v>
      </c>
      <c r="S215" s="272"/>
      <c r="T215" s="361"/>
      <c r="U215" s="362"/>
      <c r="V215" s="5"/>
    </row>
    <row r="216" spans="1:22" ht="15.6" x14ac:dyDescent="0.3">
      <c r="A216" s="358"/>
      <c r="B216" s="293" t="s">
        <v>86</v>
      </c>
      <c r="C216" s="363"/>
      <c r="D216" s="363"/>
      <c r="E216" s="363"/>
      <c r="F216" s="337"/>
      <c r="G216" s="337"/>
      <c r="H216" s="337"/>
      <c r="I216" s="337"/>
      <c r="J216" s="337"/>
      <c r="K216" s="337"/>
      <c r="L216" s="337"/>
      <c r="M216" s="337"/>
      <c r="N216" s="337"/>
      <c r="O216" s="337"/>
      <c r="P216" s="337"/>
      <c r="Q216" s="337"/>
      <c r="R216" s="360">
        <v>0</v>
      </c>
      <c r="S216" s="337"/>
      <c r="T216" s="364"/>
      <c r="U216" s="362"/>
      <c r="V216" s="5"/>
    </row>
    <row r="217" spans="1:22" ht="15.6" x14ac:dyDescent="0.3">
      <c r="A217" s="358"/>
      <c r="B217" s="293" t="s">
        <v>87</v>
      </c>
      <c r="C217" s="363"/>
      <c r="D217" s="363"/>
      <c r="E217" s="363"/>
      <c r="F217" s="337"/>
      <c r="G217" s="337"/>
      <c r="H217" s="337"/>
      <c r="I217" s="337"/>
      <c r="J217" s="337"/>
      <c r="K217" s="337"/>
      <c r="L217" s="337"/>
      <c r="M217" s="337"/>
      <c r="N217" s="337"/>
      <c r="O217" s="337"/>
      <c r="P217" s="337"/>
      <c r="Q217" s="337"/>
      <c r="R217" s="365" t="s">
        <v>116</v>
      </c>
      <c r="S217" s="337"/>
      <c r="T217" s="364"/>
      <c r="U217" s="362"/>
      <c r="V217" s="5"/>
    </row>
    <row r="218" spans="1:22" ht="15.6" x14ac:dyDescent="0.3">
      <c r="A218" s="366"/>
      <c r="B218" s="293" t="s">
        <v>88</v>
      </c>
      <c r="C218" s="367"/>
      <c r="D218" s="367"/>
      <c r="E218" s="367"/>
      <c r="F218" s="367"/>
      <c r="G218" s="337"/>
      <c r="H218" s="337"/>
      <c r="I218" s="337"/>
      <c r="J218" s="337"/>
      <c r="K218" s="337"/>
      <c r="L218" s="337"/>
      <c r="M218" s="337"/>
      <c r="N218" s="337"/>
      <c r="O218" s="337"/>
      <c r="P218" s="337"/>
      <c r="Q218" s="337"/>
      <c r="R218" s="368"/>
      <c r="S218" s="337"/>
      <c r="T218" s="364"/>
      <c r="U218" s="369"/>
      <c r="V218" s="5"/>
    </row>
    <row r="219" spans="1:22" ht="15.6" x14ac:dyDescent="0.3">
      <c r="A219" s="366"/>
      <c r="B219" s="272" t="s">
        <v>89</v>
      </c>
      <c r="C219" s="272"/>
      <c r="D219" s="272"/>
      <c r="E219" s="272"/>
      <c r="F219" s="272"/>
      <c r="G219" s="272"/>
      <c r="H219" s="272"/>
      <c r="I219" s="272"/>
      <c r="J219" s="272"/>
      <c r="K219" s="272"/>
      <c r="L219" s="272"/>
      <c r="M219" s="272"/>
      <c r="N219" s="272"/>
      <c r="O219" s="272"/>
      <c r="P219" s="272"/>
      <c r="Q219" s="279"/>
      <c r="R219" s="360">
        <f>T163</f>
        <v>-18</v>
      </c>
      <c r="S219" s="272"/>
      <c r="T219" s="364"/>
      <c r="U219" s="369"/>
      <c r="V219" s="5"/>
    </row>
    <row r="220" spans="1:22" ht="15.6" x14ac:dyDescent="0.3">
      <c r="A220" s="358"/>
      <c r="B220" s="272" t="s">
        <v>90</v>
      </c>
      <c r="C220" s="317"/>
      <c r="D220" s="317"/>
      <c r="E220" s="317"/>
      <c r="F220" s="317"/>
      <c r="G220" s="272"/>
      <c r="H220" s="272"/>
      <c r="I220" s="272"/>
      <c r="J220" s="272"/>
      <c r="K220" s="272"/>
      <c r="L220" s="272"/>
      <c r="M220" s="272"/>
      <c r="N220" s="272"/>
      <c r="O220" s="272"/>
      <c r="P220" s="272"/>
      <c r="Q220" s="279"/>
      <c r="R220" s="360">
        <f>'July 11'!R220+'Oct 11'!R219</f>
        <v>2164</v>
      </c>
      <c r="S220" s="272"/>
      <c r="T220" s="364"/>
      <c r="U220" s="369"/>
      <c r="V220" s="5"/>
    </row>
    <row r="221" spans="1:22" ht="15.6" x14ac:dyDescent="0.3">
      <c r="A221" s="366"/>
      <c r="B221" s="293" t="s">
        <v>288</v>
      </c>
      <c r="C221" s="367"/>
      <c r="D221" s="367"/>
      <c r="E221" s="367"/>
      <c r="F221" s="367"/>
      <c r="G221" s="337"/>
      <c r="H221" s="337"/>
      <c r="I221" s="337"/>
      <c r="J221" s="337"/>
      <c r="K221" s="337"/>
      <c r="L221" s="337"/>
      <c r="M221" s="337"/>
      <c r="N221" s="337"/>
      <c r="O221" s="337"/>
      <c r="P221" s="337"/>
      <c r="Q221" s="374"/>
      <c r="R221" s="368"/>
      <c r="S221" s="337"/>
      <c r="T221" s="364"/>
      <c r="U221" s="369"/>
      <c r="V221" s="5"/>
    </row>
    <row r="222" spans="1:22" ht="15.6" x14ac:dyDescent="0.3">
      <c r="A222" s="375"/>
      <c r="B222" s="272" t="s">
        <v>286</v>
      </c>
      <c r="C222" s="272"/>
      <c r="D222" s="272"/>
      <c r="E222" s="272"/>
      <c r="F222" s="272"/>
      <c r="G222" s="272"/>
      <c r="H222" s="272"/>
      <c r="I222" s="272"/>
      <c r="J222" s="272"/>
      <c r="K222" s="272"/>
      <c r="L222" s="272"/>
      <c r="M222" s="272"/>
      <c r="N222" s="272"/>
      <c r="O222" s="272"/>
      <c r="P222" s="272"/>
      <c r="Q222" s="279">
        <v>0</v>
      </c>
      <c r="R222" s="360">
        <v>0</v>
      </c>
      <c r="S222" s="272"/>
      <c r="T222" s="361"/>
      <c r="U222" s="369"/>
      <c r="V222" s="5"/>
    </row>
    <row r="223" spans="1:22" ht="15.6" x14ac:dyDescent="0.3">
      <c r="A223" s="376"/>
      <c r="B223" s="272" t="s">
        <v>92</v>
      </c>
      <c r="C223" s="306"/>
      <c r="D223" s="306"/>
      <c r="E223" s="306"/>
      <c r="F223" s="377"/>
      <c r="G223" s="272"/>
      <c r="H223" s="272"/>
      <c r="I223" s="272"/>
      <c r="J223" s="272"/>
      <c r="K223" s="272"/>
      <c r="L223" s="272"/>
      <c r="M223" s="272"/>
      <c r="N223" s="272"/>
      <c r="O223" s="272"/>
      <c r="P223" s="272"/>
      <c r="Q223" s="279"/>
      <c r="R223" s="365">
        <v>0</v>
      </c>
      <c r="S223" s="272"/>
      <c r="T223" s="361"/>
      <c r="U223" s="369"/>
      <c r="V223" s="5"/>
    </row>
    <row r="224" spans="1:22" ht="15.6" x14ac:dyDescent="0.3">
      <c r="A224" s="376"/>
      <c r="B224" s="272" t="s">
        <v>93</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58"/>
      <c r="B225" s="293" t="s">
        <v>258</v>
      </c>
      <c r="C225" s="378"/>
      <c r="D225" s="378"/>
      <c r="E225" s="378"/>
      <c r="F225" s="379"/>
      <c r="G225" s="337"/>
      <c r="H225" s="337"/>
      <c r="I225" s="337"/>
      <c r="J225" s="337"/>
      <c r="K225" s="337"/>
      <c r="L225" s="337"/>
      <c r="M225" s="337"/>
      <c r="N225" s="337"/>
      <c r="O225" s="337"/>
      <c r="P225" s="337"/>
      <c r="Q225" s="374"/>
      <c r="R225" s="380"/>
      <c r="S225" s="337"/>
      <c r="T225" s="364"/>
      <c r="U225" s="369"/>
      <c r="V225" s="5"/>
    </row>
    <row r="226" spans="1:23" ht="15.6" x14ac:dyDescent="0.3">
      <c r="A226" s="376"/>
      <c r="B226" s="272" t="s">
        <v>286</v>
      </c>
      <c r="C226" s="306"/>
      <c r="D226" s="306"/>
      <c r="E226" s="306"/>
      <c r="F226" s="377"/>
      <c r="G226" s="272"/>
      <c r="H226" s="272"/>
      <c r="I226" s="272"/>
      <c r="J226" s="272"/>
      <c r="K226" s="272"/>
      <c r="L226" s="272"/>
      <c r="M226" s="272"/>
      <c r="N226" s="272"/>
      <c r="O226" s="272"/>
      <c r="P226" s="272"/>
      <c r="Q226" s="279">
        <v>0</v>
      </c>
      <c r="R226" s="360">
        <v>0</v>
      </c>
      <c r="S226" s="272"/>
      <c r="T226" s="364"/>
      <c r="U226" s="369"/>
      <c r="V226" s="5"/>
    </row>
    <row r="227" spans="1:23" ht="15.6" x14ac:dyDescent="0.3">
      <c r="A227" s="376"/>
      <c r="B227" s="272" t="s">
        <v>259</v>
      </c>
      <c r="C227" s="306"/>
      <c r="D227" s="306"/>
      <c r="E227" s="306"/>
      <c r="F227" s="377"/>
      <c r="G227" s="272"/>
      <c r="H227" s="272"/>
      <c r="I227" s="272"/>
      <c r="J227" s="272"/>
      <c r="K227" s="272"/>
      <c r="L227" s="272"/>
      <c r="M227" s="272"/>
      <c r="N227" s="272"/>
      <c r="O227" s="272"/>
      <c r="P227" s="272"/>
      <c r="Q227" s="272"/>
      <c r="R227" s="365">
        <v>0</v>
      </c>
      <c r="S227" s="272"/>
      <c r="T227" s="364"/>
      <c r="U227" s="369"/>
      <c r="V227" s="5"/>
    </row>
    <row r="228" spans="1:23" ht="15.6" x14ac:dyDescent="0.3">
      <c r="A228" s="358"/>
      <c r="B228" s="367"/>
      <c r="C228" s="378"/>
      <c r="D228" s="378"/>
      <c r="E228" s="378"/>
      <c r="F228" s="379"/>
      <c r="G228" s="337"/>
      <c r="H228" s="337"/>
      <c r="I228" s="337"/>
      <c r="J228" s="337"/>
      <c r="K228" s="337"/>
      <c r="L228" s="337"/>
      <c r="M228" s="337"/>
      <c r="N228" s="337"/>
      <c r="O228" s="337"/>
      <c r="P228" s="337"/>
      <c r="Q228" s="337"/>
      <c r="R228" s="381"/>
      <c r="S228" s="337"/>
      <c r="T228" s="364"/>
      <c r="U228" s="369"/>
      <c r="V228" s="5"/>
    </row>
    <row r="229" spans="1:23" ht="17.399999999999999" x14ac:dyDescent="0.3">
      <c r="A229" s="358"/>
      <c r="B229" s="382" t="s">
        <v>208</v>
      </c>
      <c r="C229" s="378"/>
      <c r="D229" s="378"/>
      <c r="E229" s="378"/>
      <c r="F229" s="379"/>
      <c r="G229" s="337"/>
      <c r="H229" s="337"/>
      <c r="I229" s="337"/>
      <c r="J229" s="337"/>
      <c r="K229" s="337"/>
      <c r="L229" s="337"/>
      <c r="M229" s="337"/>
      <c r="N229" s="383" t="s">
        <v>207</v>
      </c>
      <c r="O229" s="337"/>
      <c r="P229" s="337"/>
      <c r="Q229" s="337"/>
      <c r="R229" s="381"/>
      <c r="S229" s="337"/>
      <c r="T229" s="364"/>
      <c r="U229" s="369"/>
      <c r="V229" s="5"/>
    </row>
    <row r="230" spans="1:23" ht="15.6" x14ac:dyDescent="0.3">
      <c r="A230" s="351"/>
      <c r="B230" s="352"/>
      <c r="C230" s="353"/>
      <c r="D230" s="353"/>
      <c r="E230" s="353"/>
      <c r="F230" s="354"/>
      <c r="G230" s="314"/>
      <c r="H230" s="314"/>
      <c r="I230" s="314"/>
      <c r="J230" s="314"/>
      <c r="K230" s="314"/>
      <c r="L230" s="314"/>
      <c r="M230" s="314"/>
      <c r="N230" s="314"/>
      <c r="O230" s="314"/>
      <c r="P230" s="314"/>
      <c r="Q230" s="314"/>
      <c r="R230" s="355"/>
      <c r="S230" s="314"/>
      <c r="T230" s="356"/>
      <c r="U230" s="357"/>
      <c r="V230" s="5"/>
    </row>
    <row r="231" spans="1:23" ht="15.6" x14ac:dyDescent="0.3">
      <c r="A231" s="258"/>
      <c r="B231" s="259" t="s">
        <v>302</v>
      </c>
      <c r="C231" s="260"/>
      <c r="D231" s="260"/>
      <c r="E231" s="260"/>
      <c r="F231" s="261"/>
      <c r="G231" s="260"/>
      <c r="H231" s="260"/>
      <c r="I231" s="260"/>
      <c r="J231" s="260"/>
      <c r="K231" s="260"/>
      <c r="L231" s="260"/>
      <c r="M231" s="260"/>
      <c r="N231" s="260"/>
      <c r="O231" s="260"/>
      <c r="P231" s="261" t="s">
        <v>108</v>
      </c>
      <c r="Q231" s="260" t="s">
        <v>109</v>
      </c>
      <c r="R231" s="261" t="s">
        <v>117</v>
      </c>
      <c r="S231" s="260" t="s">
        <v>109</v>
      </c>
      <c r="T231" s="262"/>
      <c r="U231" s="259"/>
      <c r="V231" s="5"/>
    </row>
    <row r="232" spans="1:23" ht="15.6" x14ac:dyDescent="0.3">
      <c r="A232" s="232"/>
      <c r="B232" s="231" t="s">
        <v>94</v>
      </c>
      <c r="C232" s="249"/>
      <c r="D232" s="249"/>
      <c r="E232" s="249"/>
      <c r="F232" s="228"/>
      <c r="G232" s="249"/>
      <c r="H232" s="249"/>
      <c r="I232" s="249"/>
      <c r="J232" s="249"/>
      <c r="K232" s="249"/>
      <c r="L232" s="249"/>
      <c r="M232" s="249"/>
      <c r="N232" s="249"/>
      <c r="O232" s="249"/>
      <c r="P232" s="317">
        <f t="shared" ref="P232:P239" si="1">+P244+P256+P268</f>
        <v>2580</v>
      </c>
      <c r="Q232" s="388">
        <f t="shared" ref="Q232:Q239" si="2">P232/$P$241</f>
        <v>0.98661567877629064</v>
      </c>
      <c r="R232" s="318">
        <f t="shared" ref="R232:R239" si="3">+R244+R256+R268</f>
        <v>308614</v>
      </c>
      <c r="S232" s="388">
        <f t="shared" ref="S232:S239" si="4">R232/$R$241</f>
        <v>0.98299113882925526</v>
      </c>
      <c r="T232" s="247"/>
      <c r="U232" s="229"/>
      <c r="V232" s="5"/>
    </row>
    <row r="233" spans="1:23" ht="15.6" x14ac:dyDescent="0.3">
      <c r="A233" s="302"/>
      <c r="B233" s="317" t="s">
        <v>95</v>
      </c>
      <c r="C233" s="387"/>
      <c r="D233" s="387"/>
      <c r="E233" s="387"/>
      <c r="F233" s="272"/>
      <c r="G233" s="388"/>
      <c r="H233" s="387"/>
      <c r="I233" s="387"/>
      <c r="J233" s="387"/>
      <c r="K233" s="387"/>
      <c r="L233" s="387"/>
      <c r="M233" s="387"/>
      <c r="N233" s="387"/>
      <c r="O233" s="387"/>
      <c r="P233" s="317">
        <f t="shared" si="1"/>
        <v>16</v>
      </c>
      <c r="Q233" s="388">
        <f t="shared" si="2"/>
        <v>6.1185468451242829E-3</v>
      </c>
      <c r="R233" s="318">
        <f t="shared" si="3"/>
        <v>2148</v>
      </c>
      <c r="S233" s="388">
        <f t="shared" si="4"/>
        <v>6.8417666282321616E-3</v>
      </c>
      <c r="T233" s="361"/>
      <c r="U233" s="389"/>
      <c r="V233" s="5"/>
      <c r="W233" s="110"/>
    </row>
    <row r="234" spans="1:23" ht="15.6" x14ac:dyDescent="0.3">
      <c r="A234" s="302"/>
      <c r="B234" s="317" t="s">
        <v>96</v>
      </c>
      <c r="C234" s="387"/>
      <c r="D234" s="387"/>
      <c r="E234" s="387"/>
      <c r="F234" s="272"/>
      <c r="G234" s="388"/>
      <c r="H234" s="387"/>
      <c r="I234" s="387"/>
      <c r="J234" s="387"/>
      <c r="K234" s="387"/>
      <c r="L234" s="387"/>
      <c r="M234" s="387"/>
      <c r="N234" s="387"/>
      <c r="O234" s="387"/>
      <c r="P234" s="317">
        <f t="shared" si="1"/>
        <v>0</v>
      </c>
      <c r="Q234" s="388">
        <f t="shared" si="2"/>
        <v>0</v>
      </c>
      <c r="R234" s="318">
        <f t="shared" si="3"/>
        <v>0</v>
      </c>
      <c r="S234" s="388">
        <f t="shared" si="4"/>
        <v>0</v>
      </c>
      <c r="T234" s="361"/>
      <c r="U234" s="389"/>
      <c r="V234" s="5"/>
    </row>
    <row r="235" spans="1:23" ht="15.6" x14ac:dyDescent="0.3">
      <c r="A235" s="302"/>
      <c r="B235" s="317" t="s">
        <v>171</v>
      </c>
      <c r="C235" s="387"/>
      <c r="D235" s="387"/>
      <c r="E235" s="387"/>
      <c r="F235" s="272"/>
      <c r="G235" s="388"/>
      <c r="H235" s="387"/>
      <c r="I235" s="387"/>
      <c r="J235" s="387"/>
      <c r="K235" s="387"/>
      <c r="L235" s="387"/>
      <c r="M235" s="387"/>
      <c r="N235" s="387"/>
      <c r="O235" s="387"/>
      <c r="P235" s="317">
        <f t="shared" si="1"/>
        <v>2</v>
      </c>
      <c r="Q235" s="388">
        <f t="shared" si="2"/>
        <v>7.6481835564053537E-4</v>
      </c>
      <c r="R235" s="318">
        <f t="shared" si="3"/>
        <v>95</v>
      </c>
      <c r="S235" s="388">
        <f t="shared" si="4"/>
        <v>3.0259209947954159E-4</v>
      </c>
      <c r="T235" s="361"/>
      <c r="U235" s="389"/>
      <c r="V235" s="5"/>
      <c r="W235" s="110"/>
    </row>
    <row r="236" spans="1:23" ht="15.6" x14ac:dyDescent="0.3">
      <c r="A236" s="302"/>
      <c r="B236" s="317" t="s">
        <v>172</v>
      </c>
      <c r="C236" s="387"/>
      <c r="D236" s="387"/>
      <c r="E236" s="387"/>
      <c r="F236" s="272"/>
      <c r="G236" s="388"/>
      <c r="H236" s="387"/>
      <c r="I236" s="387"/>
      <c r="J236" s="387"/>
      <c r="K236" s="387"/>
      <c r="L236" s="387"/>
      <c r="M236" s="387"/>
      <c r="N236" s="387"/>
      <c r="O236" s="387"/>
      <c r="P236" s="317">
        <f t="shared" si="1"/>
        <v>2</v>
      </c>
      <c r="Q236" s="388">
        <f t="shared" si="2"/>
        <v>7.6481835564053537E-4</v>
      </c>
      <c r="R236" s="318">
        <f t="shared" si="3"/>
        <v>348</v>
      </c>
      <c r="S236" s="388">
        <f t="shared" si="4"/>
        <v>1.1084426380934787E-3</v>
      </c>
      <c r="T236" s="361"/>
      <c r="U236" s="389"/>
      <c r="V236" s="5"/>
    </row>
    <row r="237" spans="1:23" ht="15.6" x14ac:dyDescent="0.3">
      <c r="A237" s="302"/>
      <c r="B237" s="317" t="s">
        <v>173</v>
      </c>
      <c r="C237" s="387"/>
      <c r="D237" s="387"/>
      <c r="E237" s="387"/>
      <c r="F237" s="272"/>
      <c r="G237" s="388"/>
      <c r="H237" s="387"/>
      <c r="I237" s="387"/>
      <c r="J237" s="387"/>
      <c r="K237" s="387"/>
      <c r="L237" s="387"/>
      <c r="M237" s="387"/>
      <c r="N237" s="387"/>
      <c r="O237" s="387"/>
      <c r="P237" s="317">
        <f t="shared" si="1"/>
        <v>1</v>
      </c>
      <c r="Q237" s="388">
        <f t="shared" si="2"/>
        <v>3.8240917782026768E-4</v>
      </c>
      <c r="R237" s="318">
        <f t="shared" si="3"/>
        <v>216</v>
      </c>
      <c r="S237" s="388">
        <f t="shared" si="4"/>
        <v>6.8799887881664196E-4</v>
      </c>
      <c r="T237" s="361"/>
      <c r="U237" s="389"/>
      <c r="V237" s="5"/>
      <c r="W237" s="110"/>
    </row>
    <row r="238" spans="1:23" ht="15.6" x14ac:dyDescent="0.3">
      <c r="A238" s="302"/>
      <c r="B238" s="317" t="s">
        <v>174</v>
      </c>
      <c r="C238" s="387"/>
      <c r="D238" s="387"/>
      <c r="E238" s="387"/>
      <c r="F238" s="272"/>
      <c r="G238" s="388"/>
      <c r="H238" s="387"/>
      <c r="I238" s="387"/>
      <c r="J238" s="387"/>
      <c r="K238" s="387"/>
      <c r="L238" s="387"/>
      <c r="M238" s="387"/>
      <c r="N238" s="387"/>
      <c r="O238" s="387"/>
      <c r="P238" s="317">
        <f t="shared" si="1"/>
        <v>5</v>
      </c>
      <c r="Q238" s="388">
        <f t="shared" si="2"/>
        <v>1.9120458891013384E-3</v>
      </c>
      <c r="R238" s="318">
        <f t="shared" si="3"/>
        <v>698</v>
      </c>
      <c r="S238" s="388">
        <f t="shared" si="4"/>
        <v>2.2232556361760003E-3</v>
      </c>
      <c r="T238" s="361"/>
      <c r="U238" s="389"/>
      <c r="V238" s="5"/>
    </row>
    <row r="239" spans="1:23" ht="15.6" x14ac:dyDescent="0.3">
      <c r="A239" s="302"/>
      <c r="B239" s="317" t="s">
        <v>175</v>
      </c>
      <c r="C239" s="387"/>
      <c r="D239" s="387"/>
      <c r="E239" s="387"/>
      <c r="F239" s="272"/>
      <c r="G239" s="388"/>
      <c r="H239" s="387"/>
      <c r="I239" s="387"/>
      <c r="J239" s="387"/>
      <c r="K239" s="387"/>
      <c r="L239" s="387"/>
      <c r="M239" s="387"/>
      <c r="N239" s="387"/>
      <c r="O239" s="387"/>
      <c r="P239" s="317">
        <f t="shared" si="1"/>
        <v>9</v>
      </c>
      <c r="Q239" s="388">
        <f t="shared" si="2"/>
        <v>3.4416826003824093E-3</v>
      </c>
      <c r="R239" s="318">
        <f t="shared" si="3"/>
        <v>1835</v>
      </c>
      <c r="S239" s="388">
        <f t="shared" si="4"/>
        <v>5.8448052899469352E-3</v>
      </c>
      <c r="T239" s="361"/>
      <c r="U239" s="389"/>
      <c r="V239" s="5"/>
      <c r="W239" s="110"/>
    </row>
    <row r="240" spans="1:23" ht="15.6" x14ac:dyDescent="0.3">
      <c r="A240" s="302"/>
      <c r="B240" s="317"/>
      <c r="C240" s="387"/>
      <c r="D240" s="387"/>
      <c r="E240" s="387"/>
      <c r="F240" s="272"/>
      <c r="G240" s="388"/>
      <c r="H240" s="387"/>
      <c r="I240" s="387"/>
      <c r="J240" s="387"/>
      <c r="K240" s="387"/>
      <c r="L240" s="387"/>
      <c r="M240" s="387"/>
      <c r="N240" s="387"/>
      <c r="O240" s="387"/>
      <c r="P240" s="317"/>
      <c r="Q240" s="388"/>
      <c r="R240" s="318"/>
      <c r="S240" s="388"/>
      <c r="T240" s="361"/>
      <c r="U240" s="389"/>
      <c r="V240" s="5"/>
    </row>
    <row r="241" spans="1:23" ht="15.6" x14ac:dyDescent="0.3">
      <c r="A241" s="302"/>
      <c r="B241" s="272"/>
      <c r="C241" s="272"/>
      <c r="D241" s="272"/>
      <c r="E241" s="272"/>
      <c r="F241" s="272"/>
      <c r="G241" s="272"/>
      <c r="H241" s="390"/>
      <c r="I241" s="390"/>
      <c r="J241" s="390"/>
      <c r="K241" s="390"/>
      <c r="L241" s="390"/>
      <c r="M241" s="390"/>
      <c r="N241" s="390"/>
      <c r="O241" s="390"/>
      <c r="P241" s="317">
        <f>SUM(P232:P240)</f>
        <v>2615</v>
      </c>
      <c r="Q241" s="388">
        <f>SUM(Q232:Q240)</f>
        <v>1</v>
      </c>
      <c r="R241" s="318">
        <f>SUM(R232:R240)</f>
        <v>313954</v>
      </c>
      <c r="S241" s="388">
        <f>SUM(S232:S240)</f>
        <v>1.0000000000000002</v>
      </c>
      <c r="T241" s="272"/>
      <c r="U241" s="275"/>
      <c r="V241" s="5"/>
    </row>
    <row r="242" spans="1:23" ht="15.6" x14ac:dyDescent="0.3">
      <c r="A242" s="351"/>
      <c r="B242" s="352"/>
      <c r="C242" s="353"/>
      <c r="D242" s="353"/>
      <c r="E242" s="353"/>
      <c r="F242" s="354"/>
      <c r="G242" s="314"/>
      <c r="H242" s="314"/>
      <c r="I242" s="314"/>
      <c r="J242" s="314"/>
      <c r="K242" s="314"/>
      <c r="L242" s="314"/>
      <c r="M242" s="314"/>
      <c r="N242" s="314"/>
      <c r="O242" s="314"/>
      <c r="P242" s="314"/>
      <c r="Q242" s="314"/>
      <c r="R242" s="355"/>
      <c r="S242" s="314"/>
      <c r="T242" s="356"/>
      <c r="U242" s="357"/>
      <c r="V242" s="5"/>
    </row>
    <row r="243" spans="1:23" ht="15.6" x14ac:dyDescent="0.3">
      <c r="A243" s="258"/>
      <c r="B243" s="259" t="s">
        <v>177</v>
      </c>
      <c r="C243" s="260"/>
      <c r="D243" s="260"/>
      <c r="E243" s="260"/>
      <c r="F243" s="261"/>
      <c r="G243" s="260"/>
      <c r="H243" s="260"/>
      <c r="I243" s="260"/>
      <c r="J243" s="260"/>
      <c r="K243" s="260"/>
      <c r="L243" s="260"/>
      <c r="M243" s="260"/>
      <c r="N243" s="260"/>
      <c r="O243" s="260"/>
      <c r="P243" s="261" t="s">
        <v>108</v>
      </c>
      <c r="Q243" s="260" t="s">
        <v>109</v>
      </c>
      <c r="R243" s="261" t="s">
        <v>117</v>
      </c>
      <c r="S243" s="260" t="s">
        <v>109</v>
      </c>
      <c r="T243" s="262"/>
      <c r="U243" s="259"/>
      <c r="V243" s="5"/>
    </row>
    <row r="244" spans="1:23" ht="15.6" x14ac:dyDescent="0.3">
      <c r="A244" s="232"/>
      <c r="B244" s="231" t="s">
        <v>94</v>
      </c>
      <c r="C244" s="249"/>
      <c r="D244" s="249"/>
      <c r="E244" s="249"/>
      <c r="F244" s="228"/>
      <c r="G244" s="249"/>
      <c r="H244" s="249"/>
      <c r="I244" s="249"/>
      <c r="J244" s="249"/>
      <c r="K244" s="249"/>
      <c r="L244" s="249"/>
      <c r="M244" s="249"/>
      <c r="N244" s="249"/>
      <c r="O244" s="249"/>
      <c r="P244" s="231">
        <v>2528</v>
      </c>
      <c r="Q244" s="250">
        <f t="shared" ref="Q244:Q251" si="5">P244/$P$253</f>
        <v>0.99332023575638506</v>
      </c>
      <c r="R244" s="242">
        <v>300884</v>
      </c>
      <c r="S244" s="250">
        <f t="shared" ref="S244:S251" si="6">R244/$R$253</f>
        <v>0.99258736321920227</v>
      </c>
      <c r="T244" s="247"/>
      <c r="U244" s="229"/>
      <c r="V244" s="5"/>
    </row>
    <row r="245" spans="1:23" ht="15.6" x14ac:dyDescent="0.3">
      <c r="A245" s="302"/>
      <c r="B245" s="317" t="s">
        <v>95</v>
      </c>
      <c r="C245" s="387"/>
      <c r="D245" s="387"/>
      <c r="E245" s="387"/>
      <c r="F245" s="272"/>
      <c r="G245" s="388"/>
      <c r="H245" s="387"/>
      <c r="I245" s="387"/>
      <c r="J245" s="387"/>
      <c r="K245" s="387"/>
      <c r="L245" s="387"/>
      <c r="M245" s="387"/>
      <c r="N245" s="387"/>
      <c r="O245" s="387"/>
      <c r="P245" s="317">
        <v>15</v>
      </c>
      <c r="Q245" s="388">
        <f t="shared" si="5"/>
        <v>5.893909626719057E-3</v>
      </c>
      <c r="R245" s="318">
        <v>1876</v>
      </c>
      <c r="S245" s="388">
        <f t="shared" si="6"/>
        <v>6.1887434805414157E-3</v>
      </c>
      <c r="T245" s="361"/>
      <c r="U245" s="389"/>
      <c r="V245" s="5"/>
      <c r="W245" s="110"/>
    </row>
    <row r="246" spans="1:23" ht="15.6" x14ac:dyDescent="0.3">
      <c r="A246" s="302"/>
      <c r="B246" s="317" t="s">
        <v>96</v>
      </c>
      <c r="C246" s="387"/>
      <c r="D246" s="387"/>
      <c r="E246" s="387"/>
      <c r="F246" s="272"/>
      <c r="G246" s="388"/>
      <c r="H246" s="387"/>
      <c r="I246" s="387"/>
      <c r="J246" s="387"/>
      <c r="K246" s="387"/>
      <c r="L246" s="387"/>
      <c r="M246" s="387"/>
      <c r="N246" s="387"/>
      <c r="O246" s="387"/>
      <c r="P246" s="317">
        <v>0</v>
      </c>
      <c r="Q246" s="388">
        <f t="shared" si="5"/>
        <v>0</v>
      </c>
      <c r="R246" s="318">
        <v>0</v>
      </c>
      <c r="S246" s="388">
        <f t="shared" si="6"/>
        <v>0</v>
      </c>
      <c r="T246" s="361"/>
      <c r="U246" s="389"/>
      <c r="V246" s="5"/>
    </row>
    <row r="247" spans="1:23" ht="15.6" x14ac:dyDescent="0.3">
      <c r="A247" s="302"/>
      <c r="B247" s="317" t="s">
        <v>171</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c r="W247" s="110"/>
    </row>
    <row r="248" spans="1:23" ht="15.6" x14ac:dyDescent="0.3">
      <c r="A248" s="302"/>
      <c r="B248" s="317" t="s">
        <v>172</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row>
    <row r="249" spans="1:23" ht="15.6" x14ac:dyDescent="0.3">
      <c r="A249" s="302"/>
      <c r="B249" s="317" t="s">
        <v>173</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c r="W249" s="110"/>
    </row>
    <row r="250" spans="1:23" ht="15.6" x14ac:dyDescent="0.3">
      <c r="A250" s="302"/>
      <c r="B250" s="317" t="s">
        <v>174</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row>
    <row r="251" spans="1:23" ht="15.6" x14ac:dyDescent="0.3">
      <c r="A251" s="302"/>
      <c r="B251" s="317" t="s">
        <v>175</v>
      </c>
      <c r="C251" s="387"/>
      <c r="D251" s="387"/>
      <c r="E251" s="387"/>
      <c r="F251" s="272"/>
      <c r="G251" s="388"/>
      <c r="H251" s="387"/>
      <c r="I251" s="387"/>
      <c r="J251" s="387"/>
      <c r="K251" s="387"/>
      <c r="L251" s="387"/>
      <c r="M251" s="387"/>
      <c r="N251" s="387"/>
      <c r="O251" s="387"/>
      <c r="P251" s="317">
        <v>2</v>
      </c>
      <c r="Q251" s="388">
        <f t="shared" si="5"/>
        <v>7.8585461689587423E-4</v>
      </c>
      <c r="R251" s="318">
        <v>371</v>
      </c>
      <c r="S251" s="388">
        <f t="shared" si="6"/>
        <v>1.2238933002563248E-3</v>
      </c>
      <c r="T251" s="361"/>
      <c r="U251" s="389"/>
      <c r="V251" s="5"/>
      <c r="W251" s="110"/>
    </row>
    <row r="252" spans="1:23" ht="15.6" x14ac:dyDescent="0.3">
      <c r="A252" s="302"/>
      <c r="B252" s="317"/>
      <c r="C252" s="387"/>
      <c r="D252" s="387"/>
      <c r="E252" s="387"/>
      <c r="F252" s="272"/>
      <c r="G252" s="388"/>
      <c r="H252" s="387"/>
      <c r="I252" s="387"/>
      <c r="J252" s="387"/>
      <c r="K252" s="387"/>
      <c r="L252" s="387"/>
      <c r="M252" s="387"/>
      <c r="N252" s="387"/>
      <c r="O252" s="387"/>
      <c r="P252" s="317"/>
      <c r="Q252" s="388"/>
      <c r="R252" s="318"/>
      <c r="S252" s="388"/>
      <c r="T252" s="361"/>
      <c r="U252" s="389"/>
      <c r="V252" s="5"/>
    </row>
    <row r="253" spans="1:23" ht="15.6" x14ac:dyDescent="0.3">
      <c r="A253" s="302"/>
      <c r="B253" s="272"/>
      <c r="C253" s="272"/>
      <c r="D253" s="272"/>
      <c r="E253" s="272"/>
      <c r="F253" s="272"/>
      <c r="G253" s="272"/>
      <c r="H253" s="390"/>
      <c r="I253" s="390"/>
      <c r="J253" s="390"/>
      <c r="K253" s="390"/>
      <c r="L253" s="390"/>
      <c r="M253" s="390"/>
      <c r="N253" s="390"/>
      <c r="O253" s="390"/>
      <c r="P253" s="317">
        <f>SUM(P244:P252)</f>
        <v>2545</v>
      </c>
      <c r="Q253" s="388">
        <f>SUM(Q244:Q252)</f>
        <v>1</v>
      </c>
      <c r="R253" s="318">
        <f>SUM(R244:R252)</f>
        <v>303131</v>
      </c>
      <c r="S253" s="388">
        <f>SUM(S244:S252)</f>
        <v>1</v>
      </c>
      <c r="T253" s="272"/>
      <c r="U253" s="275"/>
      <c r="V253" s="5"/>
    </row>
    <row r="254" spans="1:23" ht="15.6" x14ac:dyDescent="0.3">
      <c r="A254" s="177"/>
      <c r="B254" s="314"/>
      <c r="C254" s="314"/>
      <c r="D254" s="314"/>
      <c r="E254" s="314"/>
      <c r="F254" s="314"/>
      <c r="G254" s="314"/>
      <c r="H254" s="384"/>
      <c r="I254" s="384"/>
      <c r="J254" s="384"/>
      <c r="K254" s="384"/>
      <c r="L254" s="384"/>
      <c r="M254" s="384"/>
      <c r="N254" s="384"/>
      <c r="O254" s="384"/>
      <c r="P254" s="315"/>
      <c r="Q254" s="385"/>
      <c r="R254" s="386"/>
      <c r="S254" s="385"/>
      <c r="T254" s="314"/>
      <c r="U254" s="314"/>
      <c r="V254" s="5"/>
    </row>
    <row r="255" spans="1:23" ht="15.6" x14ac:dyDescent="0.3">
      <c r="A255" s="263"/>
      <c r="B255" s="259" t="s">
        <v>279</v>
      </c>
      <c r="C255" s="260"/>
      <c r="D255" s="260"/>
      <c r="E255" s="260"/>
      <c r="F255" s="261"/>
      <c r="G255" s="260"/>
      <c r="H255" s="260"/>
      <c r="I255" s="260"/>
      <c r="J255" s="260"/>
      <c r="K255" s="260"/>
      <c r="L255" s="260"/>
      <c r="M255" s="260"/>
      <c r="N255" s="260"/>
      <c r="O255" s="260"/>
      <c r="P255" s="261" t="s">
        <v>108</v>
      </c>
      <c r="Q255" s="260" t="s">
        <v>109</v>
      </c>
      <c r="R255" s="261" t="s">
        <v>117</v>
      </c>
      <c r="S255" s="260" t="s">
        <v>109</v>
      </c>
      <c r="T255" s="264"/>
      <c r="U255" s="265"/>
      <c r="V255" s="5"/>
    </row>
    <row r="256" spans="1:23" ht="15.6" x14ac:dyDescent="0.3">
      <c r="A256" s="232"/>
      <c r="B256" s="231" t="s">
        <v>94</v>
      </c>
      <c r="C256" s="249"/>
      <c r="D256" s="249"/>
      <c r="E256" s="249"/>
      <c r="F256" s="228"/>
      <c r="G256" s="249"/>
      <c r="H256" s="249"/>
      <c r="I256" s="249"/>
      <c r="J256" s="249"/>
      <c r="K256" s="249"/>
      <c r="L256" s="249"/>
      <c r="M256" s="249"/>
      <c r="N256" s="249"/>
      <c r="O256" s="249"/>
      <c r="P256" s="231">
        <v>52</v>
      </c>
      <c r="Q256" s="250">
        <f t="shared" ref="Q256:Q263" si="7">P256/$P$265</f>
        <v>0.75362318840579712</v>
      </c>
      <c r="R256" s="242">
        <v>7730</v>
      </c>
      <c r="S256" s="250">
        <f t="shared" ref="S256:S263" si="8">R256/$R$265</f>
        <v>0.72595792637114953</v>
      </c>
      <c r="T256" s="228"/>
      <c r="U256" s="194"/>
      <c r="V256" s="5"/>
    </row>
    <row r="257" spans="1:22" ht="15.6" x14ac:dyDescent="0.3">
      <c r="A257" s="302"/>
      <c r="B257" s="317" t="s">
        <v>95</v>
      </c>
      <c r="C257" s="387"/>
      <c r="D257" s="387"/>
      <c r="E257" s="387"/>
      <c r="F257" s="272"/>
      <c r="G257" s="388"/>
      <c r="H257" s="387"/>
      <c r="I257" s="387"/>
      <c r="J257" s="387"/>
      <c r="K257" s="387"/>
      <c r="L257" s="387"/>
      <c r="M257" s="387"/>
      <c r="N257" s="387"/>
      <c r="O257" s="387"/>
      <c r="P257" s="317">
        <v>1</v>
      </c>
      <c r="Q257" s="388">
        <f t="shared" si="7"/>
        <v>1.4492753623188406E-2</v>
      </c>
      <c r="R257" s="318">
        <v>272</v>
      </c>
      <c r="S257" s="388">
        <f t="shared" si="8"/>
        <v>2.5544703230653644E-2</v>
      </c>
      <c r="T257" s="272"/>
      <c r="U257" s="340"/>
      <c r="V257" s="5"/>
    </row>
    <row r="258" spans="1:22" ht="15.6" x14ac:dyDescent="0.3">
      <c r="A258" s="302"/>
      <c r="B258" s="317" t="s">
        <v>96</v>
      </c>
      <c r="C258" s="387"/>
      <c r="D258" s="387"/>
      <c r="E258" s="387"/>
      <c r="F258" s="272"/>
      <c r="G258" s="388"/>
      <c r="H258" s="387"/>
      <c r="I258" s="387"/>
      <c r="J258" s="387"/>
      <c r="K258" s="387"/>
      <c r="L258" s="387"/>
      <c r="M258" s="387"/>
      <c r="N258" s="387"/>
      <c r="O258" s="387"/>
      <c r="P258" s="317">
        <v>0</v>
      </c>
      <c r="Q258" s="388">
        <f t="shared" si="7"/>
        <v>0</v>
      </c>
      <c r="R258" s="318">
        <v>0</v>
      </c>
      <c r="S258" s="388">
        <f t="shared" si="8"/>
        <v>0</v>
      </c>
      <c r="T258" s="272"/>
      <c r="U258" s="340"/>
      <c r="V258" s="5"/>
    </row>
    <row r="259" spans="1:22" ht="15.6" x14ac:dyDescent="0.3">
      <c r="A259" s="302"/>
      <c r="B259" s="317" t="s">
        <v>171</v>
      </c>
      <c r="C259" s="387"/>
      <c r="D259" s="387"/>
      <c r="E259" s="387"/>
      <c r="F259" s="272"/>
      <c r="G259" s="388"/>
      <c r="H259" s="387"/>
      <c r="I259" s="387"/>
      <c r="J259" s="387"/>
      <c r="K259" s="387"/>
      <c r="L259" s="387"/>
      <c r="M259" s="387"/>
      <c r="N259" s="387"/>
      <c r="O259" s="387"/>
      <c r="P259" s="317">
        <v>2</v>
      </c>
      <c r="Q259" s="388">
        <f t="shared" si="7"/>
        <v>2.8985507246376812E-2</v>
      </c>
      <c r="R259" s="318">
        <v>95</v>
      </c>
      <c r="S259" s="388">
        <f t="shared" si="8"/>
        <v>8.9218632607062365E-3</v>
      </c>
      <c r="T259" s="272"/>
      <c r="U259" s="340"/>
      <c r="V259" s="5"/>
    </row>
    <row r="260" spans="1:22" ht="15.6" x14ac:dyDescent="0.3">
      <c r="A260" s="302"/>
      <c r="B260" s="317" t="s">
        <v>172</v>
      </c>
      <c r="C260" s="387"/>
      <c r="D260" s="387"/>
      <c r="E260" s="387"/>
      <c r="F260" s="272"/>
      <c r="G260" s="388"/>
      <c r="H260" s="387"/>
      <c r="I260" s="387"/>
      <c r="J260" s="387"/>
      <c r="K260" s="387"/>
      <c r="L260" s="387"/>
      <c r="M260" s="387"/>
      <c r="N260" s="387"/>
      <c r="O260" s="387"/>
      <c r="P260" s="317">
        <v>1</v>
      </c>
      <c r="Q260" s="388">
        <f t="shared" si="7"/>
        <v>1.4492753623188406E-2</v>
      </c>
      <c r="R260" s="318">
        <v>173</v>
      </c>
      <c r="S260" s="388">
        <f t="shared" si="8"/>
        <v>1.6247182569496619E-2</v>
      </c>
      <c r="T260" s="272"/>
      <c r="U260" s="340"/>
      <c r="V260" s="5"/>
    </row>
    <row r="261" spans="1:22" ht="15.6" x14ac:dyDescent="0.3">
      <c r="A261" s="302"/>
      <c r="B261" s="317" t="s">
        <v>173</v>
      </c>
      <c r="C261" s="387"/>
      <c r="D261" s="387"/>
      <c r="E261" s="387"/>
      <c r="F261" s="272"/>
      <c r="G261" s="388"/>
      <c r="H261" s="387"/>
      <c r="I261" s="387"/>
      <c r="J261" s="387"/>
      <c r="K261" s="387"/>
      <c r="L261" s="387"/>
      <c r="M261" s="387"/>
      <c r="N261" s="387"/>
      <c r="O261" s="387"/>
      <c r="P261" s="317">
        <v>1</v>
      </c>
      <c r="Q261" s="388">
        <f t="shared" si="7"/>
        <v>1.4492753623188406E-2</v>
      </c>
      <c r="R261" s="318">
        <v>216</v>
      </c>
      <c r="S261" s="388">
        <f t="shared" si="8"/>
        <v>2.02854996243426E-2</v>
      </c>
      <c r="T261" s="272"/>
      <c r="U261" s="340"/>
      <c r="V261" s="5"/>
    </row>
    <row r="262" spans="1:22" ht="15.6" x14ac:dyDescent="0.3">
      <c r="A262" s="302"/>
      <c r="B262" s="317" t="s">
        <v>174</v>
      </c>
      <c r="C262" s="387"/>
      <c r="D262" s="387"/>
      <c r="E262" s="387"/>
      <c r="F262" s="272"/>
      <c r="G262" s="388"/>
      <c r="H262" s="387"/>
      <c r="I262" s="387"/>
      <c r="J262" s="387"/>
      <c r="K262" s="387"/>
      <c r="L262" s="387"/>
      <c r="M262" s="387"/>
      <c r="N262" s="387"/>
      <c r="O262" s="387"/>
      <c r="P262" s="317">
        <v>5</v>
      </c>
      <c r="Q262" s="388">
        <f t="shared" si="7"/>
        <v>7.2463768115942032E-2</v>
      </c>
      <c r="R262" s="318">
        <v>698</v>
      </c>
      <c r="S262" s="388">
        <f t="shared" si="8"/>
        <v>6.5552216378662653E-2</v>
      </c>
      <c r="T262" s="272"/>
      <c r="U262" s="340"/>
      <c r="V262" s="5"/>
    </row>
    <row r="263" spans="1:22" ht="15.6" x14ac:dyDescent="0.3">
      <c r="A263" s="302"/>
      <c r="B263" s="317" t="s">
        <v>175</v>
      </c>
      <c r="C263" s="387"/>
      <c r="D263" s="387"/>
      <c r="E263" s="387"/>
      <c r="F263" s="272"/>
      <c r="G263" s="388"/>
      <c r="H263" s="387"/>
      <c r="I263" s="387"/>
      <c r="J263" s="387"/>
      <c r="K263" s="387"/>
      <c r="L263" s="387"/>
      <c r="M263" s="387"/>
      <c r="N263" s="387"/>
      <c r="O263" s="387"/>
      <c r="P263" s="317">
        <v>7</v>
      </c>
      <c r="Q263" s="388">
        <f t="shared" si="7"/>
        <v>0.10144927536231885</v>
      </c>
      <c r="R263" s="318">
        <v>1464</v>
      </c>
      <c r="S263" s="388">
        <f t="shared" si="8"/>
        <v>0.13749060856498874</v>
      </c>
      <c r="T263" s="272"/>
      <c r="U263" s="340"/>
      <c r="V263" s="5"/>
    </row>
    <row r="264" spans="1:22" ht="15.6" x14ac:dyDescent="0.3">
      <c r="A264" s="302"/>
      <c r="B264" s="317"/>
      <c r="C264" s="387"/>
      <c r="D264" s="387"/>
      <c r="E264" s="387"/>
      <c r="F264" s="272"/>
      <c r="G264" s="388"/>
      <c r="H264" s="387"/>
      <c r="I264" s="387"/>
      <c r="J264" s="387"/>
      <c r="K264" s="387"/>
      <c r="L264" s="387"/>
      <c r="M264" s="387"/>
      <c r="N264" s="387"/>
      <c r="O264" s="387"/>
      <c r="P264" s="317"/>
      <c r="Q264" s="388"/>
      <c r="R264" s="318"/>
      <c r="S264" s="388"/>
      <c r="T264" s="272"/>
      <c r="U264" s="340"/>
      <c r="V264" s="5"/>
    </row>
    <row r="265" spans="1:22" ht="15.6" x14ac:dyDescent="0.3">
      <c r="A265" s="302"/>
      <c r="B265" s="272"/>
      <c r="C265" s="272"/>
      <c r="D265" s="272"/>
      <c r="E265" s="272"/>
      <c r="F265" s="272"/>
      <c r="G265" s="272"/>
      <c r="H265" s="390"/>
      <c r="I265" s="390"/>
      <c r="J265" s="390"/>
      <c r="K265" s="390"/>
      <c r="L265" s="390"/>
      <c r="M265" s="390"/>
      <c r="N265" s="390"/>
      <c r="O265" s="390"/>
      <c r="P265" s="317">
        <f>SUM(P256:P264)</f>
        <v>69</v>
      </c>
      <c r="Q265" s="388">
        <f>SUM(Q256:Q264)</f>
        <v>0.99999999999999989</v>
      </c>
      <c r="R265" s="318">
        <f>SUM(R256:R264)</f>
        <v>10648</v>
      </c>
      <c r="S265" s="388">
        <f>SUM(S256:S264)</f>
        <v>1</v>
      </c>
      <c r="T265" s="272"/>
      <c r="U265" s="340"/>
      <c r="V265" s="5"/>
    </row>
    <row r="266" spans="1:22" ht="15.6" x14ac:dyDescent="0.3">
      <c r="A266" s="233"/>
      <c r="B266" s="268"/>
      <c r="C266" s="268"/>
      <c r="D266" s="268"/>
      <c r="E266" s="268"/>
      <c r="F266" s="268"/>
      <c r="G266" s="268"/>
      <c r="H266" s="391"/>
      <c r="I266" s="391"/>
      <c r="J266" s="391"/>
      <c r="K266" s="391"/>
      <c r="L266" s="391"/>
      <c r="M266" s="391"/>
      <c r="N266" s="391"/>
      <c r="O266" s="391"/>
      <c r="P266" s="333"/>
      <c r="Q266" s="392"/>
      <c r="R266" s="393"/>
      <c r="S266" s="392"/>
      <c r="T266" s="268"/>
      <c r="U266" s="314"/>
      <c r="V266" s="5"/>
    </row>
    <row r="267" spans="1:22" ht="15.6" x14ac:dyDescent="0.3">
      <c r="A267" s="263"/>
      <c r="B267" s="259" t="s">
        <v>179</v>
      </c>
      <c r="C267" s="264"/>
      <c r="D267" s="264"/>
      <c r="E267" s="264"/>
      <c r="F267" s="264"/>
      <c r="G267" s="264"/>
      <c r="H267" s="266"/>
      <c r="I267" s="266"/>
      <c r="J267" s="266"/>
      <c r="K267" s="266"/>
      <c r="L267" s="266"/>
      <c r="M267" s="266"/>
      <c r="N267" s="266"/>
      <c r="O267" s="266"/>
      <c r="P267" s="261" t="s">
        <v>108</v>
      </c>
      <c r="Q267" s="260" t="s">
        <v>109</v>
      </c>
      <c r="R267" s="261" t="s">
        <v>117</v>
      </c>
      <c r="S267" s="260" t="s">
        <v>109</v>
      </c>
      <c r="T267" s="264"/>
      <c r="U267" s="265"/>
      <c r="V267" s="5"/>
    </row>
    <row r="268" spans="1:22" ht="15.6" x14ac:dyDescent="0.3">
      <c r="A268" s="232"/>
      <c r="B268" s="231" t="s">
        <v>94</v>
      </c>
      <c r="C268" s="228"/>
      <c r="D268" s="228"/>
      <c r="E268" s="228"/>
      <c r="F268" s="228"/>
      <c r="G268" s="228"/>
      <c r="H268" s="251"/>
      <c r="I268" s="251"/>
      <c r="J268" s="251"/>
      <c r="K268" s="251"/>
      <c r="L268" s="251"/>
      <c r="M268" s="251"/>
      <c r="N268" s="251"/>
      <c r="O268" s="251"/>
      <c r="P268" s="231">
        <v>0</v>
      </c>
      <c r="Q268" s="250">
        <v>0</v>
      </c>
      <c r="R268" s="242">
        <v>0</v>
      </c>
      <c r="S268" s="250">
        <v>0</v>
      </c>
      <c r="T268" s="228"/>
      <c r="U268" s="194"/>
      <c r="V268" s="5"/>
    </row>
    <row r="269" spans="1:22" ht="15.6" x14ac:dyDescent="0.3">
      <c r="A269" s="302"/>
      <c r="B269" s="317" t="s">
        <v>95</v>
      </c>
      <c r="C269" s="272"/>
      <c r="D269" s="272"/>
      <c r="E269" s="272"/>
      <c r="F269" s="272"/>
      <c r="G269" s="272"/>
      <c r="H269" s="390"/>
      <c r="I269" s="390"/>
      <c r="J269" s="390"/>
      <c r="K269" s="390"/>
      <c r="L269" s="390"/>
      <c r="M269" s="390"/>
      <c r="N269" s="390"/>
      <c r="O269" s="390"/>
      <c r="P269" s="317">
        <v>0</v>
      </c>
      <c r="Q269" s="388">
        <v>0</v>
      </c>
      <c r="R269" s="318">
        <v>0</v>
      </c>
      <c r="S269" s="388">
        <v>0</v>
      </c>
      <c r="T269" s="272"/>
      <c r="U269" s="340"/>
      <c r="V269" s="5"/>
    </row>
    <row r="270" spans="1:22" ht="15.6" x14ac:dyDescent="0.3">
      <c r="A270" s="302"/>
      <c r="B270" s="317" t="s">
        <v>96</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171</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172</v>
      </c>
      <c r="C272" s="272"/>
      <c r="D272" s="272"/>
      <c r="E272" s="272"/>
      <c r="F272" s="272"/>
      <c r="G272" s="272"/>
      <c r="H272" s="390"/>
      <c r="I272" s="390"/>
      <c r="J272" s="390"/>
      <c r="K272" s="390"/>
      <c r="L272" s="390"/>
      <c r="M272" s="390"/>
      <c r="N272" s="390"/>
      <c r="O272" s="390"/>
      <c r="P272" s="317">
        <v>1</v>
      </c>
      <c r="Q272" s="388">
        <f>P272/P277</f>
        <v>1</v>
      </c>
      <c r="R272" s="318">
        <v>175</v>
      </c>
      <c r="S272" s="388">
        <f>R272/R277</f>
        <v>1</v>
      </c>
      <c r="T272" s="272"/>
      <c r="U272" s="340"/>
      <c r="V272" s="5"/>
    </row>
    <row r="273" spans="1:22" ht="15.6" x14ac:dyDescent="0.3">
      <c r="A273" s="302"/>
      <c r="B273" s="317" t="s">
        <v>173</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174</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175</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c r="C276" s="272"/>
      <c r="D276" s="272"/>
      <c r="E276" s="272"/>
      <c r="F276" s="272"/>
      <c r="G276" s="272"/>
      <c r="H276" s="390"/>
      <c r="I276" s="390"/>
      <c r="J276" s="390"/>
      <c r="K276" s="390"/>
      <c r="L276" s="390"/>
      <c r="M276" s="390"/>
      <c r="N276" s="390"/>
      <c r="O276" s="390"/>
      <c r="P276" s="317"/>
      <c r="Q276" s="388"/>
      <c r="R276" s="318"/>
      <c r="S276" s="388"/>
      <c r="T276" s="272"/>
      <c r="U276" s="340"/>
      <c r="V276" s="5"/>
    </row>
    <row r="277" spans="1:22" ht="15.6" x14ac:dyDescent="0.3">
      <c r="A277" s="302"/>
      <c r="B277" s="272" t="s">
        <v>123</v>
      </c>
      <c r="C277" s="272"/>
      <c r="D277" s="272"/>
      <c r="E277" s="272"/>
      <c r="F277" s="272"/>
      <c r="G277" s="272"/>
      <c r="H277" s="390"/>
      <c r="I277" s="390"/>
      <c r="J277" s="390"/>
      <c r="K277" s="390"/>
      <c r="L277" s="390"/>
      <c r="M277" s="390"/>
      <c r="N277" s="390"/>
      <c r="O277" s="390"/>
      <c r="P277" s="317">
        <f>SUM(P268:P275)</f>
        <v>1</v>
      </c>
      <c r="Q277" s="388">
        <f>SUM(Q268:Q275)</f>
        <v>1</v>
      </c>
      <c r="R277" s="318">
        <f>SUM(R268:R275)</f>
        <v>175</v>
      </c>
      <c r="S277" s="388">
        <f>SUM(S268:S275)</f>
        <v>1</v>
      </c>
      <c r="T277" s="272"/>
      <c r="U277" s="340"/>
      <c r="V277" s="5"/>
    </row>
    <row r="278" spans="1:22" ht="15.6" x14ac:dyDescent="0.3">
      <c r="A278" s="302"/>
      <c r="B278" s="272"/>
      <c r="C278" s="272"/>
      <c r="D278" s="272"/>
      <c r="E278" s="272"/>
      <c r="F278" s="272"/>
      <c r="G278" s="272"/>
      <c r="H278" s="390"/>
      <c r="I278" s="390"/>
      <c r="J278" s="390"/>
      <c r="K278" s="390"/>
      <c r="L278" s="390"/>
      <c r="M278" s="390"/>
      <c r="N278" s="390"/>
      <c r="O278" s="390"/>
      <c r="P278" s="317"/>
      <c r="Q278" s="388"/>
      <c r="R278" s="318"/>
      <c r="S278" s="388"/>
      <c r="T278" s="272"/>
      <c r="U278" s="340"/>
      <c r="V278" s="5"/>
    </row>
    <row r="279" spans="1:22" ht="15.6" x14ac:dyDescent="0.3">
      <c r="A279" s="302"/>
      <c r="B279" s="277" t="s">
        <v>180</v>
      </c>
      <c r="C279" s="272"/>
      <c r="D279" s="272"/>
      <c r="E279" s="272"/>
      <c r="F279" s="272"/>
      <c r="G279" s="272"/>
      <c r="H279" s="390"/>
      <c r="I279" s="390"/>
      <c r="J279" s="390"/>
      <c r="K279" s="390"/>
      <c r="L279" s="390"/>
      <c r="M279" s="390"/>
      <c r="N279" s="390"/>
      <c r="O279" s="390"/>
      <c r="P279" s="399">
        <f>+P253+P265+P277</f>
        <v>2615</v>
      </c>
      <c r="Q279" s="388"/>
      <c r="R279" s="396">
        <f>+R277+R265+R253</f>
        <v>313954</v>
      </c>
      <c r="S279" s="388"/>
      <c r="T279" s="272"/>
      <c r="U279" s="340"/>
      <c r="V279" s="5"/>
    </row>
    <row r="280" spans="1:22" ht="15.6" x14ac:dyDescent="0.3">
      <c r="A280" s="233"/>
      <c r="B280" s="268"/>
      <c r="C280" s="268"/>
      <c r="D280" s="268"/>
      <c r="E280" s="268"/>
      <c r="F280" s="268"/>
      <c r="G280" s="268"/>
      <c r="H280" s="391"/>
      <c r="I280" s="391"/>
      <c r="J280" s="391"/>
      <c r="K280" s="391"/>
      <c r="L280" s="391"/>
      <c r="M280" s="391"/>
      <c r="N280" s="391"/>
      <c r="O280" s="391"/>
      <c r="P280" s="391"/>
      <c r="Q280" s="391"/>
      <c r="R280" s="393"/>
      <c r="S280" s="391"/>
      <c r="T280" s="268"/>
      <c r="U280" s="314"/>
      <c r="V280" s="5"/>
    </row>
    <row r="281" spans="1:22" ht="15.6" x14ac:dyDescent="0.3">
      <c r="A281" s="233"/>
      <c r="B281" s="234"/>
      <c r="C281" s="234"/>
      <c r="D281" s="234"/>
      <c r="E281" s="234"/>
      <c r="F281" s="234"/>
      <c r="G281" s="234"/>
      <c r="H281" s="252"/>
      <c r="I281" s="252"/>
      <c r="J281" s="252"/>
      <c r="K281" s="252"/>
      <c r="L281" s="252"/>
      <c r="M281" s="252"/>
      <c r="N281" s="252"/>
      <c r="O281" s="252"/>
      <c r="P281" s="252"/>
      <c r="Q281" s="252"/>
      <c r="R281" s="253"/>
      <c r="S281" s="252"/>
      <c r="T281" s="234"/>
      <c r="U281" s="179"/>
      <c r="V281" s="5"/>
    </row>
    <row r="282" spans="1:22" ht="15.6" x14ac:dyDescent="0.3">
      <c r="A282" s="254"/>
      <c r="B282" s="220" t="s">
        <v>97</v>
      </c>
      <c r="C282" s="234"/>
      <c r="D282" s="234"/>
      <c r="E282" s="234"/>
      <c r="F282" s="225" t="s">
        <v>103</v>
      </c>
      <c r="G282" s="234"/>
      <c r="H282" s="220" t="s">
        <v>105</v>
      </c>
      <c r="I282" s="255"/>
      <c r="J282" s="255"/>
      <c r="K282" s="255"/>
      <c r="L282" s="255"/>
      <c r="M282" s="255"/>
      <c r="N282" s="255"/>
      <c r="O282" s="255"/>
      <c r="P282" s="255"/>
      <c r="Q282" s="255"/>
      <c r="R282" s="255"/>
      <c r="S282" s="255"/>
      <c r="T282" s="255"/>
      <c r="U282" s="192"/>
      <c r="V282" s="5"/>
    </row>
    <row r="283" spans="1:22" ht="15.6" x14ac:dyDescent="0.3">
      <c r="A283" s="254"/>
      <c r="B283" s="255"/>
      <c r="C283" s="234"/>
      <c r="D283" s="234"/>
      <c r="E283" s="234"/>
      <c r="F283" s="234"/>
      <c r="G283" s="234"/>
      <c r="H283" s="234"/>
      <c r="I283" s="255"/>
      <c r="J283" s="255"/>
      <c r="K283" s="255"/>
      <c r="L283" s="255"/>
      <c r="M283" s="255"/>
      <c r="N283" s="255"/>
      <c r="O283" s="255"/>
      <c r="P283" s="255"/>
      <c r="Q283" s="255"/>
      <c r="R283" s="255"/>
      <c r="S283" s="255"/>
      <c r="T283" s="255"/>
      <c r="U283" s="192"/>
      <c r="V283" s="5"/>
    </row>
    <row r="284" spans="1:22" ht="15.6" x14ac:dyDescent="0.3">
      <c r="A284" s="254"/>
      <c r="B284" s="220" t="s">
        <v>98</v>
      </c>
      <c r="C284" s="220"/>
      <c r="D284" s="220"/>
      <c r="E284" s="220"/>
      <c r="F284" s="256" t="s">
        <v>159</v>
      </c>
      <c r="G284" s="220"/>
      <c r="H284" s="220" t="s">
        <v>167</v>
      </c>
      <c r="I284" s="255"/>
      <c r="J284" s="255"/>
      <c r="K284" s="255"/>
      <c r="L284" s="255"/>
      <c r="M284" s="255"/>
      <c r="N284" s="255"/>
      <c r="O284" s="255"/>
      <c r="P284" s="255"/>
      <c r="Q284" s="255"/>
      <c r="R284" s="255"/>
      <c r="S284" s="255"/>
      <c r="T284" s="255"/>
      <c r="U284" s="192"/>
      <c r="V284" s="5"/>
    </row>
    <row r="285" spans="1:22" ht="15.6" x14ac:dyDescent="0.3">
      <c r="A285" s="254"/>
      <c r="B285" s="220" t="s">
        <v>273</v>
      </c>
      <c r="C285" s="220"/>
      <c r="D285" s="220"/>
      <c r="E285" s="220"/>
      <c r="F285" s="256" t="s">
        <v>274</v>
      </c>
      <c r="G285" s="220"/>
      <c r="H285" s="220" t="s">
        <v>275</v>
      </c>
      <c r="I285" s="255"/>
      <c r="J285" s="255"/>
      <c r="K285" s="255"/>
      <c r="L285" s="255"/>
      <c r="M285" s="255"/>
      <c r="N285" s="255"/>
      <c r="O285" s="255"/>
      <c r="P285" s="255"/>
      <c r="Q285" s="255"/>
      <c r="R285" s="255"/>
      <c r="S285" s="255"/>
      <c r="T285" s="255"/>
      <c r="U285" s="192"/>
      <c r="V285" s="5"/>
    </row>
    <row r="286" spans="1:22" ht="15.6" x14ac:dyDescent="0.3">
      <c r="A286" s="254"/>
      <c r="B286" s="220" t="s">
        <v>99</v>
      </c>
      <c r="C286" s="220"/>
      <c r="D286" s="220"/>
      <c r="E286" s="220"/>
      <c r="F286" s="256" t="s">
        <v>158</v>
      </c>
      <c r="G286" s="220"/>
      <c r="H286" s="220" t="s">
        <v>168</v>
      </c>
      <c r="I286" s="255"/>
      <c r="J286" s="255"/>
      <c r="K286" s="255"/>
      <c r="L286" s="255"/>
      <c r="M286" s="255"/>
      <c r="N286" s="255"/>
      <c r="O286" s="255"/>
      <c r="P286" s="255"/>
      <c r="Q286" s="255"/>
      <c r="R286" s="255"/>
      <c r="S286" s="255"/>
      <c r="T286" s="255"/>
      <c r="U286" s="192"/>
      <c r="V286" s="5"/>
    </row>
    <row r="287" spans="1:22" ht="15.6" x14ac:dyDescent="0.3">
      <c r="A287" s="254"/>
      <c r="B287" s="220"/>
      <c r="C287" s="220"/>
      <c r="D287" s="220"/>
      <c r="E287" s="220"/>
      <c r="F287" s="220"/>
      <c r="G287" s="257"/>
      <c r="H287" s="255"/>
      <c r="I287" s="255"/>
      <c r="J287" s="255"/>
      <c r="K287" s="255"/>
      <c r="L287" s="255"/>
      <c r="M287" s="255"/>
      <c r="N287" s="255"/>
      <c r="O287" s="255"/>
      <c r="P287" s="255"/>
      <c r="Q287" s="255"/>
      <c r="R287" s="255"/>
      <c r="S287" s="255"/>
      <c r="T287" s="255"/>
      <c r="U287" s="192"/>
      <c r="V287" s="5"/>
    </row>
    <row r="288" spans="1:22" ht="15.6" x14ac:dyDescent="0.3">
      <c r="A288" s="216"/>
      <c r="B288" s="185"/>
      <c r="C288" s="185"/>
      <c r="D288" s="185"/>
      <c r="E288" s="185"/>
      <c r="F288" s="185"/>
      <c r="G288" s="217"/>
      <c r="H288" s="192"/>
      <c r="I288" s="192"/>
      <c r="J288" s="192"/>
      <c r="K288" s="192"/>
      <c r="L288" s="192"/>
      <c r="M288" s="192"/>
      <c r="N288" s="192"/>
      <c r="O288" s="192"/>
      <c r="P288" s="192"/>
      <c r="Q288" s="192"/>
      <c r="R288" s="192"/>
      <c r="S288" s="192"/>
      <c r="T288" s="192"/>
      <c r="U288" s="192"/>
      <c r="V288" s="5"/>
    </row>
    <row r="289" spans="1:22" ht="18" thickBot="1" x14ac:dyDescent="0.35">
      <c r="A289" s="216"/>
      <c r="B289" s="267" t="str">
        <f>B194</f>
        <v>PM9 INVESTOR REPORT QUARTER ENDING OCTOBER 2011</v>
      </c>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x14ac:dyDescent="0.25">
      <c r="A290" s="101"/>
      <c r="B290" s="101"/>
      <c r="C290" s="101"/>
      <c r="D290" s="101"/>
      <c r="E290" s="101"/>
      <c r="F290" s="101"/>
      <c r="G290" s="101"/>
      <c r="H290" s="101"/>
      <c r="I290" s="101"/>
      <c r="J290" s="101"/>
      <c r="K290" s="101"/>
      <c r="L290" s="101"/>
      <c r="M290" s="101"/>
      <c r="N290" s="101"/>
      <c r="O290" s="101"/>
      <c r="P290" s="101"/>
      <c r="Q290" s="101"/>
      <c r="R290" s="101"/>
      <c r="S290" s="101"/>
      <c r="T290" s="101"/>
      <c r="U290" s="101"/>
    </row>
  </sheetData>
  <phoneticPr fontId="0" type="noConversion"/>
  <hyperlinks>
    <hyperlink ref="J9" r:id="rId1" xr:uid="{00000000-0004-0000-1800-000000000000}"/>
    <hyperlink ref="N229" r:id="rId2" xr:uid="{00000000-0004-0000-18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1" man="1"/>
    <brk id="133" max="14" man="1"/>
    <brk id="194" max="14" man="1"/>
  </rowBreak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2D2926"/>
  </sheetPr>
  <dimension ref="A1:W290"/>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0.72009999999999996</v>
      </c>
      <c r="R16" s="225" t="s">
        <v>149</v>
      </c>
      <c r="S16" s="224">
        <v>0.27989999999999998</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40955</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150</v>
      </c>
      <c r="E25" s="398"/>
      <c r="F25" s="398" t="s">
        <v>150</v>
      </c>
      <c r="G25" s="398"/>
      <c r="H25" s="398" t="s">
        <v>150</v>
      </c>
      <c r="I25" s="398"/>
      <c r="J25" s="398" t="s">
        <v>192</v>
      </c>
      <c r="K25" s="398"/>
      <c r="L25" s="398" t="s">
        <v>192</v>
      </c>
      <c r="M25" s="398"/>
      <c r="N25" s="398" t="s">
        <v>151</v>
      </c>
      <c r="O25" s="398"/>
      <c r="P25" s="398" t="s">
        <v>151</v>
      </c>
      <c r="Q25" s="398"/>
      <c r="R25" s="273"/>
      <c r="S25" s="274"/>
      <c r="T25" s="274"/>
      <c r="U25" s="275"/>
      <c r="V25" s="5"/>
    </row>
    <row r="26" spans="1:22" ht="15.6" x14ac:dyDescent="0.3">
      <c r="A26" s="276"/>
      <c r="B26" s="277" t="s">
        <v>10</v>
      </c>
      <c r="C26" s="398"/>
      <c r="D26" s="398" t="s">
        <v>307</v>
      </c>
      <c r="E26" s="398"/>
      <c r="F26" s="398" t="s">
        <v>307</v>
      </c>
      <c r="G26" s="398"/>
      <c r="H26" s="398" t="s">
        <v>307</v>
      </c>
      <c r="I26" s="398"/>
      <c r="J26" s="398" t="s">
        <v>307</v>
      </c>
      <c r="K26" s="398"/>
      <c r="L26" s="398" t="s">
        <v>307</v>
      </c>
      <c r="M26" s="398"/>
      <c r="N26" s="398" t="s">
        <v>153</v>
      </c>
      <c r="O26" s="398"/>
      <c r="P26" s="398" t="s">
        <v>153</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136393.96119999999</v>
      </c>
      <c r="E30" s="280"/>
      <c r="F30" s="282">
        <f>F29*F36</f>
        <v>139941.78099999999</v>
      </c>
      <c r="G30" s="281"/>
      <c r="H30" s="283">
        <f>H29*H36</f>
        <v>23652.072</v>
      </c>
      <c r="I30" s="281"/>
      <c r="J30" s="281">
        <f>J29*J36</f>
        <v>6279.0713999999998</v>
      </c>
      <c r="K30" s="281"/>
      <c r="L30" s="282">
        <f>L29*L36</f>
        <v>26461.800899999998</v>
      </c>
      <c r="M30" s="281"/>
      <c r="N30" s="284">
        <f>N29*N36</f>
        <v>2691.0306</v>
      </c>
      <c r="O30" s="281"/>
      <c r="P30" s="282">
        <f>P29*P36</f>
        <v>59202.673199999997</v>
      </c>
      <c r="Q30" s="281"/>
      <c r="R30" s="281"/>
      <c r="S30" s="285"/>
      <c r="T30" s="281"/>
      <c r="U30" s="286"/>
      <c r="V30" s="5"/>
    </row>
    <row r="31" spans="1:22" ht="15.6" x14ac:dyDescent="0.3">
      <c r="A31" s="276"/>
      <c r="B31" s="277" t="s">
        <v>143</v>
      </c>
      <c r="C31" s="287"/>
      <c r="D31" s="288">
        <f>D35*D29</f>
        <v>135660.6488</v>
      </c>
      <c r="E31" s="287"/>
      <c r="F31" s="289">
        <f>F35*F29</f>
        <v>139189.394</v>
      </c>
      <c r="G31" s="288"/>
      <c r="H31" s="290">
        <f>H35*H29</f>
        <v>23524.907999999999</v>
      </c>
      <c r="I31" s="288"/>
      <c r="J31" s="288">
        <f>J35*J29</f>
        <v>6245.3117999999995</v>
      </c>
      <c r="K31" s="288"/>
      <c r="L31" s="289">
        <f>L35*L29</f>
        <v>26319.528299999998</v>
      </c>
      <c r="M31" s="288"/>
      <c r="N31" s="291">
        <f>N35*N29</f>
        <v>2676.5621999999998</v>
      </c>
      <c r="O31" s="288"/>
      <c r="P31" s="289">
        <f>P35*P29</f>
        <v>58884.368399999999</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136393.96119999999</v>
      </c>
      <c r="E33" s="280"/>
      <c r="F33" s="281">
        <f>F32*F36</f>
        <v>96382.437900000004</v>
      </c>
      <c r="G33" s="281"/>
      <c r="H33" s="281">
        <f>H32*H36</f>
        <v>13363.420679999999</v>
      </c>
      <c r="I33" s="281"/>
      <c r="J33" s="281">
        <f>J32*J36</f>
        <v>6279.0713999999998</v>
      </c>
      <c r="K33" s="281"/>
      <c r="L33" s="281">
        <f>L32*L36</f>
        <v>18209.307059999999</v>
      </c>
      <c r="M33" s="281"/>
      <c r="N33" s="281">
        <f>N32*N36</f>
        <v>2691.0306</v>
      </c>
      <c r="O33" s="281"/>
      <c r="P33" s="281">
        <f>P32*P36</f>
        <v>40634.562059999997</v>
      </c>
      <c r="Q33" s="281"/>
      <c r="R33" s="281"/>
      <c r="S33" s="285"/>
      <c r="T33" s="281">
        <f>SUM(C33:P33)</f>
        <v>313953.79090000002</v>
      </c>
      <c r="U33" s="286"/>
      <c r="V33" s="5"/>
    </row>
    <row r="34" spans="1:22" ht="15.6" x14ac:dyDescent="0.3">
      <c r="A34" s="276"/>
      <c r="B34" s="277" t="s">
        <v>291</v>
      </c>
      <c r="C34" s="287"/>
      <c r="D34" s="288">
        <f>D35*D32</f>
        <v>135660.6488</v>
      </c>
      <c r="E34" s="287"/>
      <c r="F34" s="288">
        <f>F35*F32</f>
        <v>95864.244600000005</v>
      </c>
      <c r="G34" s="288"/>
      <c r="H34" s="288">
        <f>H35*H32</f>
        <v>13291.57302</v>
      </c>
      <c r="I34" s="288"/>
      <c r="J34" s="288">
        <f>J35*J32</f>
        <v>6245.3117999999995</v>
      </c>
      <c r="K34" s="288"/>
      <c r="L34" s="288">
        <f>L35*L32</f>
        <v>18111.40422</v>
      </c>
      <c r="M34" s="288"/>
      <c r="N34" s="288">
        <f>N35*N32</f>
        <v>2676.5621999999998</v>
      </c>
      <c r="O34" s="288"/>
      <c r="P34" s="288">
        <f>P35*P32</f>
        <v>40416.089220000002</v>
      </c>
      <c r="Q34" s="288"/>
      <c r="R34" s="288"/>
      <c r="S34" s="292"/>
      <c r="T34" s="288">
        <f>SUM(C34:P34)</f>
        <v>312265.83386000001</v>
      </c>
      <c r="U34" s="286"/>
      <c r="V34" s="5"/>
    </row>
    <row r="35" spans="1:22" ht="15.6" x14ac:dyDescent="0.3">
      <c r="A35" s="276"/>
      <c r="B35" s="293" t="s">
        <v>139</v>
      </c>
      <c r="C35" s="294"/>
      <c r="D35" s="295">
        <v>0.39208280000000001</v>
      </c>
      <c r="E35" s="296"/>
      <c r="F35" s="295">
        <v>0.39208280000000001</v>
      </c>
      <c r="G35" s="295"/>
      <c r="H35" s="295">
        <v>0.39208179999999998</v>
      </c>
      <c r="I35" s="297"/>
      <c r="J35" s="295">
        <v>0.89218739999999996</v>
      </c>
      <c r="K35" s="297"/>
      <c r="L35" s="295">
        <v>0.89218739999999996</v>
      </c>
      <c r="M35" s="297"/>
      <c r="N35" s="295">
        <v>0.89218739999999996</v>
      </c>
      <c r="O35" s="297"/>
      <c r="P35" s="295">
        <v>0.89218739999999996</v>
      </c>
      <c r="Q35" s="298"/>
      <c r="R35" s="298"/>
      <c r="S35" s="299"/>
      <c r="T35" s="298"/>
      <c r="U35" s="300"/>
      <c r="V35" s="5"/>
    </row>
    <row r="36" spans="1:22" ht="15.6" x14ac:dyDescent="0.3">
      <c r="A36" s="276"/>
      <c r="B36" s="293" t="s">
        <v>140</v>
      </c>
      <c r="C36" s="294"/>
      <c r="D36" s="295">
        <v>0.3942022</v>
      </c>
      <c r="E36" s="296"/>
      <c r="F36" s="295">
        <v>0.3942022</v>
      </c>
      <c r="G36" s="295"/>
      <c r="H36" s="295">
        <v>0.39420119999999997</v>
      </c>
      <c r="I36" s="297"/>
      <c r="J36" s="295">
        <v>0.89701019999999998</v>
      </c>
      <c r="K36" s="297"/>
      <c r="L36" s="295">
        <v>0.89701019999999998</v>
      </c>
      <c r="M36" s="297"/>
      <c r="N36" s="295">
        <v>0.89701019999999998</v>
      </c>
      <c r="O36" s="297"/>
      <c r="P36" s="295">
        <v>0.89701019999999998</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1.3676300000000001E-2</v>
      </c>
      <c r="E38" s="272"/>
      <c r="F38" s="303">
        <v>1.822E-2</v>
      </c>
      <c r="G38" s="304"/>
      <c r="H38" s="303">
        <v>8.1721999999999993E-3</v>
      </c>
      <c r="I38" s="304"/>
      <c r="J38" s="303">
        <v>1.5876299999999999E-2</v>
      </c>
      <c r="K38" s="304"/>
      <c r="L38" s="303">
        <v>2.0420000000000001E-2</v>
      </c>
      <c r="M38" s="304"/>
      <c r="N38" s="303">
        <v>2.0476299999999999E-2</v>
      </c>
      <c r="O38" s="304"/>
      <c r="P38" s="303">
        <v>2.5020000000000001E-2</v>
      </c>
      <c r="Q38" s="304"/>
      <c r="R38" s="303"/>
      <c r="S38" s="274"/>
      <c r="T38" s="304"/>
      <c r="U38" s="275"/>
      <c r="V38" s="5"/>
    </row>
    <row r="39" spans="1:22" ht="15.6" x14ac:dyDescent="0.3">
      <c r="A39" s="302"/>
      <c r="B39" s="272" t="s">
        <v>14</v>
      </c>
      <c r="C39" s="272"/>
      <c r="D39" s="303">
        <v>1.21219E-2</v>
      </c>
      <c r="E39" s="272"/>
      <c r="F39" s="303">
        <v>1.8950000000000002E-2</v>
      </c>
      <c r="G39" s="304"/>
      <c r="H39" s="303">
        <v>6.4616999999999999E-3</v>
      </c>
      <c r="I39" s="304"/>
      <c r="J39" s="303">
        <v>1.43219E-2</v>
      </c>
      <c r="K39" s="304"/>
      <c r="L39" s="303">
        <v>2.1149999999999999E-2</v>
      </c>
      <c r="M39" s="304"/>
      <c r="N39" s="303">
        <v>1.8921899999999998E-2</v>
      </c>
      <c r="O39" s="304"/>
      <c r="P39" s="303">
        <v>2.5749999999999999E-2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1.3676300000000001E-2</v>
      </c>
      <c r="E41" s="272"/>
      <c r="F41" s="303">
        <v>1.3876299999999999E-2</v>
      </c>
      <c r="G41" s="304"/>
      <c r="H41" s="303">
        <v>1.4136299999999999E-2</v>
      </c>
      <c r="I41" s="304"/>
      <c r="J41" s="303">
        <f>+J38</f>
        <v>1.5876299999999999E-2</v>
      </c>
      <c r="K41" s="304"/>
      <c r="L41" s="303">
        <v>1.64663E-2</v>
      </c>
      <c r="M41" s="304"/>
      <c r="N41" s="303">
        <f>+N38</f>
        <v>2.0476299999999999E-2</v>
      </c>
      <c r="O41" s="304"/>
      <c r="P41" s="303">
        <v>2.1356300000000002E-2</v>
      </c>
      <c r="Q41" s="304"/>
      <c r="R41" s="303"/>
      <c r="S41" s="274"/>
      <c r="T41" s="304">
        <f>SUMPRODUCT(D41:P41,D33:P33)/T33</f>
        <v>1.5015395248271453E-2</v>
      </c>
      <c r="U41" s="275"/>
      <c r="V41" s="5"/>
    </row>
    <row r="42" spans="1:22" ht="15.6" x14ac:dyDescent="0.3">
      <c r="A42" s="302"/>
      <c r="B42" s="272" t="s">
        <v>294</v>
      </c>
      <c r="C42" s="272"/>
      <c r="D42" s="303">
        <f>+D39</f>
        <v>1.21219E-2</v>
      </c>
      <c r="E42" s="272"/>
      <c r="F42" s="303">
        <v>1.23219E-2</v>
      </c>
      <c r="G42" s="304"/>
      <c r="H42" s="303">
        <v>1.25819E-2</v>
      </c>
      <c r="I42" s="304"/>
      <c r="J42" s="303">
        <f>+J39</f>
        <v>1.43219E-2</v>
      </c>
      <c r="K42" s="304"/>
      <c r="L42" s="303">
        <v>1.4911900000000001E-2</v>
      </c>
      <c r="M42" s="304"/>
      <c r="N42" s="303">
        <f>+N39</f>
        <v>1.8921899999999998E-2</v>
      </c>
      <c r="O42" s="304"/>
      <c r="P42" s="303">
        <v>1.9801900000000001E-2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0.27550992964781146</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40954</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92</v>
      </c>
      <c r="Q54" s="272"/>
      <c r="R54" s="312">
        <v>40770</v>
      </c>
      <c r="S54" s="313"/>
      <c r="T54" s="312">
        <v>40861</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92</v>
      </c>
      <c r="Q55" s="272"/>
      <c r="R55" s="312">
        <v>40862</v>
      </c>
      <c r="S55" s="313"/>
      <c r="T55" s="312">
        <v>40953</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40940</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310</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313954</v>
      </c>
      <c r="M65" s="317"/>
      <c r="N65" s="317">
        <f>1688+207+199</f>
        <v>2094</v>
      </c>
      <c r="O65" s="317"/>
      <c r="P65" s="317">
        <f>207+199</f>
        <v>406</v>
      </c>
      <c r="Q65" s="317"/>
      <c r="R65" s="317">
        <v>0</v>
      </c>
      <c r="S65" s="317"/>
      <c r="T65" s="318">
        <f>+L65-N65+P65-R65</f>
        <v>312266</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313954</v>
      </c>
      <c r="M68" s="317"/>
      <c r="N68" s="317">
        <f>SUM(N65:N67)</f>
        <v>2094</v>
      </c>
      <c r="O68" s="317"/>
      <c r="P68" s="317">
        <f>SUM(P65:P67)</f>
        <v>406</v>
      </c>
      <c r="Q68" s="317"/>
      <c r="R68" s="317">
        <f>SUM(R65:R67)</f>
        <v>0</v>
      </c>
      <c r="S68" s="317"/>
      <c r="T68" s="317">
        <f>SUM(T65:T67)</f>
        <v>312266</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313954</v>
      </c>
      <c r="M81" s="317"/>
      <c r="N81" s="317"/>
      <c r="O81" s="317"/>
      <c r="P81" s="317"/>
      <c r="Q81" s="317"/>
      <c r="R81" s="317"/>
      <c r="S81" s="317"/>
      <c r="T81" s="317">
        <f>SUM(T68:T80)</f>
        <v>312266</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+R195</f>
        <v>40939</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2094-120</f>
        <v>1974</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2180+869-609-231</f>
        <v>2209</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16+28</f>
        <v>44</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25</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174</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1974</v>
      </c>
      <c r="S93" s="272"/>
      <c r="T93" s="317">
        <f>SUM(T85:T92)</f>
        <v>2452</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-1</v>
      </c>
      <c r="S94" s="272"/>
      <c r="T94" s="317">
        <f>-R94</f>
        <v>1</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-34</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1973</v>
      </c>
      <c r="S97" s="272"/>
      <c r="T97" s="317">
        <f>T93+T95+T94+T96</f>
        <v>2419</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160</v>
      </c>
      <c r="C101" s="272"/>
      <c r="D101" s="272"/>
      <c r="E101" s="272"/>
      <c r="F101" s="272"/>
      <c r="G101" s="272"/>
      <c r="H101" s="272"/>
      <c r="I101" s="272"/>
      <c r="J101" s="272"/>
      <c r="K101" s="272"/>
      <c r="L101" s="272"/>
      <c r="M101" s="272"/>
      <c r="N101" s="272"/>
      <c r="O101" s="272"/>
      <c r="P101" s="272"/>
      <c r="Q101" s="272"/>
      <c r="R101" s="272"/>
      <c r="S101" s="272"/>
      <c r="T101" s="318">
        <f>-120-135-4</f>
        <v>-259</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-49</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-1</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-470</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-337</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-48</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-25</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-76</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-14</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-219</v>
      </c>
      <c r="U110" s="340"/>
      <c r="V110" s="5"/>
      <c r="W110" s="110"/>
    </row>
    <row r="111" spans="1:23" ht="15.6" x14ac:dyDescent="0.3">
      <c r="A111" s="302">
        <v>7</v>
      </c>
      <c r="B111" s="272" t="s">
        <v>38</v>
      </c>
      <c r="C111" s="272"/>
      <c r="D111" s="272"/>
      <c r="E111" s="272"/>
      <c r="F111" s="272"/>
      <c r="G111" s="272"/>
      <c r="H111" s="272"/>
      <c r="I111" s="272"/>
      <c r="J111" s="272"/>
      <c r="K111" s="272"/>
      <c r="L111" s="272"/>
      <c r="M111" s="272"/>
      <c r="N111" s="272"/>
      <c r="O111" s="272"/>
      <c r="P111" s="272"/>
      <c r="Q111" s="272"/>
      <c r="R111" s="272"/>
      <c r="S111" s="272"/>
      <c r="T111" s="318">
        <v>-8</v>
      </c>
      <c r="U111" s="340"/>
      <c r="V111" s="5"/>
    </row>
    <row r="112" spans="1:23" ht="15.6" x14ac:dyDescent="0.3">
      <c r="A112" s="302">
        <f t="shared" ref="A112:A117" si="0">+A111+1</f>
        <v>8</v>
      </c>
      <c r="B112" s="272" t="s">
        <v>49</v>
      </c>
      <c r="C112" s="272"/>
      <c r="D112" s="272"/>
      <c r="E112" s="272"/>
      <c r="F112" s="272"/>
      <c r="G112" s="272"/>
      <c r="H112" s="272"/>
      <c r="I112" s="272"/>
      <c r="J112" s="272"/>
      <c r="K112" s="272"/>
      <c r="L112" s="272"/>
      <c r="M112" s="272"/>
      <c r="N112" s="272"/>
      <c r="O112" s="272"/>
      <c r="P112" s="272"/>
      <c r="Q112" s="272"/>
      <c r="R112" s="317">
        <f>-T112</f>
        <v>120</v>
      </c>
      <c r="S112" s="272"/>
      <c r="T112" s="318">
        <v>-120</v>
      </c>
      <c r="U112" s="340"/>
      <c r="V112" s="5"/>
    </row>
    <row r="113" spans="1:22" ht="15.6" x14ac:dyDescent="0.3">
      <c r="A113" s="302">
        <f t="shared" si="0"/>
        <v>9</v>
      </c>
      <c r="B113" s="272" t="s">
        <v>134</v>
      </c>
      <c r="C113" s="272"/>
      <c r="D113" s="272"/>
      <c r="E113" s="272"/>
      <c r="F113" s="272"/>
      <c r="G113" s="272"/>
      <c r="H113" s="272"/>
      <c r="I113" s="272"/>
      <c r="J113" s="272"/>
      <c r="K113" s="272"/>
      <c r="L113" s="272"/>
      <c r="M113" s="272"/>
      <c r="N113" s="272"/>
      <c r="O113" s="272"/>
      <c r="P113" s="272"/>
      <c r="Q113" s="272"/>
      <c r="R113" s="272"/>
      <c r="S113" s="272"/>
      <c r="T113" s="318">
        <v>0</v>
      </c>
      <c r="U113" s="340"/>
      <c r="V113" s="5"/>
    </row>
    <row r="114" spans="1:22" ht="15.6" x14ac:dyDescent="0.3">
      <c r="A114" s="302">
        <f t="shared" si="0"/>
        <v>10</v>
      </c>
      <c r="B114" s="272" t="s">
        <v>39</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40</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161</v>
      </c>
      <c r="C116" s="272"/>
      <c r="D116" s="272"/>
      <c r="E116" s="272"/>
      <c r="F116" s="272"/>
      <c r="G116" s="272"/>
      <c r="H116" s="272"/>
      <c r="I116" s="272"/>
      <c r="J116" s="272"/>
      <c r="K116" s="272"/>
      <c r="L116" s="272"/>
      <c r="M116" s="272"/>
      <c r="N116" s="272"/>
      <c r="O116" s="272"/>
      <c r="P116" s="272"/>
      <c r="Q116" s="272"/>
      <c r="R116" s="272"/>
      <c r="S116" s="272"/>
      <c r="T116" s="318">
        <v>-120</v>
      </c>
      <c r="U116" s="340"/>
      <c r="V116" s="5"/>
    </row>
    <row r="117" spans="1:22" ht="15.6" x14ac:dyDescent="0.3">
      <c r="A117" s="302">
        <f t="shared" si="0"/>
        <v>13</v>
      </c>
      <c r="B117" s="272" t="s">
        <v>135</v>
      </c>
      <c r="C117" s="272"/>
      <c r="D117" s="272"/>
      <c r="E117" s="272"/>
      <c r="F117" s="272"/>
      <c r="G117" s="272"/>
      <c r="H117" s="272"/>
      <c r="I117" s="272"/>
      <c r="J117" s="272"/>
      <c r="K117" s="272"/>
      <c r="L117" s="272"/>
      <c r="M117" s="272"/>
      <c r="N117" s="272"/>
      <c r="O117" s="272"/>
      <c r="P117" s="272"/>
      <c r="Q117" s="272"/>
      <c r="R117" s="272"/>
      <c r="S117" s="272"/>
      <c r="T117" s="318">
        <f>-T97-SUM(T99:T116)</f>
        <v>-671</v>
      </c>
      <c r="U117" s="340"/>
      <c r="V117" s="5"/>
    </row>
    <row r="118" spans="1:22" ht="15.6" x14ac:dyDescent="0.3">
      <c r="A118" s="271"/>
      <c r="B118" s="336" t="s">
        <v>41</v>
      </c>
      <c r="C118" s="337"/>
      <c r="D118" s="337"/>
      <c r="E118" s="337"/>
      <c r="F118" s="337"/>
      <c r="G118" s="337"/>
      <c r="H118" s="337"/>
      <c r="I118" s="337"/>
      <c r="J118" s="337"/>
      <c r="K118" s="337"/>
      <c r="L118" s="337"/>
      <c r="M118" s="337"/>
      <c r="N118" s="337"/>
      <c r="O118" s="337"/>
      <c r="P118" s="337"/>
      <c r="Q118" s="337"/>
      <c r="R118" s="337"/>
      <c r="S118" s="337"/>
      <c r="T118" s="341"/>
      <c r="U118" s="340"/>
      <c r="V118" s="5"/>
    </row>
    <row r="119" spans="1:22" ht="15.6" x14ac:dyDescent="0.3">
      <c r="A119" s="302"/>
      <c r="B119" s="272" t="s">
        <v>229</v>
      </c>
      <c r="C119" s="272"/>
      <c r="D119" s="272"/>
      <c r="E119" s="272"/>
      <c r="F119" s="272"/>
      <c r="G119" s="272"/>
      <c r="H119" s="272"/>
      <c r="I119" s="272"/>
      <c r="J119" s="272"/>
      <c r="K119" s="272"/>
      <c r="L119" s="272"/>
      <c r="M119" s="272"/>
      <c r="N119" s="272"/>
      <c r="O119" s="272"/>
      <c r="P119" s="272"/>
      <c r="Q119" s="272"/>
      <c r="R119" s="317">
        <f>-R179</f>
        <v>0</v>
      </c>
      <c r="S119" s="317"/>
      <c r="T119" s="318"/>
      <c r="U119" s="275"/>
      <c r="V119" s="5"/>
    </row>
    <row r="120" spans="1:22" ht="15.6" x14ac:dyDescent="0.3">
      <c r="A120" s="302"/>
      <c r="B120" s="272" t="s">
        <v>230</v>
      </c>
      <c r="C120" s="272"/>
      <c r="D120" s="272"/>
      <c r="E120" s="272"/>
      <c r="F120" s="272"/>
      <c r="G120" s="272"/>
      <c r="H120" s="272"/>
      <c r="I120" s="272"/>
      <c r="J120" s="272"/>
      <c r="K120" s="272"/>
      <c r="L120" s="272"/>
      <c r="M120" s="272"/>
      <c r="N120" s="272"/>
      <c r="O120" s="272"/>
      <c r="P120" s="272"/>
      <c r="Q120" s="272"/>
      <c r="R120" s="317">
        <v>0</v>
      </c>
      <c r="S120" s="317"/>
      <c r="T120" s="318"/>
      <c r="U120" s="275"/>
      <c r="V120" s="5"/>
    </row>
    <row r="121" spans="1:22" ht="15.6" x14ac:dyDescent="0.3">
      <c r="A121" s="302"/>
      <c r="B121" s="272" t="s">
        <v>42</v>
      </c>
      <c r="C121" s="272"/>
      <c r="D121" s="272"/>
      <c r="E121" s="272"/>
      <c r="F121" s="272"/>
      <c r="G121" s="272"/>
      <c r="H121" s="272"/>
      <c r="I121" s="272"/>
      <c r="J121" s="272"/>
      <c r="K121" s="272"/>
      <c r="L121" s="272"/>
      <c r="M121" s="272"/>
      <c r="N121" s="272"/>
      <c r="O121" s="272"/>
      <c r="P121" s="272"/>
      <c r="Q121" s="272"/>
      <c r="R121" s="317">
        <f>-Q179</f>
        <v>-405</v>
      </c>
      <c r="S121" s="317"/>
      <c r="T121" s="318"/>
      <c r="U121" s="275"/>
      <c r="V121" s="5"/>
    </row>
    <row r="122" spans="1:22" ht="15.6" x14ac:dyDescent="0.3">
      <c r="A122" s="302"/>
      <c r="B122" s="272" t="s">
        <v>235</v>
      </c>
      <c r="C122" s="272"/>
      <c r="D122" s="272"/>
      <c r="E122" s="272"/>
      <c r="F122" s="272"/>
      <c r="G122" s="272"/>
      <c r="H122" s="272"/>
      <c r="I122" s="272"/>
      <c r="J122" s="272"/>
      <c r="K122" s="272"/>
      <c r="L122" s="272"/>
      <c r="M122" s="272"/>
      <c r="N122" s="272"/>
      <c r="O122" s="272"/>
      <c r="P122" s="272"/>
      <c r="Q122" s="272"/>
      <c r="R122" s="317">
        <v>-733</v>
      </c>
      <c r="S122" s="317"/>
      <c r="T122" s="318"/>
      <c r="U122" s="275"/>
      <c r="V122" s="5"/>
    </row>
    <row r="123" spans="1:22" ht="15.6" x14ac:dyDescent="0.3">
      <c r="A123" s="302"/>
      <c r="B123" s="272" t="s">
        <v>236</v>
      </c>
      <c r="C123" s="272"/>
      <c r="D123" s="272"/>
      <c r="E123" s="272"/>
      <c r="F123" s="272"/>
      <c r="G123" s="272"/>
      <c r="H123" s="272"/>
      <c r="I123" s="272"/>
      <c r="J123" s="272"/>
      <c r="K123" s="272"/>
      <c r="L123" s="272"/>
      <c r="M123" s="272"/>
      <c r="N123" s="272"/>
      <c r="O123" s="272"/>
      <c r="P123" s="272"/>
      <c r="Q123" s="272"/>
      <c r="R123" s="317">
        <v>-518</v>
      </c>
      <c r="S123" s="317"/>
      <c r="T123" s="318"/>
      <c r="U123" s="275"/>
      <c r="V123" s="5"/>
    </row>
    <row r="124" spans="1:22" ht="15.6" x14ac:dyDescent="0.3">
      <c r="A124" s="302"/>
      <c r="B124" s="272" t="s">
        <v>241</v>
      </c>
      <c r="C124" s="272"/>
      <c r="D124" s="272"/>
      <c r="E124" s="272"/>
      <c r="F124" s="272"/>
      <c r="G124" s="272"/>
      <c r="H124" s="272"/>
      <c r="I124" s="272"/>
      <c r="J124" s="272"/>
      <c r="K124" s="272"/>
      <c r="L124" s="272"/>
      <c r="M124" s="272"/>
      <c r="N124" s="272"/>
      <c r="O124" s="272"/>
      <c r="P124" s="272"/>
      <c r="Q124" s="272"/>
      <c r="R124" s="317">
        <v>-72</v>
      </c>
      <c r="S124" s="317"/>
      <c r="T124" s="318"/>
      <c r="U124" s="275"/>
      <c r="V124" s="5"/>
    </row>
    <row r="125" spans="1:22" ht="15.6" x14ac:dyDescent="0.3">
      <c r="A125" s="302"/>
      <c r="B125" s="272" t="s">
        <v>237</v>
      </c>
      <c r="C125" s="272"/>
      <c r="D125" s="272"/>
      <c r="E125" s="272"/>
      <c r="F125" s="272"/>
      <c r="G125" s="272"/>
      <c r="H125" s="272"/>
      <c r="I125" s="272"/>
      <c r="J125" s="272"/>
      <c r="K125" s="272"/>
      <c r="L125" s="272"/>
      <c r="M125" s="272"/>
      <c r="N125" s="272"/>
      <c r="O125" s="272"/>
      <c r="P125" s="272"/>
      <c r="Q125" s="272"/>
      <c r="R125" s="317">
        <v>-34</v>
      </c>
      <c r="S125" s="317"/>
      <c r="T125" s="318"/>
      <c r="U125" s="275"/>
      <c r="V125" s="5"/>
    </row>
    <row r="126" spans="1:22" ht="15.6" x14ac:dyDescent="0.3">
      <c r="A126" s="302"/>
      <c r="B126" s="272" t="s">
        <v>238</v>
      </c>
      <c r="C126" s="272"/>
      <c r="D126" s="272"/>
      <c r="E126" s="272"/>
      <c r="F126" s="272"/>
      <c r="G126" s="272"/>
      <c r="H126" s="272"/>
      <c r="I126" s="272"/>
      <c r="J126" s="272"/>
      <c r="K126" s="272"/>
      <c r="L126" s="272"/>
      <c r="M126" s="272"/>
      <c r="N126" s="272"/>
      <c r="O126" s="272"/>
      <c r="P126" s="272"/>
      <c r="Q126" s="272"/>
      <c r="R126" s="317">
        <v>-98</v>
      </c>
      <c r="S126" s="317"/>
      <c r="T126" s="318"/>
      <c r="U126" s="275"/>
      <c r="V126" s="5"/>
    </row>
    <row r="127" spans="1:22" ht="15.6" x14ac:dyDescent="0.3">
      <c r="A127" s="302"/>
      <c r="B127" s="272" t="s">
        <v>239</v>
      </c>
      <c r="C127" s="272"/>
      <c r="D127" s="272"/>
      <c r="E127" s="272"/>
      <c r="F127" s="272"/>
      <c r="G127" s="272"/>
      <c r="H127" s="272"/>
      <c r="I127" s="272"/>
      <c r="J127" s="272"/>
      <c r="K127" s="272"/>
      <c r="L127" s="272"/>
      <c r="M127" s="272"/>
      <c r="N127" s="272"/>
      <c r="O127" s="272"/>
      <c r="P127" s="272"/>
      <c r="Q127" s="272"/>
      <c r="R127" s="317">
        <v>-14</v>
      </c>
      <c r="S127" s="317"/>
      <c r="T127" s="318"/>
      <c r="U127" s="275"/>
      <c r="V127" s="5"/>
    </row>
    <row r="128" spans="1:22" ht="15.6" x14ac:dyDescent="0.3">
      <c r="A128" s="302"/>
      <c r="B128" s="272" t="s">
        <v>240</v>
      </c>
      <c r="C128" s="272"/>
      <c r="D128" s="272"/>
      <c r="E128" s="272"/>
      <c r="F128" s="272"/>
      <c r="G128" s="272"/>
      <c r="H128" s="272"/>
      <c r="I128" s="272"/>
      <c r="J128" s="272"/>
      <c r="K128" s="272"/>
      <c r="L128" s="272"/>
      <c r="M128" s="272"/>
      <c r="N128" s="272"/>
      <c r="O128" s="272"/>
      <c r="P128" s="272"/>
      <c r="Q128" s="272"/>
      <c r="R128" s="317">
        <v>-219</v>
      </c>
      <c r="S128" s="317"/>
      <c r="T128" s="318"/>
      <c r="U128" s="275"/>
      <c r="V128" s="5"/>
    </row>
    <row r="129" spans="1:22" ht="15.6" x14ac:dyDescent="0.3">
      <c r="A129" s="302"/>
      <c r="B129" s="272" t="s">
        <v>43</v>
      </c>
      <c r="C129" s="272"/>
      <c r="D129" s="272"/>
      <c r="E129" s="272"/>
      <c r="F129" s="272"/>
      <c r="G129" s="272"/>
      <c r="H129" s="272"/>
      <c r="I129" s="272"/>
      <c r="J129" s="272"/>
      <c r="K129" s="272"/>
      <c r="L129" s="272"/>
      <c r="M129" s="272"/>
      <c r="N129" s="272"/>
      <c r="O129" s="272"/>
      <c r="P129" s="272"/>
      <c r="Q129" s="272"/>
      <c r="R129" s="317">
        <f>SUM(R119:R128)</f>
        <v>-2093</v>
      </c>
      <c r="S129" s="317"/>
      <c r="T129" s="317">
        <f>SUM(T98:T127)</f>
        <v>-2419</v>
      </c>
      <c r="U129" s="275"/>
      <c r="V129" s="5"/>
    </row>
    <row r="130" spans="1:22" ht="15.6" x14ac:dyDescent="0.3">
      <c r="A130" s="302"/>
      <c r="B130" s="272" t="s">
        <v>44</v>
      </c>
      <c r="C130" s="272"/>
      <c r="D130" s="272"/>
      <c r="E130" s="272"/>
      <c r="F130" s="272"/>
      <c r="G130" s="272"/>
      <c r="H130" s="272"/>
      <c r="I130" s="272"/>
      <c r="J130" s="272"/>
      <c r="K130" s="272"/>
      <c r="L130" s="272"/>
      <c r="M130" s="272"/>
      <c r="N130" s="272"/>
      <c r="O130" s="272"/>
      <c r="P130" s="272"/>
      <c r="Q130" s="272"/>
      <c r="R130" s="317">
        <f>R97+R129+R112</f>
        <v>0</v>
      </c>
      <c r="S130" s="317"/>
      <c r="T130" s="317">
        <f>T97+T129</f>
        <v>0</v>
      </c>
      <c r="U130" s="275"/>
      <c r="V130" s="5"/>
    </row>
    <row r="131" spans="1:22" ht="15.6" x14ac:dyDescent="0.3">
      <c r="A131" s="233"/>
      <c r="B131" s="268"/>
      <c r="C131" s="268"/>
      <c r="D131" s="268"/>
      <c r="E131" s="268"/>
      <c r="F131" s="268"/>
      <c r="G131" s="268"/>
      <c r="H131" s="268"/>
      <c r="I131" s="268"/>
      <c r="J131" s="268"/>
      <c r="K131" s="268"/>
      <c r="L131" s="268"/>
      <c r="M131" s="268"/>
      <c r="N131" s="268"/>
      <c r="O131" s="268"/>
      <c r="P131" s="268"/>
      <c r="Q131" s="268"/>
      <c r="R131" s="333"/>
      <c r="S131" s="333"/>
      <c r="T131" s="333"/>
      <c r="U131" s="268"/>
      <c r="V131" s="5"/>
    </row>
    <row r="132" spans="1:22" ht="15.6" x14ac:dyDescent="0.3">
      <c r="A132" s="233"/>
      <c r="B132" s="234"/>
      <c r="C132" s="234"/>
      <c r="D132" s="234"/>
      <c r="E132" s="234"/>
      <c r="F132" s="234"/>
      <c r="G132" s="234"/>
      <c r="H132" s="234"/>
      <c r="I132" s="234"/>
      <c r="J132" s="234"/>
      <c r="K132" s="234"/>
      <c r="L132" s="234"/>
      <c r="M132" s="234"/>
      <c r="N132" s="234"/>
      <c r="O132" s="234"/>
      <c r="P132" s="234"/>
      <c r="Q132" s="234"/>
      <c r="R132" s="234"/>
      <c r="S132" s="234"/>
      <c r="T132" s="243"/>
      <c r="U132" s="234"/>
      <c r="V132" s="5"/>
    </row>
    <row r="133" spans="1:22" ht="18" thickBot="1" x14ac:dyDescent="0.35">
      <c r="A133" s="237"/>
      <c r="B133" s="238" t="str">
        <f>B61</f>
        <v>PM9 INVESTOR REPORT QUARTER ENDING JANUARY 2012</v>
      </c>
      <c r="C133" s="239"/>
      <c r="D133" s="239"/>
      <c r="E133" s="239"/>
      <c r="F133" s="239"/>
      <c r="G133" s="239"/>
      <c r="H133" s="239"/>
      <c r="I133" s="239"/>
      <c r="J133" s="239"/>
      <c r="K133" s="239"/>
      <c r="L133" s="239"/>
      <c r="M133" s="239"/>
      <c r="N133" s="239"/>
      <c r="O133" s="239"/>
      <c r="P133" s="239"/>
      <c r="Q133" s="239"/>
      <c r="R133" s="239"/>
      <c r="S133" s="239"/>
      <c r="T133" s="244"/>
      <c r="U133" s="241"/>
      <c r="V133" s="5"/>
    </row>
    <row r="134" spans="1:22" ht="15.6" x14ac:dyDescent="0.3">
      <c r="A134" s="321"/>
      <c r="B134" s="324" t="s">
        <v>45</v>
      </c>
      <c r="C134" s="322"/>
      <c r="D134" s="322"/>
      <c r="E134" s="322"/>
      <c r="F134" s="322"/>
      <c r="G134" s="322"/>
      <c r="H134" s="322"/>
      <c r="I134" s="322"/>
      <c r="J134" s="322"/>
      <c r="K134" s="322"/>
      <c r="L134" s="322"/>
      <c r="M134" s="322"/>
      <c r="N134" s="322"/>
      <c r="O134" s="322"/>
      <c r="P134" s="322"/>
      <c r="Q134" s="322"/>
      <c r="R134" s="322"/>
      <c r="S134" s="322"/>
      <c r="T134" s="323"/>
      <c r="U134" s="322"/>
      <c r="V134" s="5"/>
    </row>
    <row r="135" spans="1:22" ht="15.6" x14ac:dyDescent="0.3">
      <c r="A135" s="177"/>
      <c r="B135" s="191"/>
      <c r="C135" s="179"/>
      <c r="D135" s="179"/>
      <c r="E135" s="179"/>
      <c r="F135" s="179"/>
      <c r="G135" s="179"/>
      <c r="H135" s="179"/>
      <c r="I135" s="179"/>
      <c r="J135" s="179"/>
      <c r="K135" s="179"/>
      <c r="L135" s="179"/>
      <c r="M135" s="179"/>
      <c r="N135" s="179"/>
      <c r="O135" s="179"/>
      <c r="P135" s="179"/>
      <c r="Q135" s="179"/>
      <c r="R135" s="179"/>
      <c r="S135" s="179"/>
      <c r="T135" s="197"/>
      <c r="U135" s="179"/>
      <c r="V135" s="5"/>
    </row>
    <row r="136" spans="1:22" ht="15.6" x14ac:dyDescent="0.3">
      <c r="A136" s="177"/>
      <c r="B136" s="204" t="s">
        <v>46</v>
      </c>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271"/>
      <c r="B137" s="272" t="s">
        <v>47</v>
      </c>
      <c r="C137" s="272"/>
      <c r="D137" s="272"/>
      <c r="E137" s="272"/>
      <c r="F137" s="272"/>
      <c r="G137" s="272"/>
      <c r="H137" s="272"/>
      <c r="I137" s="272"/>
      <c r="J137" s="272"/>
      <c r="K137" s="272"/>
      <c r="L137" s="272"/>
      <c r="M137" s="272"/>
      <c r="N137" s="272"/>
      <c r="O137" s="272"/>
      <c r="P137" s="272"/>
      <c r="Q137" s="272"/>
      <c r="R137" s="272"/>
      <c r="S137" s="272"/>
      <c r="T137" s="318">
        <f>+T32*0.0176</f>
        <v>12320</v>
      </c>
      <c r="U137" s="275"/>
      <c r="V137" s="5"/>
    </row>
    <row r="138" spans="1:22" ht="15.6" x14ac:dyDescent="0.3">
      <c r="A138" s="271"/>
      <c r="B138" s="272" t="s">
        <v>48</v>
      </c>
      <c r="C138" s="272"/>
      <c r="D138" s="272"/>
      <c r="E138" s="272"/>
      <c r="F138" s="272"/>
      <c r="G138" s="272"/>
      <c r="H138" s="272"/>
      <c r="I138" s="272"/>
      <c r="J138" s="272"/>
      <c r="K138" s="272"/>
      <c r="L138" s="272"/>
      <c r="M138" s="272"/>
      <c r="N138" s="272"/>
      <c r="O138" s="272"/>
      <c r="P138" s="272"/>
      <c r="Q138" s="272"/>
      <c r="R138" s="272"/>
      <c r="S138" s="272"/>
      <c r="T138" s="318">
        <v>12320</v>
      </c>
      <c r="U138" s="275"/>
      <c r="V138" s="5"/>
    </row>
    <row r="139" spans="1:22" ht="15.6" x14ac:dyDescent="0.3">
      <c r="A139" s="271"/>
      <c r="B139" s="272" t="s">
        <v>145</v>
      </c>
      <c r="C139" s="272"/>
      <c r="D139" s="272"/>
      <c r="E139" s="272"/>
      <c r="F139" s="272"/>
      <c r="G139" s="272"/>
      <c r="H139" s="272"/>
      <c r="I139" s="272"/>
      <c r="J139" s="272"/>
      <c r="K139" s="272"/>
      <c r="L139" s="272"/>
      <c r="M139" s="272"/>
      <c r="N139" s="272"/>
      <c r="O139" s="272"/>
      <c r="P139" s="272"/>
      <c r="Q139" s="272"/>
      <c r="R139" s="272"/>
      <c r="S139" s="272"/>
      <c r="T139" s="318">
        <v>0</v>
      </c>
      <c r="U139" s="275"/>
      <c r="V139" s="5"/>
    </row>
    <row r="140" spans="1:22" ht="15.6" x14ac:dyDescent="0.3">
      <c r="A140" s="271"/>
      <c r="B140" s="272" t="s">
        <v>132</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133</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232</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49</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138</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231</v>
      </c>
      <c r="C145" s="272"/>
      <c r="D145" s="272"/>
      <c r="E145" s="272"/>
      <c r="F145" s="272"/>
      <c r="G145" s="272"/>
      <c r="H145" s="272"/>
      <c r="I145" s="272"/>
      <c r="J145" s="272"/>
      <c r="K145" s="272"/>
      <c r="L145" s="272"/>
      <c r="M145" s="272"/>
      <c r="N145" s="272"/>
      <c r="O145" s="272"/>
      <c r="P145" s="272"/>
      <c r="Q145" s="272"/>
      <c r="R145" s="272"/>
      <c r="S145" s="272"/>
      <c r="T145" s="318">
        <v>0</v>
      </c>
      <c r="U145" s="275"/>
      <c r="V145" s="5"/>
      <c r="W145" s="110"/>
    </row>
    <row r="146" spans="1:23" ht="15.6" x14ac:dyDescent="0.3">
      <c r="A146" s="271"/>
      <c r="B146" s="272" t="s">
        <v>50</v>
      </c>
      <c r="C146" s="272"/>
      <c r="D146" s="272"/>
      <c r="E146" s="272"/>
      <c r="F146" s="272"/>
      <c r="G146" s="272"/>
      <c r="H146" s="272"/>
      <c r="I146" s="272"/>
      <c r="J146" s="272"/>
      <c r="K146" s="272"/>
      <c r="L146" s="272"/>
      <c r="M146" s="272"/>
      <c r="N146" s="272"/>
      <c r="O146" s="272"/>
      <c r="P146" s="272"/>
      <c r="Q146" s="272"/>
      <c r="R146" s="272"/>
      <c r="S146" s="272"/>
      <c r="T146" s="318">
        <f>SUM(T138:T145)</f>
        <v>12320</v>
      </c>
      <c r="U146" s="275"/>
      <c r="V146" s="5"/>
    </row>
    <row r="147" spans="1:23" ht="15.6" x14ac:dyDescent="0.3">
      <c r="A147" s="271"/>
      <c r="B147" s="337"/>
      <c r="C147" s="337"/>
      <c r="D147" s="337"/>
      <c r="E147" s="337"/>
      <c r="F147" s="337"/>
      <c r="G147" s="337"/>
      <c r="H147" s="337"/>
      <c r="I147" s="337"/>
      <c r="J147" s="337"/>
      <c r="K147" s="337"/>
      <c r="L147" s="337"/>
      <c r="M147" s="337"/>
      <c r="N147" s="337"/>
      <c r="O147" s="337"/>
      <c r="P147" s="337"/>
      <c r="Q147" s="337"/>
      <c r="R147" s="337"/>
      <c r="S147" s="337"/>
      <c r="T147" s="339"/>
      <c r="U147" s="340"/>
      <c r="V147" s="5"/>
    </row>
    <row r="148" spans="1:23" ht="15.6" x14ac:dyDescent="0.3">
      <c r="A148" s="271"/>
      <c r="B148" s="336" t="s">
        <v>264</v>
      </c>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272" t="s">
        <v>170</v>
      </c>
      <c r="C149" s="272"/>
      <c r="D149" s="272"/>
      <c r="E149" s="272"/>
      <c r="F149" s="272"/>
      <c r="G149" s="272"/>
      <c r="H149" s="272"/>
      <c r="I149" s="272"/>
      <c r="J149" s="272"/>
      <c r="K149" s="272"/>
      <c r="L149" s="272"/>
      <c r="M149" s="272"/>
      <c r="N149" s="272"/>
      <c r="O149" s="272"/>
      <c r="P149" s="272"/>
      <c r="Q149" s="272"/>
      <c r="R149" s="272"/>
      <c r="S149" s="272"/>
      <c r="T149" s="318">
        <v>10000</v>
      </c>
      <c r="U149" s="275"/>
      <c r="V149" s="5"/>
    </row>
    <row r="150" spans="1:23" ht="15.6" x14ac:dyDescent="0.3">
      <c r="A150" s="271"/>
      <c r="B150" s="272" t="s">
        <v>260</v>
      </c>
      <c r="C150" s="272"/>
      <c r="D150" s="272"/>
      <c r="E150" s="272"/>
      <c r="F150" s="272"/>
      <c r="G150" s="272"/>
      <c r="H150" s="272"/>
      <c r="I150" s="272"/>
      <c r="J150" s="272"/>
      <c r="K150" s="272"/>
      <c r="L150" s="272"/>
      <c r="M150" s="272"/>
      <c r="N150" s="272"/>
      <c r="O150" s="272"/>
      <c r="P150" s="272"/>
      <c r="Q150" s="272"/>
      <c r="R150" s="272"/>
      <c r="S150" s="272"/>
      <c r="T150" s="318">
        <v>1819</v>
      </c>
      <c r="U150" s="275"/>
      <c r="V150" s="5"/>
    </row>
    <row r="151" spans="1:23" ht="15.6" x14ac:dyDescent="0.3">
      <c r="A151" s="271"/>
      <c r="B151" s="272" t="s">
        <v>228</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300</v>
      </c>
      <c r="C152" s="272"/>
      <c r="D152" s="272"/>
      <c r="E152" s="272"/>
      <c r="F152" s="272"/>
      <c r="G152" s="272"/>
      <c r="H152" s="272"/>
      <c r="I152" s="272"/>
      <c r="J152" s="272"/>
      <c r="K152" s="272"/>
      <c r="L152" s="272"/>
      <c r="M152" s="272"/>
      <c r="N152" s="272"/>
      <c r="O152" s="272"/>
      <c r="P152" s="272"/>
      <c r="Q152" s="272"/>
      <c r="R152" s="272"/>
      <c r="S152" s="272"/>
      <c r="T152" s="318">
        <v>1819</v>
      </c>
      <c r="U152" s="275"/>
      <c r="V152" s="5"/>
    </row>
    <row r="153" spans="1:23" ht="15.6" x14ac:dyDescent="0.3">
      <c r="A153" s="271"/>
      <c r="B153" s="337"/>
      <c r="C153" s="337"/>
      <c r="D153" s="337"/>
      <c r="E153" s="337"/>
      <c r="F153" s="337"/>
      <c r="G153" s="337"/>
      <c r="H153" s="337"/>
      <c r="I153" s="337"/>
      <c r="J153" s="337"/>
      <c r="K153" s="337"/>
      <c r="L153" s="337"/>
      <c r="M153" s="337"/>
      <c r="N153" s="337"/>
      <c r="O153" s="337"/>
      <c r="P153" s="337"/>
      <c r="Q153" s="337"/>
      <c r="R153" s="337"/>
      <c r="S153" s="337"/>
      <c r="T153" s="339"/>
      <c r="U153" s="340"/>
      <c r="V153" s="5"/>
    </row>
    <row r="154" spans="1:23" ht="15.6" x14ac:dyDescent="0.3">
      <c r="A154" s="177"/>
      <c r="B154" s="314"/>
      <c r="C154" s="314"/>
      <c r="D154" s="314"/>
      <c r="E154" s="314"/>
      <c r="F154" s="314"/>
      <c r="G154" s="314"/>
      <c r="H154" s="314"/>
      <c r="I154" s="314"/>
      <c r="J154" s="314"/>
      <c r="K154" s="314"/>
      <c r="L154" s="314"/>
      <c r="M154" s="314"/>
      <c r="N154" s="314"/>
      <c r="O154" s="314"/>
      <c r="P154" s="314"/>
      <c r="Q154" s="314"/>
      <c r="R154" s="314"/>
      <c r="S154" s="314"/>
      <c r="T154" s="342"/>
      <c r="U154" s="314"/>
      <c r="V154" s="5"/>
    </row>
    <row r="155" spans="1:23" ht="15.6" x14ac:dyDescent="0.3">
      <c r="A155" s="177"/>
      <c r="B155" s="204" t="s">
        <v>25</v>
      </c>
      <c r="C155" s="179"/>
      <c r="D155" s="179"/>
      <c r="E155" s="179"/>
      <c r="F155" s="179"/>
      <c r="G155" s="179"/>
      <c r="H155" s="179"/>
      <c r="I155" s="179"/>
      <c r="J155" s="179"/>
      <c r="K155" s="179"/>
      <c r="L155" s="179"/>
      <c r="M155" s="179"/>
      <c r="N155" s="179"/>
      <c r="O155" s="179"/>
      <c r="P155" s="179"/>
      <c r="Q155" s="179"/>
      <c r="R155" s="179"/>
      <c r="S155" s="179"/>
      <c r="T155" s="197"/>
      <c r="U155" s="179"/>
      <c r="V155" s="5"/>
    </row>
    <row r="156" spans="1:23" ht="15.6" x14ac:dyDescent="0.3">
      <c r="A156" s="271"/>
      <c r="B156" s="272" t="s">
        <v>51</v>
      </c>
      <c r="C156" s="272"/>
      <c r="D156" s="272"/>
      <c r="E156" s="272"/>
      <c r="F156" s="272"/>
      <c r="G156" s="272"/>
      <c r="H156" s="272"/>
      <c r="I156" s="272"/>
      <c r="J156" s="272"/>
      <c r="K156" s="272"/>
      <c r="L156" s="272"/>
      <c r="M156" s="272"/>
      <c r="N156" s="272"/>
      <c r="O156" s="272"/>
      <c r="P156" s="272"/>
      <c r="Q156" s="272"/>
      <c r="R156" s="272"/>
      <c r="S156" s="272"/>
      <c r="T156" s="343" t="s">
        <v>127</v>
      </c>
      <c r="U156" s="340"/>
      <c r="V156" s="5"/>
    </row>
    <row r="157" spans="1:23" ht="15.6" x14ac:dyDescent="0.3">
      <c r="A157" s="271"/>
      <c r="B157" s="272" t="s">
        <v>52</v>
      </c>
      <c r="C157" s="274"/>
      <c r="D157" s="274"/>
      <c r="E157" s="274"/>
      <c r="F157" s="274"/>
      <c r="G157" s="274"/>
      <c r="H157" s="274"/>
      <c r="I157" s="274"/>
      <c r="J157" s="274"/>
      <c r="K157" s="274"/>
      <c r="L157" s="274"/>
      <c r="M157" s="274"/>
      <c r="N157" s="274"/>
      <c r="O157" s="274"/>
      <c r="P157" s="274"/>
      <c r="Q157" s="274"/>
      <c r="R157" s="274"/>
      <c r="S157" s="274"/>
      <c r="T157" s="343" t="s">
        <v>127</v>
      </c>
      <c r="U157" s="340"/>
      <c r="V157" s="5"/>
    </row>
    <row r="158" spans="1:23" ht="15.6" x14ac:dyDescent="0.3">
      <c r="A158" s="271"/>
      <c r="B158" s="272" t="s">
        <v>53</v>
      </c>
      <c r="C158" s="272"/>
      <c r="D158" s="272"/>
      <c r="E158" s="272"/>
      <c r="F158" s="272"/>
      <c r="G158" s="272"/>
      <c r="H158" s="272"/>
      <c r="I158" s="272"/>
      <c r="J158" s="272"/>
      <c r="K158" s="272"/>
      <c r="L158" s="272"/>
      <c r="M158" s="272"/>
      <c r="N158" s="272"/>
      <c r="O158" s="272"/>
      <c r="P158" s="272"/>
      <c r="Q158" s="272"/>
      <c r="R158" s="272"/>
      <c r="S158" s="272"/>
      <c r="T158" s="343" t="s">
        <v>127</v>
      </c>
      <c r="U158" s="340"/>
      <c r="V158" s="5"/>
    </row>
    <row r="159" spans="1:23" ht="15.6" x14ac:dyDescent="0.3">
      <c r="A159" s="271"/>
      <c r="B159" s="272" t="s">
        <v>54</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177"/>
      <c r="B160" s="314"/>
      <c r="C160" s="314"/>
      <c r="D160" s="314"/>
      <c r="E160" s="314"/>
      <c r="F160" s="314"/>
      <c r="G160" s="314"/>
      <c r="H160" s="314"/>
      <c r="I160" s="314"/>
      <c r="J160" s="314"/>
      <c r="K160" s="314"/>
      <c r="L160" s="314"/>
      <c r="M160" s="314"/>
      <c r="N160" s="314"/>
      <c r="O160" s="314"/>
      <c r="P160" s="314"/>
      <c r="Q160" s="314"/>
      <c r="R160" s="314"/>
      <c r="S160" s="314"/>
      <c r="T160" s="342"/>
      <c r="U160" s="314"/>
      <c r="V160" s="5"/>
    </row>
    <row r="161" spans="1:22" ht="15.6" x14ac:dyDescent="0.3">
      <c r="A161" s="177"/>
      <c r="B161" s="204" t="s">
        <v>55</v>
      </c>
      <c r="C161" s="179"/>
      <c r="D161" s="179"/>
      <c r="E161" s="179"/>
      <c r="F161" s="179"/>
      <c r="G161" s="179"/>
      <c r="H161" s="179"/>
      <c r="I161" s="179"/>
      <c r="J161" s="179"/>
      <c r="K161" s="179"/>
      <c r="L161" s="179"/>
      <c r="M161" s="179"/>
      <c r="N161" s="179"/>
      <c r="O161" s="179"/>
      <c r="P161" s="179"/>
      <c r="Q161" s="179"/>
      <c r="R161" s="179"/>
      <c r="S161" s="179"/>
      <c r="T161" s="205"/>
      <c r="U161" s="179"/>
      <c r="V161" s="5"/>
    </row>
    <row r="162" spans="1:22" ht="15.6" x14ac:dyDescent="0.3">
      <c r="A162" s="271"/>
      <c r="B162" s="272" t="s">
        <v>56</v>
      </c>
      <c r="C162" s="272"/>
      <c r="D162" s="272"/>
      <c r="E162" s="272"/>
      <c r="F162" s="272"/>
      <c r="G162" s="272"/>
      <c r="H162" s="272"/>
      <c r="I162" s="272"/>
      <c r="J162" s="272"/>
      <c r="K162" s="272"/>
      <c r="L162" s="272"/>
      <c r="M162" s="272"/>
      <c r="N162" s="272"/>
      <c r="O162" s="272"/>
      <c r="P162" s="272"/>
      <c r="Q162" s="272"/>
      <c r="R162" s="272"/>
      <c r="S162" s="272"/>
      <c r="T162" s="318">
        <v>0</v>
      </c>
      <c r="U162" s="340"/>
      <c r="V162" s="5"/>
    </row>
    <row r="163" spans="1:22" ht="15.6" x14ac:dyDescent="0.3">
      <c r="A163" s="271"/>
      <c r="B163" s="272" t="s">
        <v>57</v>
      </c>
      <c r="C163" s="272"/>
      <c r="D163" s="272"/>
      <c r="E163" s="272"/>
      <c r="F163" s="272"/>
      <c r="G163" s="272"/>
      <c r="H163" s="272"/>
      <c r="I163" s="272"/>
      <c r="J163" s="272"/>
      <c r="K163" s="272"/>
      <c r="L163" s="272"/>
      <c r="M163" s="272"/>
      <c r="N163" s="272"/>
      <c r="O163" s="272"/>
      <c r="P163" s="272"/>
      <c r="Q163" s="272"/>
      <c r="R163" s="272"/>
      <c r="S163" s="272"/>
      <c r="T163" s="318">
        <f>-T112</f>
        <v>120</v>
      </c>
      <c r="U163" s="340"/>
      <c r="V163" s="5"/>
    </row>
    <row r="164" spans="1:22" ht="15.6" x14ac:dyDescent="0.3">
      <c r="A164" s="271"/>
      <c r="B164" s="272" t="s">
        <v>58</v>
      </c>
      <c r="C164" s="272"/>
      <c r="D164" s="272"/>
      <c r="E164" s="272"/>
      <c r="F164" s="272"/>
      <c r="G164" s="272"/>
      <c r="H164" s="272"/>
      <c r="I164" s="272"/>
      <c r="J164" s="272"/>
      <c r="K164" s="272"/>
      <c r="L164" s="272"/>
      <c r="M164" s="272"/>
      <c r="N164" s="272"/>
      <c r="O164" s="272"/>
      <c r="P164" s="272"/>
      <c r="Q164" s="272"/>
      <c r="R164" s="272"/>
      <c r="S164" s="272"/>
      <c r="T164" s="318">
        <f>T163+T162</f>
        <v>120</v>
      </c>
      <c r="U164" s="340"/>
      <c r="V164" s="5"/>
    </row>
    <row r="165" spans="1:22" ht="15.6" x14ac:dyDescent="0.3">
      <c r="A165" s="271"/>
      <c r="B165" s="400" t="s">
        <v>309</v>
      </c>
      <c r="C165" s="272"/>
      <c r="D165" s="272"/>
      <c r="E165" s="272"/>
      <c r="F165" s="272"/>
      <c r="G165" s="272"/>
      <c r="H165" s="272"/>
      <c r="I165" s="272"/>
      <c r="J165" s="272"/>
      <c r="K165" s="272"/>
      <c r="L165" s="272"/>
      <c r="M165" s="272"/>
      <c r="N165" s="272"/>
      <c r="O165" s="272"/>
      <c r="P165" s="272"/>
      <c r="Q165" s="272"/>
      <c r="R165" s="272"/>
      <c r="S165" s="272"/>
      <c r="T165" s="318">
        <f>T112</f>
        <v>-120</v>
      </c>
      <c r="U165" s="340"/>
      <c r="V165" s="5"/>
    </row>
    <row r="166" spans="1:22" ht="15.6" x14ac:dyDescent="0.3">
      <c r="A166" s="271"/>
      <c r="B166" s="272" t="s">
        <v>59</v>
      </c>
      <c r="C166" s="272"/>
      <c r="D166" s="272"/>
      <c r="E166" s="272"/>
      <c r="F166" s="272"/>
      <c r="G166" s="272"/>
      <c r="H166" s="272"/>
      <c r="I166" s="272"/>
      <c r="J166" s="272"/>
      <c r="K166" s="272"/>
      <c r="L166" s="272"/>
      <c r="M166" s="272"/>
      <c r="N166" s="272"/>
      <c r="O166" s="272"/>
      <c r="P166" s="272"/>
      <c r="Q166" s="272"/>
      <c r="R166" s="272"/>
      <c r="S166" s="272"/>
      <c r="T166" s="318">
        <f>T164+T165</f>
        <v>0</v>
      </c>
      <c r="U166" s="340"/>
      <c r="V166" s="5"/>
    </row>
    <row r="167" spans="1:22" ht="15.6" x14ac:dyDescent="0.3">
      <c r="A167" s="271"/>
      <c r="B167" s="272" t="s">
        <v>278</v>
      </c>
      <c r="C167" s="272"/>
      <c r="D167" s="272"/>
      <c r="E167" s="272"/>
      <c r="F167" s="272"/>
      <c r="G167" s="272"/>
      <c r="H167" s="272"/>
      <c r="I167" s="272"/>
      <c r="J167" s="272"/>
      <c r="K167" s="272"/>
      <c r="L167" s="272"/>
      <c r="M167" s="272"/>
      <c r="N167" s="272"/>
      <c r="O167" s="272"/>
      <c r="P167" s="272"/>
      <c r="Q167" s="272"/>
      <c r="R167" s="272"/>
      <c r="S167" s="272"/>
      <c r="T167" s="318">
        <f>-T96</f>
        <v>34</v>
      </c>
      <c r="U167" s="340"/>
      <c r="V167" s="5"/>
    </row>
    <row r="168" spans="1:22" ht="16.2" thickBot="1" x14ac:dyDescent="0.35">
      <c r="A168" s="177"/>
      <c r="B168" s="268"/>
      <c r="C168" s="268"/>
      <c r="D168" s="268"/>
      <c r="E168" s="268"/>
      <c r="F168" s="268"/>
      <c r="G168" s="268"/>
      <c r="H168" s="268"/>
      <c r="I168" s="268"/>
      <c r="J168" s="268"/>
      <c r="K168" s="268"/>
      <c r="L168" s="268"/>
      <c r="M168" s="268"/>
      <c r="N168" s="268"/>
      <c r="O168" s="268"/>
      <c r="P168" s="268"/>
      <c r="Q168" s="268"/>
      <c r="R168" s="268"/>
      <c r="S168" s="268"/>
      <c r="T168" s="344"/>
      <c r="U168" s="314"/>
      <c r="V168" s="5"/>
    </row>
    <row r="169" spans="1:22" ht="15.6" x14ac:dyDescent="0.3">
      <c r="A169" s="175"/>
      <c r="B169" s="176"/>
      <c r="C169" s="176"/>
      <c r="D169" s="176"/>
      <c r="E169" s="176"/>
      <c r="F169" s="176"/>
      <c r="G169" s="176"/>
      <c r="H169" s="176"/>
      <c r="I169" s="176"/>
      <c r="J169" s="176"/>
      <c r="K169" s="176"/>
      <c r="L169" s="176"/>
      <c r="M169" s="176"/>
      <c r="N169" s="176"/>
      <c r="O169" s="176"/>
      <c r="P169" s="176"/>
      <c r="Q169" s="176"/>
      <c r="R169" s="176"/>
      <c r="S169" s="176"/>
      <c r="T169" s="196"/>
      <c r="U169" s="176"/>
      <c r="V169" s="5"/>
    </row>
    <row r="170" spans="1:22" ht="15.6" x14ac:dyDescent="0.3">
      <c r="A170" s="177"/>
      <c r="B170" s="204" t="s">
        <v>60</v>
      </c>
      <c r="C170" s="179"/>
      <c r="D170" s="179"/>
      <c r="E170" s="179"/>
      <c r="F170" s="179"/>
      <c r="G170" s="179"/>
      <c r="H170" s="179"/>
      <c r="I170" s="179"/>
      <c r="J170" s="179"/>
      <c r="K170" s="179"/>
      <c r="L170" s="179"/>
      <c r="M170" s="179"/>
      <c r="N170" s="179"/>
      <c r="O170" s="179"/>
      <c r="P170" s="179"/>
      <c r="Q170" s="179"/>
      <c r="R170" s="179"/>
      <c r="S170" s="179"/>
      <c r="T170" s="197"/>
      <c r="U170" s="179"/>
      <c r="V170" s="5"/>
    </row>
    <row r="171" spans="1:22" ht="15.6" x14ac:dyDescent="0.3">
      <c r="A171" s="177"/>
      <c r="B171" s="191"/>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271"/>
      <c r="B172" s="272" t="s">
        <v>61</v>
      </c>
      <c r="C172" s="272"/>
      <c r="D172" s="272"/>
      <c r="E172" s="272"/>
      <c r="F172" s="272"/>
      <c r="G172" s="272"/>
      <c r="H172" s="272"/>
      <c r="I172" s="272"/>
      <c r="J172" s="272"/>
      <c r="K172" s="272"/>
      <c r="L172" s="272"/>
      <c r="M172" s="272"/>
      <c r="N172" s="272"/>
      <c r="O172" s="272"/>
      <c r="P172" s="272"/>
      <c r="Q172" s="272"/>
      <c r="R172" s="272"/>
      <c r="S172" s="272"/>
      <c r="T172" s="318">
        <f>T68</f>
        <v>312266</v>
      </c>
      <c r="U172" s="340"/>
      <c r="V172" s="5"/>
    </row>
    <row r="173" spans="1:22" ht="15.6" x14ac:dyDescent="0.3">
      <c r="A173" s="271"/>
      <c r="B173" s="272" t="s">
        <v>62</v>
      </c>
      <c r="C173" s="272"/>
      <c r="D173" s="272"/>
      <c r="E173" s="272"/>
      <c r="F173" s="272"/>
      <c r="G173" s="272"/>
      <c r="H173" s="272"/>
      <c r="I173" s="272"/>
      <c r="J173" s="272"/>
      <c r="K173" s="272"/>
      <c r="L173" s="272"/>
      <c r="M173" s="272"/>
      <c r="N173" s="272"/>
      <c r="O173" s="272"/>
      <c r="P173" s="272"/>
      <c r="Q173" s="272"/>
      <c r="R173" s="272"/>
      <c r="S173" s="272"/>
      <c r="T173" s="318">
        <f>T81</f>
        <v>312266</v>
      </c>
      <c r="U173" s="340"/>
      <c r="V173" s="5"/>
    </row>
    <row r="174" spans="1:22" ht="16.2" thickBot="1" x14ac:dyDescent="0.35">
      <c r="A174" s="177"/>
      <c r="B174" s="314"/>
      <c r="C174" s="314"/>
      <c r="D174" s="314"/>
      <c r="E174" s="314"/>
      <c r="F174" s="314"/>
      <c r="G174" s="314"/>
      <c r="H174" s="314"/>
      <c r="I174" s="314"/>
      <c r="J174" s="314"/>
      <c r="K174" s="314"/>
      <c r="L174" s="314"/>
      <c r="M174" s="314"/>
      <c r="N174" s="314"/>
      <c r="O174" s="314"/>
      <c r="P174" s="314"/>
      <c r="Q174" s="314"/>
      <c r="R174" s="314"/>
      <c r="S174" s="314"/>
      <c r="T174" s="342"/>
      <c r="U174" s="314"/>
      <c r="V174" s="5"/>
    </row>
    <row r="175" spans="1:22" ht="15.6" x14ac:dyDescent="0.3">
      <c r="A175" s="175"/>
      <c r="B175" s="176"/>
      <c r="C175" s="176"/>
      <c r="D175" s="176"/>
      <c r="E175" s="176"/>
      <c r="F175" s="176"/>
      <c r="G175" s="176"/>
      <c r="H175" s="176"/>
      <c r="I175" s="176"/>
      <c r="J175" s="176"/>
      <c r="K175" s="176"/>
      <c r="L175" s="176"/>
      <c r="M175" s="176"/>
      <c r="N175" s="176"/>
      <c r="O175" s="176"/>
      <c r="P175" s="176"/>
      <c r="Q175" s="176"/>
      <c r="R175" s="176"/>
      <c r="S175" s="176"/>
      <c r="T175" s="196"/>
      <c r="U175" s="176"/>
      <c r="V175" s="5"/>
    </row>
    <row r="176" spans="1:22" ht="15.6" x14ac:dyDescent="0.3">
      <c r="A176" s="177"/>
      <c r="B176" s="204" t="s">
        <v>63</v>
      </c>
      <c r="C176" s="201"/>
      <c r="D176" s="201"/>
      <c r="E176" s="201"/>
      <c r="F176" s="201"/>
      <c r="G176" s="201"/>
      <c r="H176" s="206"/>
      <c r="I176" s="206"/>
      <c r="J176" s="206"/>
      <c r="K176" s="206"/>
      <c r="L176" s="206"/>
      <c r="M176" s="206"/>
      <c r="N176" s="206"/>
      <c r="O176" s="206"/>
      <c r="P176" s="206"/>
      <c r="Q176" s="206" t="s">
        <v>107</v>
      </c>
      <c r="R176" s="206" t="s">
        <v>234</v>
      </c>
      <c r="S176" s="181"/>
      <c r="T176" s="207" t="s">
        <v>123</v>
      </c>
      <c r="U176" s="208"/>
      <c r="V176" s="5"/>
    </row>
    <row r="177" spans="1:22" ht="15.6" x14ac:dyDescent="0.3">
      <c r="A177" s="271"/>
      <c r="B177" s="272" t="s">
        <v>64</v>
      </c>
      <c r="C177" s="272"/>
      <c r="D177" s="272"/>
      <c r="E177" s="272"/>
      <c r="F177" s="272"/>
      <c r="G177" s="272"/>
      <c r="H177" s="272"/>
      <c r="I177" s="272"/>
      <c r="J177" s="272"/>
      <c r="K177" s="272"/>
      <c r="L177" s="272"/>
      <c r="M177" s="272"/>
      <c r="N177" s="272"/>
      <c r="O177" s="272"/>
      <c r="P177" s="272"/>
      <c r="Q177" s="318">
        <v>112000</v>
      </c>
      <c r="R177" s="306"/>
      <c r="S177" s="272"/>
      <c r="T177" s="318"/>
      <c r="U177" s="275"/>
      <c r="V177" s="5"/>
    </row>
    <row r="178" spans="1:22" ht="15.6" x14ac:dyDescent="0.3">
      <c r="A178" s="271"/>
      <c r="B178" s="272" t="s">
        <v>65</v>
      </c>
      <c r="C178" s="272"/>
      <c r="D178" s="272"/>
      <c r="E178" s="272"/>
      <c r="F178" s="272"/>
      <c r="G178" s="272"/>
      <c r="H178" s="272"/>
      <c r="I178" s="272"/>
      <c r="J178" s="272"/>
      <c r="K178" s="272"/>
      <c r="L178" s="272"/>
      <c r="M178" s="272"/>
      <c r="N178" s="272"/>
      <c r="O178" s="272"/>
      <c r="P178" s="272"/>
      <c r="Q178" s="318">
        <f>+'Oct 11'!Q180</f>
        <v>46328</v>
      </c>
      <c r="R178" s="318">
        <f>+'Oct 11'!R180</f>
        <v>2435</v>
      </c>
      <c r="S178" s="272"/>
      <c r="T178" s="318">
        <f>Q178+R178</f>
        <v>48763</v>
      </c>
      <c r="U178" s="275"/>
      <c r="V178" s="5"/>
    </row>
    <row r="179" spans="1:22" ht="15.6" x14ac:dyDescent="0.3">
      <c r="A179" s="271"/>
      <c r="B179" s="272" t="s">
        <v>66</v>
      </c>
      <c r="C179" s="272"/>
      <c r="D179" s="272"/>
      <c r="E179" s="272"/>
      <c r="F179" s="272"/>
      <c r="G179" s="272"/>
      <c r="H179" s="272"/>
      <c r="I179" s="272"/>
      <c r="J179" s="272"/>
      <c r="K179" s="272"/>
      <c r="L179" s="272"/>
      <c r="M179" s="272"/>
      <c r="N179" s="272"/>
      <c r="O179" s="272"/>
      <c r="P179" s="272"/>
      <c r="Q179" s="317">
        <f>198+207</f>
        <v>405</v>
      </c>
      <c r="R179" s="317">
        <v>0</v>
      </c>
      <c r="S179" s="272"/>
      <c r="T179" s="318">
        <f>Q179+R179</f>
        <v>405</v>
      </c>
      <c r="U179" s="275"/>
      <c r="V179" s="5"/>
    </row>
    <row r="180" spans="1:22" ht="15.6" x14ac:dyDescent="0.3">
      <c r="A180" s="271"/>
      <c r="B180" s="272" t="s">
        <v>67</v>
      </c>
      <c r="C180" s="272"/>
      <c r="D180" s="272"/>
      <c r="E180" s="272"/>
      <c r="F180" s="272"/>
      <c r="G180" s="272"/>
      <c r="H180" s="272"/>
      <c r="I180" s="272"/>
      <c r="J180" s="272"/>
      <c r="K180" s="272"/>
      <c r="L180" s="272"/>
      <c r="M180" s="272"/>
      <c r="N180" s="272"/>
      <c r="O180" s="272"/>
      <c r="P180" s="272"/>
      <c r="Q180" s="318">
        <f>Q178+Q179</f>
        <v>46733</v>
      </c>
      <c r="R180" s="318">
        <f>R179+R178</f>
        <v>2435</v>
      </c>
      <c r="S180" s="272"/>
      <c r="T180" s="318">
        <f>Q180+R180</f>
        <v>49168</v>
      </c>
      <c r="U180" s="275"/>
      <c r="V180" s="5"/>
    </row>
    <row r="181" spans="1:22" ht="15.6" x14ac:dyDescent="0.3">
      <c r="A181" s="271"/>
      <c r="B181" s="272" t="s">
        <v>68</v>
      </c>
      <c r="C181" s="272"/>
      <c r="D181" s="272"/>
      <c r="E181" s="272"/>
      <c r="F181" s="272"/>
      <c r="G181" s="272"/>
      <c r="H181" s="272"/>
      <c r="I181" s="272"/>
      <c r="J181" s="272"/>
      <c r="K181" s="272"/>
      <c r="L181" s="272"/>
      <c r="M181" s="272"/>
      <c r="N181" s="272"/>
      <c r="O181" s="272"/>
      <c r="P181" s="272"/>
      <c r="Q181" s="318">
        <f>Q177-Q180-R180</f>
        <v>62832</v>
      </c>
      <c r="R181" s="306"/>
      <c r="S181" s="272"/>
      <c r="T181" s="318"/>
      <c r="U181" s="275"/>
      <c r="V181" s="5"/>
    </row>
    <row r="182" spans="1:22" ht="16.2" thickBot="1" x14ac:dyDescent="0.35">
      <c r="A182" s="177"/>
      <c r="B182" s="314"/>
      <c r="C182" s="314"/>
      <c r="D182" s="314"/>
      <c r="E182" s="314"/>
      <c r="F182" s="314"/>
      <c r="G182" s="314"/>
      <c r="H182" s="314"/>
      <c r="I182" s="314"/>
      <c r="J182" s="314"/>
      <c r="K182" s="314"/>
      <c r="L182" s="314"/>
      <c r="M182" s="314"/>
      <c r="N182" s="314"/>
      <c r="O182" s="314"/>
      <c r="P182" s="314"/>
      <c r="Q182" s="314"/>
      <c r="R182" s="314"/>
      <c r="S182" s="314"/>
      <c r="T182" s="342"/>
      <c r="U182" s="314"/>
      <c r="V182" s="5"/>
    </row>
    <row r="183" spans="1:22" ht="15.6" x14ac:dyDescent="0.3">
      <c r="A183" s="175"/>
      <c r="B183" s="176"/>
      <c r="C183" s="176"/>
      <c r="D183" s="176"/>
      <c r="E183" s="176"/>
      <c r="F183" s="176"/>
      <c r="G183" s="176"/>
      <c r="H183" s="176"/>
      <c r="I183" s="176"/>
      <c r="J183" s="176"/>
      <c r="K183" s="176"/>
      <c r="L183" s="176"/>
      <c r="M183" s="176"/>
      <c r="N183" s="176"/>
      <c r="O183" s="176"/>
      <c r="P183" s="176"/>
      <c r="Q183" s="176"/>
      <c r="R183" s="176"/>
      <c r="S183" s="176"/>
      <c r="T183" s="196"/>
      <c r="U183" s="176"/>
      <c r="V183" s="5"/>
    </row>
    <row r="184" spans="1:22" ht="15.6" x14ac:dyDescent="0.3">
      <c r="A184" s="177"/>
      <c r="B184" s="204" t="s">
        <v>69</v>
      </c>
      <c r="C184" s="179"/>
      <c r="D184" s="179"/>
      <c r="E184" s="179"/>
      <c r="F184" s="179"/>
      <c r="G184" s="179"/>
      <c r="H184" s="179"/>
      <c r="I184" s="179"/>
      <c r="J184" s="179"/>
      <c r="K184" s="179"/>
      <c r="L184" s="179"/>
      <c r="M184" s="179"/>
      <c r="N184" s="179"/>
      <c r="O184" s="179"/>
      <c r="P184" s="179"/>
      <c r="Q184" s="179"/>
      <c r="R184" s="179"/>
      <c r="S184" s="179"/>
      <c r="T184" s="209"/>
      <c r="U184" s="179"/>
      <c r="V184" s="5"/>
    </row>
    <row r="185" spans="1:22" ht="15.6" x14ac:dyDescent="0.3">
      <c r="A185" s="271"/>
      <c r="B185" s="272" t="s">
        <v>70</v>
      </c>
      <c r="C185" s="272"/>
      <c r="D185" s="272"/>
      <c r="E185" s="272"/>
      <c r="F185" s="272"/>
      <c r="G185" s="272"/>
      <c r="H185" s="272"/>
      <c r="I185" s="272"/>
      <c r="J185" s="272"/>
      <c r="K185" s="272"/>
      <c r="L185" s="272"/>
      <c r="M185" s="272"/>
      <c r="N185" s="272"/>
      <c r="O185" s="272"/>
      <c r="P185" s="272"/>
      <c r="Q185" s="272"/>
      <c r="R185" s="272"/>
      <c r="S185" s="272"/>
      <c r="T185" s="343">
        <f>(T97+T99+T100+T101+T102+T103)/-(T104+T105+T106)</f>
        <v>2.4654970760233916</v>
      </c>
      <c r="U185" s="275" t="s">
        <v>124</v>
      </c>
      <c r="V185" s="5"/>
    </row>
    <row r="186" spans="1:22" ht="15.6" x14ac:dyDescent="0.3">
      <c r="A186" s="271"/>
      <c r="B186" s="272" t="s">
        <v>71</v>
      </c>
      <c r="C186" s="272"/>
      <c r="D186" s="272"/>
      <c r="E186" s="272"/>
      <c r="F186" s="272"/>
      <c r="G186" s="272"/>
      <c r="H186" s="272"/>
      <c r="I186" s="272"/>
      <c r="J186" s="272"/>
      <c r="K186" s="272"/>
      <c r="L186" s="272"/>
      <c r="M186" s="272"/>
      <c r="N186" s="272"/>
      <c r="O186" s="272"/>
      <c r="P186" s="272"/>
      <c r="Q186" s="272"/>
      <c r="R186" s="272"/>
      <c r="S186" s="272"/>
      <c r="T186" s="345">
        <v>1.53</v>
      </c>
      <c r="U186" s="275" t="s">
        <v>124</v>
      </c>
      <c r="V186" s="5"/>
    </row>
    <row r="187" spans="1:22" ht="15.6" x14ac:dyDescent="0.3">
      <c r="A187" s="271"/>
      <c r="B187" s="272" t="s">
        <v>72</v>
      </c>
      <c r="C187" s="272"/>
      <c r="D187" s="272"/>
      <c r="E187" s="272"/>
      <c r="F187" s="272"/>
      <c r="G187" s="272"/>
      <c r="H187" s="272"/>
      <c r="I187" s="272"/>
      <c r="J187" s="272"/>
      <c r="K187" s="272"/>
      <c r="L187" s="272"/>
      <c r="M187" s="272"/>
      <c r="N187" s="272"/>
      <c r="O187" s="272"/>
      <c r="P187" s="272"/>
      <c r="Q187" s="272"/>
      <c r="R187" s="272"/>
      <c r="S187" s="272"/>
      <c r="T187" s="343">
        <f>(T97+T99+T100+T101+T102+T103+T104+T105+T106)/-(T107+T108)</f>
        <v>12.405940594059405</v>
      </c>
      <c r="U187" s="275" t="s">
        <v>124</v>
      </c>
      <c r="V187" s="5"/>
    </row>
    <row r="188" spans="1:22" ht="15.6" x14ac:dyDescent="0.3">
      <c r="A188" s="271"/>
      <c r="B188" s="272" t="s">
        <v>73</v>
      </c>
      <c r="C188" s="272"/>
      <c r="D188" s="272"/>
      <c r="E188" s="272"/>
      <c r="F188" s="272"/>
      <c r="G188" s="272"/>
      <c r="H188" s="272"/>
      <c r="I188" s="272"/>
      <c r="J188" s="272"/>
      <c r="K188" s="272"/>
      <c r="L188" s="272"/>
      <c r="M188" s="272"/>
      <c r="N188" s="272"/>
      <c r="O188" s="272"/>
      <c r="P188" s="272"/>
      <c r="Q188" s="272"/>
      <c r="R188" s="272"/>
      <c r="S188" s="272"/>
      <c r="T188" s="346">
        <v>8.0500000000000007</v>
      </c>
      <c r="U188" s="275" t="s">
        <v>124</v>
      </c>
      <c r="V188" s="5"/>
    </row>
    <row r="189" spans="1:22" ht="15.6" x14ac:dyDescent="0.3">
      <c r="A189" s="271"/>
      <c r="B189" s="272" t="s">
        <v>243</v>
      </c>
      <c r="C189" s="272"/>
      <c r="D189" s="272"/>
      <c r="E189" s="272"/>
      <c r="F189" s="272"/>
      <c r="G189" s="272"/>
      <c r="H189" s="272"/>
      <c r="I189" s="272"/>
      <c r="J189" s="272"/>
      <c r="K189" s="272"/>
      <c r="L189" s="272"/>
      <c r="M189" s="272"/>
      <c r="N189" s="272"/>
      <c r="O189" s="272"/>
      <c r="P189" s="272"/>
      <c r="Q189" s="272"/>
      <c r="R189" s="272"/>
      <c r="S189" s="272"/>
      <c r="T189" s="343">
        <f>(T97+T99+T100+T101+T102+T103+T104+T105+T106+T107+T108)/-(T109+T110)</f>
        <v>4.9442060085836914</v>
      </c>
      <c r="U189" s="275" t="s">
        <v>124</v>
      </c>
      <c r="V189" s="5"/>
    </row>
    <row r="190" spans="1:22" ht="15.6" x14ac:dyDescent="0.3">
      <c r="A190" s="271"/>
      <c r="B190" s="272" t="s">
        <v>244</v>
      </c>
      <c r="C190" s="272"/>
      <c r="D190" s="272"/>
      <c r="E190" s="272"/>
      <c r="F190" s="272"/>
      <c r="G190" s="272"/>
      <c r="H190" s="272"/>
      <c r="I190" s="272"/>
      <c r="J190" s="272"/>
      <c r="K190" s="272"/>
      <c r="L190" s="272"/>
      <c r="M190" s="272"/>
      <c r="N190" s="272"/>
      <c r="O190" s="272"/>
      <c r="P190" s="272"/>
      <c r="Q190" s="272"/>
      <c r="R190" s="272"/>
      <c r="S190" s="272"/>
      <c r="T190" s="346">
        <v>3.68</v>
      </c>
      <c r="U190" s="275" t="s">
        <v>124</v>
      </c>
      <c r="V190" s="5"/>
    </row>
    <row r="191" spans="1:22" ht="15.6" x14ac:dyDescent="0.3">
      <c r="A191" s="271"/>
      <c r="B191" s="272"/>
      <c r="C191" s="272"/>
      <c r="D191" s="272"/>
      <c r="E191" s="272"/>
      <c r="F191" s="272"/>
      <c r="G191" s="272"/>
      <c r="H191" s="272"/>
      <c r="I191" s="272"/>
      <c r="J191" s="272"/>
      <c r="K191" s="272"/>
      <c r="L191" s="272"/>
      <c r="M191" s="272"/>
      <c r="N191" s="272"/>
      <c r="O191" s="272"/>
      <c r="P191" s="272"/>
      <c r="Q191" s="272"/>
      <c r="R191" s="272"/>
      <c r="S191" s="272"/>
      <c r="T191" s="272"/>
      <c r="U191" s="275"/>
      <c r="V191" s="5"/>
    </row>
    <row r="192" spans="1:22" ht="15.6" x14ac:dyDescent="0.3">
      <c r="A192" s="177"/>
      <c r="B192" s="268"/>
      <c r="C192" s="268"/>
      <c r="D192" s="268"/>
      <c r="E192" s="268"/>
      <c r="F192" s="268"/>
      <c r="G192" s="268"/>
      <c r="H192" s="268"/>
      <c r="I192" s="268"/>
      <c r="J192" s="268"/>
      <c r="K192" s="268"/>
      <c r="L192" s="268"/>
      <c r="M192" s="268"/>
      <c r="N192" s="268"/>
      <c r="O192" s="268"/>
      <c r="P192" s="268"/>
      <c r="Q192" s="268"/>
      <c r="R192" s="268"/>
      <c r="S192" s="268"/>
      <c r="T192" s="268"/>
      <c r="U192" s="268"/>
      <c r="V192" s="5"/>
    </row>
    <row r="193" spans="1:22" ht="15.6" x14ac:dyDescent="0.3">
      <c r="A193" s="177"/>
      <c r="B193" s="234"/>
      <c r="C193" s="234"/>
      <c r="D193" s="234"/>
      <c r="E193" s="234"/>
      <c r="F193" s="234"/>
      <c r="G193" s="234"/>
      <c r="H193" s="234"/>
      <c r="I193" s="234"/>
      <c r="J193" s="234"/>
      <c r="K193" s="234"/>
      <c r="L193" s="234"/>
      <c r="M193" s="234"/>
      <c r="N193" s="234"/>
      <c r="O193" s="234"/>
      <c r="P193" s="234"/>
      <c r="Q193" s="234"/>
      <c r="R193" s="234"/>
      <c r="S193" s="234"/>
      <c r="T193" s="234"/>
      <c r="U193" s="234"/>
      <c r="V193" s="5"/>
    </row>
    <row r="194" spans="1:22" ht="18" thickBot="1" x14ac:dyDescent="0.35">
      <c r="A194" s="195"/>
      <c r="B194" s="238" t="str">
        <f>B133</f>
        <v>PM9 INVESTOR REPORT QUARTER ENDING JANUARY 2012</v>
      </c>
      <c r="C194" s="245"/>
      <c r="D194" s="245"/>
      <c r="E194" s="245"/>
      <c r="F194" s="245"/>
      <c r="G194" s="245"/>
      <c r="H194" s="245"/>
      <c r="I194" s="245"/>
      <c r="J194" s="245"/>
      <c r="K194" s="245"/>
      <c r="L194" s="245"/>
      <c r="M194" s="245"/>
      <c r="N194" s="245"/>
      <c r="O194" s="245"/>
      <c r="P194" s="245"/>
      <c r="Q194" s="245"/>
      <c r="R194" s="245"/>
      <c r="S194" s="245"/>
      <c r="T194" s="245"/>
      <c r="U194" s="246"/>
      <c r="V194" s="5"/>
    </row>
    <row r="195" spans="1:22" ht="15.6" x14ac:dyDescent="0.3">
      <c r="A195" s="321"/>
      <c r="B195" s="324" t="s">
        <v>74</v>
      </c>
      <c r="C195" s="325"/>
      <c r="D195" s="325"/>
      <c r="E195" s="325"/>
      <c r="F195" s="325"/>
      <c r="G195" s="326"/>
      <c r="H195" s="326"/>
      <c r="I195" s="326"/>
      <c r="J195" s="326"/>
      <c r="K195" s="326"/>
      <c r="L195" s="326"/>
      <c r="M195" s="326"/>
      <c r="N195" s="326"/>
      <c r="O195" s="326"/>
      <c r="P195" s="326"/>
      <c r="Q195" s="326"/>
      <c r="R195" s="326">
        <v>40939</v>
      </c>
      <c r="S195" s="322"/>
      <c r="T195" s="322"/>
      <c r="U195" s="322"/>
      <c r="V195" s="5"/>
    </row>
    <row r="196" spans="1:22" ht="15.6" x14ac:dyDescent="0.3">
      <c r="A196" s="210"/>
      <c r="B196" s="211"/>
      <c r="C196" s="212"/>
      <c r="D196" s="212"/>
      <c r="E196" s="212"/>
      <c r="F196" s="212"/>
      <c r="G196" s="213"/>
      <c r="H196" s="213"/>
      <c r="I196" s="213"/>
      <c r="J196" s="213"/>
      <c r="K196" s="213"/>
      <c r="L196" s="213"/>
      <c r="M196" s="213"/>
      <c r="N196" s="213"/>
      <c r="O196" s="213"/>
      <c r="P196" s="213"/>
      <c r="Q196" s="213"/>
      <c r="R196" s="213"/>
      <c r="S196" s="179"/>
      <c r="T196" s="179"/>
      <c r="U196" s="179"/>
      <c r="V196" s="5"/>
    </row>
    <row r="197" spans="1:22" ht="15.6" x14ac:dyDescent="0.3">
      <c r="A197" s="348"/>
      <c r="B197" s="272" t="s">
        <v>75</v>
      </c>
      <c r="C197" s="349"/>
      <c r="D197" s="349"/>
      <c r="E197" s="349"/>
      <c r="F197" s="349"/>
      <c r="G197" s="309"/>
      <c r="H197" s="309"/>
      <c r="I197" s="309"/>
      <c r="J197" s="309"/>
      <c r="K197" s="309"/>
      <c r="L197" s="309"/>
      <c r="M197" s="309"/>
      <c r="N197" s="309"/>
      <c r="O197" s="309"/>
      <c r="P197" s="309"/>
      <c r="Q197" s="309"/>
      <c r="R197" s="304">
        <v>5.8209999999999998E-2</v>
      </c>
      <c r="S197" s="272"/>
      <c r="T197" s="272"/>
      <c r="U197" s="340"/>
      <c r="V197" s="5"/>
    </row>
    <row r="198" spans="1:22" ht="15.6" x14ac:dyDescent="0.3">
      <c r="A198" s="348"/>
      <c r="B198" s="272" t="s">
        <v>164</v>
      </c>
      <c r="C198" s="349"/>
      <c r="D198" s="349"/>
      <c r="E198" s="349"/>
      <c r="F198" s="349"/>
      <c r="G198" s="309"/>
      <c r="H198" s="309"/>
      <c r="I198" s="309"/>
      <c r="J198" s="309"/>
      <c r="K198" s="309"/>
      <c r="L198" s="309"/>
      <c r="M198" s="309"/>
      <c r="N198" s="309"/>
      <c r="O198" s="309"/>
      <c r="P198" s="309"/>
      <c r="Q198" s="309"/>
      <c r="R198" s="304">
        <f>'Oct 05'!R193</f>
        <v>4.8438496428571419E-2</v>
      </c>
      <c r="S198" s="272"/>
      <c r="T198" s="272"/>
      <c r="U198" s="340"/>
      <c r="V198" s="5"/>
    </row>
    <row r="199" spans="1:22" ht="15.6" x14ac:dyDescent="0.3">
      <c r="A199" s="348"/>
      <c r="B199" s="272" t="s">
        <v>76</v>
      </c>
      <c r="C199" s="349"/>
      <c r="D199" s="349"/>
      <c r="E199" s="349"/>
      <c r="F199" s="349"/>
      <c r="G199" s="309"/>
      <c r="H199" s="309"/>
      <c r="I199" s="309"/>
      <c r="J199" s="309"/>
      <c r="K199" s="309"/>
      <c r="L199" s="309"/>
      <c r="M199" s="309"/>
      <c r="N199" s="309"/>
      <c r="O199" s="309"/>
      <c r="P199" s="309"/>
      <c r="Q199" s="309"/>
      <c r="R199" s="304">
        <f>R197-R198</f>
        <v>9.7715035714285789E-3</v>
      </c>
      <c r="S199" s="272"/>
      <c r="T199" s="272"/>
      <c r="U199" s="340"/>
      <c r="V199" s="5"/>
    </row>
    <row r="200" spans="1:22" ht="15.6" x14ac:dyDescent="0.3">
      <c r="A200" s="348"/>
      <c r="B200" s="272" t="s">
        <v>77</v>
      </c>
      <c r="C200" s="349"/>
      <c r="D200" s="349"/>
      <c r="E200" s="349"/>
      <c r="F200" s="349"/>
      <c r="G200" s="309"/>
      <c r="H200" s="309"/>
      <c r="I200" s="309"/>
      <c r="J200" s="309"/>
      <c r="K200" s="309"/>
      <c r="L200" s="309"/>
      <c r="M200" s="309"/>
      <c r="N200" s="309"/>
      <c r="O200" s="309"/>
      <c r="P200" s="309"/>
      <c r="Q200" s="309"/>
      <c r="R200" s="304">
        <v>2.8209999999999999E-2</v>
      </c>
      <c r="S200" s="272"/>
      <c r="T200" s="272"/>
      <c r="U200" s="340"/>
      <c r="V200" s="5"/>
    </row>
    <row r="201" spans="1:22" ht="15.6" x14ac:dyDescent="0.3">
      <c r="A201" s="348"/>
      <c r="B201" s="272" t="s">
        <v>257</v>
      </c>
      <c r="C201" s="349"/>
      <c r="D201" s="349"/>
      <c r="E201" s="349"/>
      <c r="F201" s="349"/>
      <c r="G201" s="309"/>
      <c r="H201" s="309"/>
      <c r="I201" s="309"/>
      <c r="J201" s="309"/>
      <c r="K201" s="309"/>
      <c r="L201" s="309"/>
      <c r="M201" s="309"/>
      <c r="N201" s="309"/>
      <c r="O201" s="309"/>
      <c r="P201" s="309"/>
      <c r="Q201" s="309"/>
      <c r="R201" s="304">
        <f>+T41</f>
        <v>1.5015395248271453E-2</v>
      </c>
      <c r="S201" s="272"/>
      <c r="T201" s="272"/>
      <c r="U201" s="340"/>
      <c r="V201" s="5"/>
    </row>
    <row r="202" spans="1:22" ht="15.6" x14ac:dyDescent="0.3">
      <c r="A202" s="348"/>
      <c r="B202" s="272" t="s">
        <v>78</v>
      </c>
      <c r="C202" s="349"/>
      <c r="D202" s="349"/>
      <c r="E202" s="349"/>
      <c r="F202" s="349"/>
      <c r="G202" s="309"/>
      <c r="H202" s="309"/>
      <c r="I202" s="309"/>
      <c r="J202" s="309"/>
      <c r="K202" s="309"/>
      <c r="L202" s="309"/>
      <c r="M202" s="309"/>
      <c r="N202" s="309"/>
      <c r="O202" s="309"/>
      <c r="P202" s="309"/>
      <c r="Q202" s="309"/>
      <c r="R202" s="304">
        <f>R200-R201</f>
        <v>1.3194604751728546E-2</v>
      </c>
      <c r="S202" s="272"/>
      <c r="T202" s="272"/>
      <c r="U202" s="340"/>
      <c r="V202" s="5"/>
    </row>
    <row r="203" spans="1:22" ht="15.6" x14ac:dyDescent="0.3">
      <c r="A203" s="348"/>
      <c r="B203" s="272" t="s">
        <v>268</v>
      </c>
      <c r="C203" s="349"/>
      <c r="D203" s="349"/>
      <c r="E203" s="349"/>
      <c r="F203" s="349"/>
      <c r="G203" s="309"/>
      <c r="H203" s="309"/>
      <c r="I203" s="309"/>
      <c r="J203" s="309"/>
      <c r="K203" s="309"/>
      <c r="L203" s="309"/>
      <c r="M203" s="309"/>
      <c r="N203" s="309"/>
      <c r="O203" s="309"/>
      <c r="P203" s="309"/>
      <c r="Q203" s="309"/>
      <c r="R203" s="304">
        <f>+T97/L68</f>
        <v>7.704950406747485E-3</v>
      </c>
      <c r="S203" s="272"/>
      <c r="T203" s="272"/>
      <c r="U203" s="340"/>
      <c r="V203" s="5"/>
    </row>
    <row r="204" spans="1:22" ht="15.6" x14ac:dyDescent="0.3">
      <c r="A204" s="348"/>
      <c r="B204" s="272" t="s">
        <v>249</v>
      </c>
      <c r="C204" s="349"/>
      <c r="D204" s="349"/>
      <c r="E204" s="349"/>
      <c r="F204" s="349"/>
      <c r="G204" s="309"/>
      <c r="H204" s="309"/>
      <c r="I204" s="309"/>
      <c r="J204" s="309"/>
      <c r="K204" s="309"/>
      <c r="L204" s="309"/>
      <c r="M204" s="309"/>
      <c r="N204" s="309"/>
      <c r="O204" s="309"/>
      <c r="P204" s="309"/>
      <c r="Q204" s="309"/>
      <c r="R204" s="350">
        <v>51622</v>
      </c>
      <c r="S204" s="272"/>
      <c r="T204" s="272"/>
      <c r="U204" s="340"/>
      <c r="V204" s="5"/>
    </row>
    <row r="205" spans="1:22" ht="15.6" x14ac:dyDescent="0.3">
      <c r="A205" s="348"/>
      <c r="B205" s="272" t="s">
        <v>250</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251</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79</v>
      </c>
      <c r="C207" s="349"/>
      <c r="D207" s="349"/>
      <c r="E207" s="349"/>
      <c r="F207" s="349"/>
      <c r="G207" s="309"/>
      <c r="H207" s="309"/>
      <c r="I207" s="309"/>
      <c r="J207" s="309"/>
      <c r="K207" s="309"/>
      <c r="L207" s="309"/>
      <c r="M207" s="309"/>
      <c r="N207" s="309"/>
      <c r="O207" s="309"/>
      <c r="P207" s="309"/>
      <c r="Q207" s="309"/>
      <c r="R207" s="308">
        <v>20.95</v>
      </c>
      <c r="S207" s="272" t="s">
        <v>119</v>
      </c>
      <c r="T207" s="272"/>
      <c r="U207" s="340"/>
      <c r="V207" s="5"/>
    </row>
    <row r="208" spans="1:22" ht="15.6" x14ac:dyDescent="0.3">
      <c r="A208" s="348"/>
      <c r="B208" s="272" t="s">
        <v>80</v>
      </c>
      <c r="C208" s="349"/>
      <c r="D208" s="349"/>
      <c r="E208" s="349"/>
      <c r="F208" s="349"/>
      <c r="G208" s="309"/>
      <c r="H208" s="309"/>
      <c r="I208" s="309"/>
      <c r="J208" s="309"/>
      <c r="K208" s="309"/>
      <c r="L208" s="309"/>
      <c r="M208" s="309"/>
      <c r="N208" s="309"/>
      <c r="O208" s="309"/>
      <c r="P208" s="309"/>
      <c r="Q208" s="309"/>
      <c r="R208" s="308">
        <v>14.73</v>
      </c>
      <c r="S208" s="272" t="s">
        <v>119</v>
      </c>
      <c r="T208" s="272"/>
      <c r="U208" s="340"/>
      <c r="V208" s="5"/>
    </row>
    <row r="209" spans="1:22" ht="15.6" x14ac:dyDescent="0.3">
      <c r="A209" s="348"/>
      <c r="B209" s="272" t="s">
        <v>81</v>
      </c>
      <c r="C209" s="349"/>
      <c r="D209" s="349"/>
      <c r="E209" s="349"/>
      <c r="F209" s="349"/>
      <c r="G209" s="309"/>
      <c r="H209" s="309"/>
      <c r="I209" s="309"/>
      <c r="J209" s="309"/>
      <c r="K209" s="309"/>
      <c r="L209" s="309"/>
      <c r="M209" s="309"/>
      <c r="N209" s="309"/>
      <c r="O209" s="309"/>
      <c r="P209" s="309"/>
      <c r="Q209" s="309"/>
      <c r="R209" s="304">
        <f>N65/L65</f>
        <v>6.6697669085280008E-3</v>
      </c>
      <c r="S209" s="272"/>
      <c r="T209" s="272"/>
      <c r="U209" s="340"/>
      <c r="V209" s="5"/>
    </row>
    <row r="210" spans="1:22" ht="15.6" x14ac:dyDescent="0.3">
      <c r="A210" s="348"/>
      <c r="B210" s="272" t="s">
        <v>82</v>
      </c>
      <c r="C210" s="349"/>
      <c r="D210" s="349"/>
      <c r="E210" s="349"/>
      <c r="F210" s="349"/>
      <c r="G210" s="309"/>
      <c r="H210" s="309"/>
      <c r="I210" s="309"/>
      <c r="J210" s="309"/>
      <c r="K210" s="309"/>
      <c r="L210" s="309"/>
      <c r="M210" s="309"/>
      <c r="N210" s="309"/>
      <c r="O210" s="309"/>
      <c r="P210" s="309"/>
      <c r="Q210" s="309"/>
      <c r="R210" s="304">
        <v>0.1285</v>
      </c>
      <c r="S210" s="272"/>
      <c r="T210" s="272"/>
      <c r="U210" s="340"/>
      <c r="V210" s="5"/>
    </row>
    <row r="211" spans="1:22" ht="15.6" x14ac:dyDescent="0.3">
      <c r="A211" s="210"/>
      <c r="B211" s="268"/>
      <c r="C211" s="268"/>
      <c r="D211" s="268"/>
      <c r="E211" s="268"/>
      <c r="F211" s="268"/>
      <c r="G211" s="268"/>
      <c r="H211" s="268"/>
      <c r="I211" s="268"/>
      <c r="J211" s="268"/>
      <c r="K211" s="268"/>
      <c r="L211" s="268"/>
      <c r="M211" s="268"/>
      <c r="N211" s="268"/>
      <c r="O211" s="268"/>
      <c r="P211" s="268"/>
      <c r="Q211" s="268"/>
      <c r="R211" s="344"/>
      <c r="S211" s="268"/>
      <c r="T211" s="347"/>
      <c r="U211" s="314"/>
      <c r="V211" s="5"/>
    </row>
    <row r="212" spans="1:22" ht="15.6" x14ac:dyDescent="0.3">
      <c r="A212" s="327"/>
      <c r="B212" s="259" t="s">
        <v>83</v>
      </c>
      <c r="C212" s="260"/>
      <c r="D212" s="260"/>
      <c r="E212" s="260"/>
      <c r="F212" s="261"/>
      <c r="G212" s="260"/>
      <c r="H212" s="260"/>
      <c r="I212" s="260"/>
      <c r="J212" s="260"/>
      <c r="K212" s="260"/>
      <c r="L212" s="260"/>
      <c r="M212" s="260"/>
      <c r="N212" s="260"/>
      <c r="O212" s="260"/>
      <c r="P212" s="260"/>
      <c r="Q212" s="260" t="s">
        <v>108</v>
      </c>
      <c r="R212" s="261" t="s">
        <v>115</v>
      </c>
      <c r="S212" s="262"/>
      <c r="T212" s="262"/>
      <c r="U212" s="262"/>
      <c r="V212" s="5"/>
    </row>
    <row r="213" spans="1:22" ht="15.6" x14ac:dyDescent="0.3">
      <c r="A213" s="214"/>
      <c r="B213" s="228" t="s">
        <v>84</v>
      </c>
      <c r="C213" s="231"/>
      <c r="D213" s="231"/>
      <c r="E213" s="231"/>
      <c r="F213" s="228"/>
      <c r="G213" s="228"/>
      <c r="H213" s="230"/>
      <c r="I213" s="230"/>
      <c r="J213" s="230"/>
      <c r="K213" s="230"/>
      <c r="L213" s="230"/>
      <c r="M213" s="230"/>
      <c r="N213" s="230"/>
      <c r="O213" s="230"/>
      <c r="P213" s="230"/>
      <c r="Q213" s="230">
        <v>2</v>
      </c>
      <c r="R213" s="248">
        <v>154</v>
      </c>
      <c r="S213" s="228"/>
      <c r="T213" s="247"/>
      <c r="U213" s="215"/>
      <c r="V213" s="5"/>
    </row>
    <row r="214" spans="1:22" ht="15.6" x14ac:dyDescent="0.3">
      <c r="A214" s="358"/>
      <c r="B214" s="272" t="s">
        <v>156</v>
      </c>
      <c r="C214" s="317"/>
      <c r="D214" s="317"/>
      <c r="E214" s="317"/>
      <c r="F214" s="272"/>
      <c r="G214" s="272"/>
      <c r="H214" s="279"/>
      <c r="I214" s="279"/>
      <c r="J214" s="279"/>
      <c r="K214" s="279"/>
      <c r="L214" s="279"/>
      <c r="M214" s="279"/>
      <c r="N214" s="279"/>
      <c r="O214" s="279"/>
      <c r="P214" s="279"/>
      <c r="Q214" s="359">
        <f>+P265</f>
        <v>70</v>
      </c>
      <c r="R214" s="360">
        <f>+R265</f>
        <v>10026</v>
      </c>
      <c r="S214" s="272"/>
      <c r="T214" s="361"/>
      <c r="U214" s="362"/>
      <c r="V214" s="5"/>
    </row>
    <row r="215" spans="1:22" ht="15.6" x14ac:dyDescent="0.3">
      <c r="A215" s="358"/>
      <c r="B215" s="272" t="s">
        <v>85</v>
      </c>
      <c r="C215" s="317"/>
      <c r="D215" s="317"/>
      <c r="E215" s="317"/>
      <c r="F215" s="272"/>
      <c r="G215" s="272"/>
      <c r="H215" s="279"/>
      <c r="I215" s="279"/>
      <c r="J215" s="279"/>
      <c r="K215" s="279"/>
      <c r="L215" s="279"/>
      <c r="M215" s="279"/>
      <c r="N215" s="279"/>
      <c r="O215" s="279"/>
      <c r="P215" s="279"/>
      <c r="Q215" s="359">
        <f>+P277</f>
        <v>0</v>
      </c>
      <c r="R215" s="360">
        <f>+R277</f>
        <v>0</v>
      </c>
      <c r="S215" s="272"/>
      <c r="T215" s="361"/>
      <c r="U215" s="362"/>
      <c r="V215" s="5"/>
    </row>
    <row r="216" spans="1:22" ht="15.6" x14ac:dyDescent="0.3">
      <c r="A216" s="358"/>
      <c r="B216" s="293" t="s">
        <v>86</v>
      </c>
      <c r="C216" s="363"/>
      <c r="D216" s="363"/>
      <c r="E216" s="363"/>
      <c r="F216" s="337"/>
      <c r="G216" s="337"/>
      <c r="H216" s="337"/>
      <c r="I216" s="337"/>
      <c r="J216" s="337"/>
      <c r="K216" s="337"/>
      <c r="L216" s="337"/>
      <c r="M216" s="337"/>
      <c r="N216" s="337"/>
      <c r="O216" s="337"/>
      <c r="P216" s="337"/>
      <c r="Q216" s="337"/>
      <c r="R216" s="360">
        <v>0</v>
      </c>
      <c r="S216" s="337"/>
      <c r="T216" s="364"/>
      <c r="U216" s="362"/>
      <c r="V216" s="5"/>
    </row>
    <row r="217" spans="1:22" ht="15.6" x14ac:dyDescent="0.3">
      <c r="A217" s="358"/>
      <c r="B217" s="293" t="s">
        <v>87</v>
      </c>
      <c r="C217" s="363"/>
      <c r="D217" s="363"/>
      <c r="E217" s="363"/>
      <c r="F217" s="337"/>
      <c r="G217" s="337"/>
      <c r="H217" s="337"/>
      <c r="I217" s="337"/>
      <c r="J217" s="337"/>
      <c r="K217" s="337"/>
      <c r="L217" s="337"/>
      <c r="M217" s="337"/>
      <c r="N217" s="337"/>
      <c r="O217" s="337"/>
      <c r="P217" s="337"/>
      <c r="Q217" s="337"/>
      <c r="R217" s="365" t="s">
        <v>116</v>
      </c>
      <c r="S217" s="337"/>
      <c r="T217" s="364"/>
      <c r="U217" s="362"/>
      <c r="V217" s="5"/>
    </row>
    <row r="218" spans="1:22" ht="15.6" x14ac:dyDescent="0.3">
      <c r="A218" s="366"/>
      <c r="B218" s="293" t="s">
        <v>88</v>
      </c>
      <c r="C218" s="367"/>
      <c r="D218" s="367"/>
      <c r="E218" s="367"/>
      <c r="F218" s="367"/>
      <c r="G218" s="337"/>
      <c r="H218" s="337"/>
      <c r="I218" s="337"/>
      <c r="J218" s="337"/>
      <c r="K218" s="337"/>
      <c r="L218" s="337"/>
      <c r="M218" s="337"/>
      <c r="N218" s="337"/>
      <c r="O218" s="337"/>
      <c r="P218" s="337"/>
      <c r="Q218" s="337"/>
      <c r="R218" s="368"/>
      <c r="S218" s="337"/>
      <c r="T218" s="364"/>
      <c r="U218" s="369"/>
      <c r="V218" s="5"/>
    </row>
    <row r="219" spans="1:22" ht="15.6" x14ac:dyDescent="0.3">
      <c r="A219" s="366"/>
      <c r="B219" s="272" t="s">
        <v>89</v>
      </c>
      <c r="C219" s="272"/>
      <c r="D219" s="272"/>
      <c r="E219" s="272"/>
      <c r="F219" s="272"/>
      <c r="G219" s="272"/>
      <c r="H219" s="272"/>
      <c r="I219" s="272"/>
      <c r="J219" s="272"/>
      <c r="K219" s="272"/>
      <c r="L219" s="272"/>
      <c r="M219" s="272"/>
      <c r="N219" s="272"/>
      <c r="O219" s="272"/>
      <c r="P219" s="272"/>
      <c r="Q219" s="279"/>
      <c r="R219" s="360">
        <f>T163</f>
        <v>120</v>
      </c>
      <c r="S219" s="272"/>
      <c r="T219" s="364"/>
      <c r="U219" s="369"/>
      <c r="V219" s="5"/>
    </row>
    <row r="220" spans="1:22" ht="15.6" x14ac:dyDescent="0.3">
      <c r="A220" s="358"/>
      <c r="B220" s="272" t="s">
        <v>90</v>
      </c>
      <c r="C220" s="317"/>
      <c r="D220" s="317"/>
      <c r="E220" s="317"/>
      <c r="F220" s="317"/>
      <c r="G220" s="272"/>
      <c r="H220" s="272"/>
      <c r="I220" s="272"/>
      <c r="J220" s="272"/>
      <c r="K220" s="272"/>
      <c r="L220" s="272"/>
      <c r="M220" s="272"/>
      <c r="N220" s="272"/>
      <c r="O220" s="272"/>
      <c r="P220" s="272"/>
      <c r="Q220" s="279"/>
      <c r="R220" s="360">
        <f>'Oct 11'!R220+'Jan 12'!R219</f>
        <v>2284</v>
      </c>
      <c r="S220" s="272"/>
      <c r="T220" s="364"/>
      <c r="U220" s="369"/>
      <c r="V220" s="5"/>
    </row>
    <row r="221" spans="1:22" ht="15.6" x14ac:dyDescent="0.3">
      <c r="A221" s="366"/>
      <c r="B221" s="293" t="s">
        <v>288</v>
      </c>
      <c r="C221" s="367"/>
      <c r="D221" s="367"/>
      <c r="E221" s="367"/>
      <c r="F221" s="367"/>
      <c r="G221" s="337"/>
      <c r="H221" s="337"/>
      <c r="I221" s="337"/>
      <c r="J221" s="337"/>
      <c r="K221" s="337"/>
      <c r="L221" s="337"/>
      <c r="M221" s="337"/>
      <c r="N221" s="337"/>
      <c r="O221" s="337"/>
      <c r="P221" s="337"/>
      <c r="Q221" s="374"/>
      <c r="R221" s="368"/>
      <c r="S221" s="337"/>
      <c r="T221" s="364"/>
      <c r="U221" s="369"/>
      <c r="V221" s="5"/>
    </row>
    <row r="222" spans="1:22" ht="15.6" x14ac:dyDescent="0.3">
      <c r="A222" s="375"/>
      <c r="B222" s="272" t="s">
        <v>286</v>
      </c>
      <c r="C222" s="272"/>
      <c r="D222" s="272"/>
      <c r="E222" s="272"/>
      <c r="F222" s="272"/>
      <c r="G222" s="272"/>
      <c r="H222" s="272"/>
      <c r="I222" s="272"/>
      <c r="J222" s="272"/>
      <c r="K222" s="272"/>
      <c r="L222" s="272"/>
      <c r="M222" s="272"/>
      <c r="N222" s="272"/>
      <c r="O222" s="272"/>
      <c r="P222" s="272"/>
      <c r="Q222" s="279">
        <v>1</v>
      </c>
      <c r="R222" s="360">
        <v>175</v>
      </c>
      <c r="S222" s="272"/>
      <c r="T222" s="361"/>
      <c r="U222" s="369"/>
      <c r="V222" s="5"/>
    </row>
    <row r="223" spans="1:22" ht="15.6" x14ac:dyDescent="0.3">
      <c r="A223" s="376"/>
      <c r="B223" s="272" t="s">
        <v>92</v>
      </c>
      <c r="C223" s="306"/>
      <c r="D223" s="306"/>
      <c r="E223" s="306"/>
      <c r="F223" s="377"/>
      <c r="G223" s="272"/>
      <c r="H223" s="272"/>
      <c r="I223" s="272"/>
      <c r="J223" s="272"/>
      <c r="K223" s="272"/>
      <c r="L223" s="272"/>
      <c r="M223" s="272"/>
      <c r="N223" s="272"/>
      <c r="O223" s="272"/>
      <c r="P223" s="272"/>
      <c r="Q223" s="279"/>
      <c r="R223" s="365">
        <v>4.5220000000000002</v>
      </c>
      <c r="S223" s="272"/>
      <c r="T223" s="361"/>
      <c r="U223" s="369"/>
      <c r="V223" s="5"/>
    </row>
    <row r="224" spans="1:22" ht="15.6" x14ac:dyDescent="0.3">
      <c r="A224" s="376"/>
      <c r="B224" s="272" t="s">
        <v>93</v>
      </c>
      <c r="C224" s="306"/>
      <c r="D224" s="306"/>
      <c r="E224" s="306"/>
      <c r="F224" s="377"/>
      <c r="G224" s="272"/>
      <c r="H224" s="272"/>
      <c r="I224" s="272"/>
      <c r="J224" s="272"/>
      <c r="K224" s="272"/>
      <c r="L224" s="272"/>
      <c r="M224" s="272"/>
      <c r="N224" s="272"/>
      <c r="O224" s="272"/>
      <c r="P224" s="272"/>
      <c r="Q224" s="279"/>
      <c r="R224" s="365">
        <v>4.83</v>
      </c>
      <c r="S224" s="272"/>
      <c r="T224" s="361"/>
      <c r="U224" s="369"/>
      <c r="V224" s="5"/>
    </row>
    <row r="225" spans="1:23" ht="15.6" x14ac:dyDescent="0.3">
      <c r="A225" s="358"/>
      <c r="B225" s="293" t="s">
        <v>258</v>
      </c>
      <c r="C225" s="378"/>
      <c r="D225" s="378"/>
      <c r="E225" s="378"/>
      <c r="F225" s="379"/>
      <c r="G225" s="337"/>
      <c r="H225" s="337"/>
      <c r="I225" s="337"/>
      <c r="J225" s="337"/>
      <c r="K225" s="337"/>
      <c r="L225" s="337"/>
      <c r="M225" s="337"/>
      <c r="N225" s="337"/>
      <c r="O225" s="337"/>
      <c r="P225" s="337"/>
      <c r="Q225" s="374"/>
      <c r="R225" s="380"/>
      <c r="S225" s="337"/>
      <c r="T225" s="364"/>
      <c r="U225" s="369"/>
      <c r="V225" s="5"/>
    </row>
    <row r="226" spans="1:23" ht="15.6" x14ac:dyDescent="0.3">
      <c r="A226" s="376"/>
      <c r="B226" s="272" t="s">
        <v>286</v>
      </c>
      <c r="C226" s="306"/>
      <c r="D226" s="306"/>
      <c r="E226" s="306"/>
      <c r="F226" s="377"/>
      <c r="G226" s="272"/>
      <c r="H226" s="272"/>
      <c r="I226" s="272"/>
      <c r="J226" s="272"/>
      <c r="K226" s="272"/>
      <c r="L226" s="272"/>
      <c r="M226" s="272"/>
      <c r="N226" s="272"/>
      <c r="O226" s="272"/>
      <c r="P226" s="272"/>
      <c r="Q226" s="279">
        <v>2</v>
      </c>
      <c r="R226" s="360">
        <v>335</v>
      </c>
      <c r="S226" s="272"/>
      <c r="T226" s="364"/>
      <c r="U226" s="369"/>
      <c r="V226" s="5"/>
    </row>
    <row r="227" spans="1:23" ht="15.6" x14ac:dyDescent="0.3">
      <c r="A227" s="376"/>
      <c r="B227" s="272" t="s">
        <v>259</v>
      </c>
      <c r="C227" s="306"/>
      <c r="D227" s="306"/>
      <c r="E227" s="306"/>
      <c r="F227" s="377"/>
      <c r="G227" s="272"/>
      <c r="H227" s="272"/>
      <c r="I227" s="272"/>
      <c r="J227" s="272"/>
      <c r="K227" s="272"/>
      <c r="L227" s="272"/>
      <c r="M227" s="272"/>
      <c r="N227" s="272"/>
      <c r="O227" s="272"/>
      <c r="P227" s="272"/>
      <c r="Q227" s="272"/>
      <c r="R227" s="365">
        <v>0.5</v>
      </c>
      <c r="S227" s="272"/>
      <c r="T227" s="364"/>
      <c r="U227" s="369"/>
      <c r="V227" s="5"/>
    </row>
    <row r="228" spans="1:23" ht="15.6" x14ac:dyDescent="0.3">
      <c r="A228" s="358"/>
      <c r="B228" s="367"/>
      <c r="C228" s="378"/>
      <c r="D228" s="378"/>
      <c r="E228" s="378"/>
      <c r="F228" s="379"/>
      <c r="G228" s="337"/>
      <c r="H228" s="337"/>
      <c r="I228" s="337"/>
      <c r="J228" s="337"/>
      <c r="K228" s="337"/>
      <c r="L228" s="337"/>
      <c r="M228" s="337"/>
      <c r="N228" s="337"/>
      <c r="O228" s="337"/>
      <c r="P228" s="337"/>
      <c r="Q228" s="337"/>
      <c r="R228" s="381"/>
      <c r="S228" s="337"/>
      <c r="T228" s="364"/>
      <c r="U228" s="369"/>
      <c r="V228" s="5"/>
    </row>
    <row r="229" spans="1:23" ht="17.399999999999999" x14ac:dyDescent="0.3">
      <c r="A229" s="358"/>
      <c r="B229" s="382" t="s">
        <v>208</v>
      </c>
      <c r="C229" s="378"/>
      <c r="D229" s="378"/>
      <c r="E229" s="378"/>
      <c r="F229" s="379"/>
      <c r="G229" s="337"/>
      <c r="H229" s="337"/>
      <c r="I229" s="337"/>
      <c r="J229" s="337"/>
      <c r="K229" s="337"/>
      <c r="L229" s="337"/>
      <c r="M229" s="337"/>
      <c r="N229" s="383" t="s">
        <v>207</v>
      </c>
      <c r="O229" s="337"/>
      <c r="P229" s="337"/>
      <c r="Q229" s="337"/>
      <c r="R229" s="381"/>
      <c r="S229" s="337"/>
      <c r="T229" s="364"/>
      <c r="U229" s="369"/>
      <c r="V229" s="5"/>
    </row>
    <row r="230" spans="1:23" ht="15.6" x14ac:dyDescent="0.3">
      <c r="A230" s="351"/>
      <c r="B230" s="352"/>
      <c r="C230" s="353"/>
      <c r="D230" s="353"/>
      <c r="E230" s="353"/>
      <c r="F230" s="354"/>
      <c r="G230" s="314"/>
      <c r="H230" s="314"/>
      <c r="I230" s="314"/>
      <c r="J230" s="314"/>
      <c r="K230" s="314"/>
      <c r="L230" s="314"/>
      <c r="M230" s="314"/>
      <c r="N230" s="314"/>
      <c r="O230" s="314"/>
      <c r="P230" s="314"/>
      <c r="Q230" s="314"/>
      <c r="R230" s="355"/>
      <c r="S230" s="314"/>
      <c r="T230" s="356"/>
      <c r="U230" s="357"/>
      <c r="V230" s="5"/>
    </row>
    <row r="231" spans="1:23" ht="15.6" x14ac:dyDescent="0.3">
      <c r="A231" s="258"/>
      <c r="B231" s="259" t="s">
        <v>302</v>
      </c>
      <c r="C231" s="260"/>
      <c r="D231" s="260"/>
      <c r="E231" s="260"/>
      <c r="F231" s="261"/>
      <c r="G231" s="260"/>
      <c r="H231" s="260"/>
      <c r="I231" s="260"/>
      <c r="J231" s="260"/>
      <c r="K231" s="260"/>
      <c r="L231" s="260"/>
      <c r="M231" s="260"/>
      <c r="N231" s="260"/>
      <c r="O231" s="260"/>
      <c r="P231" s="261" t="s">
        <v>108</v>
      </c>
      <c r="Q231" s="260" t="s">
        <v>109</v>
      </c>
      <c r="R231" s="261" t="s">
        <v>117</v>
      </c>
      <c r="S231" s="260" t="s">
        <v>109</v>
      </c>
      <c r="T231" s="262"/>
      <c r="U231" s="259"/>
      <c r="V231" s="5"/>
    </row>
    <row r="232" spans="1:23" ht="15.6" x14ac:dyDescent="0.3">
      <c r="A232" s="232"/>
      <c r="B232" s="231" t="s">
        <v>94</v>
      </c>
      <c r="C232" s="249"/>
      <c r="D232" s="249"/>
      <c r="E232" s="249"/>
      <c r="F232" s="228"/>
      <c r="G232" s="249"/>
      <c r="H232" s="249"/>
      <c r="I232" s="249"/>
      <c r="J232" s="249"/>
      <c r="K232" s="249"/>
      <c r="L232" s="249"/>
      <c r="M232" s="249"/>
      <c r="N232" s="249"/>
      <c r="O232" s="249"/>
      <c r="P232" s="317">
        <f t="shared" ref="P232:P239" si="1">+P244+P256+P268</f>
        <v>2559</v>
      </c>
      <c r="Q232" s="388">
        <f t="shared" ref="Q232:Q239" si="2">P232/$P$241</f>
        <v>0.98764955615592431</v>
      </c>
      <c r="R232" s="318">
        <f t="shared" ref="R232:R239" si="3">+R244+R256+R268</f>
        <v>306513</v>
      </c>
      <c r="S232" s="388">
        <f t="shared" ref="S232:S239" si="4">R232/$R$241</f>
        <v>0.98157660456149565</v>
      </c>
      <c r="T232" s="247"/>
      <c r="U232" s="229"/>
      <c r="V232" s="5"/>
    </row>
    <row r="233" spans="1:23" ht="15.6" x14ac:dyDescent="0.3">
      <c r="A233" s="302"/>
      <c r="B233" s="317" t="s">
        <v>95</v>
      </c>
      <c r="C233" s="387"/>
      <c r="D233" s="387"/>
      <c r="E233" s="387"/>
      <c r="F233" s="272"/>
      <c r="G233" s="388"/>
      <c r="H233" s="387"/>
      <c r="I233" s="387"/>
      <c r="J233" s="387"/>
      <c r="K233" s="387"/>
      <c r="L233" s="387"/>
      <c r="M233" s="387"/>
      <c r="N233" s="387"/>
      <c r="O233" s="387"/>
      <c r="P233" s="317">
        <f t="shared" si="1"/>
        <v>10</v>
      </c>
      <c r="Q233" s="388">
        <f t="shared" si="2"/>
        <v>3.8595137012736396E-3</v>
      </c>
      <c r="R233" s="318">
        <f t="shared" si="3"/>
        <v>2197</v>
      </c>
      <c r="S233" s="388">
        <f t="shared" si="4"/>
        <v>7.0356683084293516E-3</v>
      </c>
      <c r="T233" s="361"/>
      <c r="U233" s="389"/>
      <c r="V233" s="5"/>
      <c r="W233" s="110"/>
    </row>
    <row r="234" spans="1:23" ht="15.6" x14ac:dyDescent="0.3">
      <c r="A234" s="302"/>
      <c r="B234" s="317" t="s">
        <v>96</v>
      </c>
      <c r="C234" s="387"/>
      <c r="D234" s="387"/>
      <c r="E234" s="387"/>
      <c r="F234" s="272"/>
      <c r="G234" s="388"/>
      <c r="H234" s="387"/>
      <c r="I234" s="387"/>
      <c r="J234" s="387"/>
      <c r="K234" s="387"/>
      <c r="L234" s="387"/>
      <c r="M234" s="387"/>
      <c r="N234" s="387"/>
      <c r="O234" s="387"/>
      <c r="P234" s="317">
        <f t="shared" si="1"/>
        <v>3</v>
      </c>
      <c r="Q234" s="388">
        <f t="shared" si="2"/>
        <v>1.1578541103820917E-3</v>
      </c>
      <c r="R234" s="318">
        <f t="shared" si="3"/>
        <v>267</v>
      </c>
      <c r="S234" s="388">
        <f t="shared" si="4"/>
        <v>8.5504025414230177E-4</v>
      </c>
      <c r="T234" s="361"/>
      <c r="U234" s="389"/>
      <c r="V234" s="5"/>
    </row>
    <row r="235" spans="1:23" ht="15.6" x14ac:dyDescent="0.3">
      <c r="A235" s="302"/>
      <c r="B235" s="317" t="s">
        <v>171</v>
      </c>
      <c r="C235" s="387"/>
      <c r="D235" s="387"/>
      <c r="E235" s="387"/>
      <c r="F235" s="272"/>
      <c r="G235" s="388"/>
      <c r="H235" s="387"/>
      <c r="I235" s="387"/>
      <c r="J235" s="387"/>
      <c r="K235" s="387"/>
      <c r="L235" s="387"/>
      <c r="M235" s="387"/>
      <c r="N235" s="387"/>
      <c r="O235" s="387"/>
      <c r="P235" s="317">
        <f t="shared" si="1"/>
        <v>1</v>
      </c>
      <c r="Q235" s="388">
        <f t="shared" si="2"/>
        <v>3.8595137012736397E-4</v>
      </c>
      <c r="R235" s="318">
        <f t="shared" si="3"/>
        <v>48</v>
      </c>
      <c r="S235" s="388">
        <f t="shared" si="4"/>
        <v>1.5371510186827896E-4</v>
      </c>
      <c r="T235" s="361"/>
      <c r="U235" s="389"/>
      <c r="V235" s="5"/>
      <c r="W235" s="110"/>
    </row>
    <row r="236" spans="1:23" ht="15.6" x14ac:dyDescent="0.3">
      <c r="A236" s="302"/>
      <c r="B236" s="317" t="s">
        <v>172</v>
      </c>
      <c r="C236" s="387"/>
      <c r="D236" s="387"/>
      <c r="E236" s="387"/>
      <c r="F236" s="272"/>
      <c r="G236" s="388"/>
      <c r="H236" s="387"/>
      <c r="I236" s="387"/>
      <c r="J236" s="387"/>
      <c r="K236" s="387"/>
      <c r="L236" s="387"/>
      <c r="M236" s="387"/>
      <c r="N236" s="387"/>
      <c r="O236" s="387"/>
      <c r="P236" s="317">
        <f t="shared" si="1"/>
        <v>2</v>
      </c>
      <c r="Q236" s="388">
        <f t="shared" si="2"/>
        <v>7.7190274025472794E-4</v>
      </c>
      <c r="R236" s="318">
        <f t="shared" si="3"/>
        <v>180</v>
      </c>
      <c r="S236" s="388">
        <f t="shared" si="4"/>
        <v>5.764316320060461E-4</v>
      </c>
      <c r="T236" s="361"/>
      <c r="U236" s="389"/>
      <c r="V236" s="5"/>
    </row>
    <row r="237" spans="1:23" ht="15.6" x14ac:dyDescent="0.3">
      <c r="A237" s="302"/>
      <c r="B237" s="317" t="s">
        <v>173</v>
      </c>
      <c r="C237" s="387"/>
      <c r="D237" s="387"/>
      <c r="E237" s="387"/>
      <c r="F237" s="272"/>
      <c r="G237" s="388"/>
      <c r="H237" s="387"/>
      <c r="I237" s="387"/>
      <c r="J237" s="387"/>
      <c r="K237" s="387"/>
      <c r="L237" s="387"/>
      <c r="M237" s="387"/>
      <c r="N237" s="387"/>
      <c r="O237" s="387"/>
      <c r="P237" s="317">
        <f t="shared" si="1"/>
        <v>1</v>
      </c>
      <c r="Q237" s="388">
        <f t="shared" si="2"/>
        <v>3.8595137012736397E-4</v>
      </c>
      <c r="R237" s="318">
        <f t="shared" si="3"/>
        <v>131</v>
      </c>
      <c r="S237" s="388">
        <f t="shared" si="4"/>
        <v>4.1951413218217803E-4</v>
      </c>
      <c r="T237" s="361"/>
      <c r="U237" s="389"/>
      <c r="V237" s="5"/>
      <c r="W237" s="110"/>
    </row>
    <row r="238" spans="1:23" ht="15.6" x14ac:dyDescent="0.3">
      <c r="A238" s="302"/>
      <c r="B238" s="317" t="s">
        <v>174</v>
      </c>
      <c r="C238" s="387"/>
      <c r="D238" s="387"/>
      <c r="E238" s="387"/>
      <c r="F238" s="272"/>
      <c r="G238" s="388"/>
      <c r="H238" s="387"/>
      <c r="I238" s="387"/>
      <c r="J238" s="387"/>
      <c r="K238" s="387"/>
      <c r="L238" s="387"/>
      <c r="M238" s="387"/>
      <c r="N238" s="387"/>
      <c r="O238" s="387"/>
      <c r="P238" s="317">
        <f t="shared" si="1"/>
        <v>7</v>
      </c>
      <c r="Q238" s="388">
        <f t="shared" si="2"/>
        <v>2.7016595908915478E-3</v>
      </c>
      <c r="R238" s="318">
        <f t="shared" si="3"/>
        <v>1261</v>
      </c>
      <c r="S238" s="388">
        <f t="shared" si="4"/>
        <v>4.0382238219979121E-3</v>
      </c>
      <c r="T238" s="361"/>
      <c r="U238" s="389"/>
      <c r="V238" s="5"/>
    </row>
    <row r="239" spans="1:23" ht="15.6" x14ac:dyDescent="0.3">
      <c r="A239" s="302"/>
      <c r="B239" s="317" t="s">
        <v>175</v>
      </c>
      <c r="C239" s="387"/>
      <c r="D239" s="387"/>
      <c r="E239" s="387"/>
      <c r="F239" s="272"/>
      <c r="G239" s="388"/>
      <c r="H239" s="387"/>
      <c r="I239" s="387"/>
      <c r="J239" s="387"/>
      <c r="K239" s="387"/>
      <c r="L239" s="387"/>
      <c r="M239" s="387"/>
      <c r="N239" s="387"/>
      <c r="O239" s="387"/>
      <c r="P239" s="317">
        <f t="shared" si="1"/>
        <v>8</v>
      </c>
      <c r="Q239" s="388">
        <f t="shared" si="2"/>
        <v>3.0876109610189118E-3</v>
      </c>
      <c r="R239" s="318">
        <f t="shared" si="3"/>
        <v>1669</v>
      </c>
      <c r="S239" s="388">
        <f t="shared" si="4"/>
        <v>5.3448021878782833E-3</v>
      </c>
      <c r="T239" s="361"/>
      <c r="U239" s="389"/>
      <c r="V239" s="5"/>
      <c r="W239" s="110"/>
    </row>
    <row r="240" spans="1:23" ht="15.6" x14ac:dyDescent="0.3">
      <c r="A240" s="302"/>
      <c r="B240" s="317"/>
      <c r="C240" s="387"/>
      <c r="D240" s="387"/>
      <c r="E240" s="387"/>
      <c r="F240" s="272"/>
      <c r="G240" s="388"/>
      <c r="H240" s="387"/>
      <c r="I240" s="387"/>
      <c r="J240" s="387"/>
      <c r="K240" s="387"/>
      <c r="L240" s="387"/>
      <c r="M240" s="387"/>
      <c r="N240" s="387"/>
      <c r="O240" s="387"/>
      <c r="P240" s="317"/>
      <c r="Q240" s="388"/>
      <c r="R240" s="318"/>
      <c r="S240" s="388"/>
      <c r="T240" s="361"/>
      <c r="U240" s="389"/>
      <c r="V240" s="5"/>
    </row>
    <row r="241" spans="1:23" ht="15.6" x14ac:dyDescent="0.3">
      <c r="A241" s="302"/>
      <c r="B241" s="272"/>
      <c r="C241" s="272"/>
      <c r="D241" s="272"/>
      <c r="E241" s="272"/>
      <c r="F241" s="272"/>
      <c r="G241" s="272"/>
      <c r="H241" s="390"/>
      <c r="I241" s="390"/>
      <c r="J241" s="390"/>
      <c r="K241" s="390"/>
      <c r="L241" s="390"/>
      <c r="M241" s="390"/>
      <c r="N241" s="390"/>
      <c r="O241" s="390"/>
      <c r="P241" s="317">
        <f>SUM(P232:P240)</f>
        <v>2591</v>
      </c>
      <c r="Q241" s="388">
        <f>SUM(Q232:Q240)</f>
        <v>0.99999999999999989</v>
      </c>
      <c r="R241" s="318">
        <f>SUM(R232:R240)</f>
        <v>312266</v>
      </c>
      <c r="S241" s="388">
        <f>SUM(S232:S240)</f>
        <v>1</v>
      </c>
      <c r="T241" s="272"/>
      <c r="U241" s="275"/>
      <c r="V241" s="5"/>
    </row>
    <row r="242" spans="1:23" ht="15.6" x14ac:dyDescent="0.3">
      <c r="A242" s="351"/>
      <c r="B242" s="352"/>
      <c r="C242" s="353"/>
      <c r="D242" s="353"/>
      <c r="E242" s="353"/>
      <c r="F242" s="354"/>
      <c r="G242" s="314"/>
      <c r="H242" s="314"/>
      <c r="I242" s="314"/>
      <c r="J242" s="314"/>
      <c r="K242" s="314"/>
      <c r="L242" s="314"/>
      <c r="M242" s="314"/>
      <c r="N242" s="314"/>
      <c r="O242" s="314"/>
      <c r="P242" s="314"/>
      <c r="Q242" s="314"/>
      <c r="R242" s="355"/>
      <c r="S242" s="314"/>
      <c r="T242" s="356"/>
      <c r="U242" s="357"/>
      <c r="V242" s="5"/>
    </row>
    <row r="243" spans="1:23" ht="15.6" x14ac:dyDescent="0.3">
      <c r="A243" s="258"/>
      <c r="B243" s="259" t="s">
        <v>177</v>
      </c>
      <c r="C243" s="260"/>
      <c r="D243" s="260"/>
      <c r="E243" s="260"/>
      <c r="F243" s="261"/>
      <c r="G243" s="260"/>
      <c r="H243" s="260"/>
      <c r="I243" s="260"/>
      <c r="J243" s="260"/>
      <c r="K243" s="260"/>
      <c r="L243" s="260"/>
      <c r="M243" s="260"/>
      <c r="N243" s="260"/>
      <c r="O243" s="260"/>
      <c r="P243" s="261" t="s">
        <v>108</v>
      </c>
      <c r="Q243" s="260" t="s">
        <v>109</v>
      </c>
      <c r="R243" s="261" t="s">
        <v>117</v>
      </c>
      <c r="S243" s="260" t="s">
        <v>109</v>
      </c>
      <c r="T243" s="262"/>
      <c r="U243" s="259"/>
      <c r="V243" s="5"/>
    </row>
    <row r="244" spans="1:23" ht="15.6" x14ac:dyDescent="0.3">
      <c r="A244" s="232"/>
      <c r="B244" s="231" t="s">
        <v>94</v>
      </c>
      <c r="C244" s="249"/>
      <c r="D244" s="249"/>
      <c r="E244" s="249"/>
      <c r="F244" s="228"/>
      <c r="G244" s="249"/>
      <c r="H244" s="249"/>
      <c r="I244" s="249"/>
      <c r="J244" s="249"/>
      <c r="K244" s="249"/>
      <c r="L244" s="249"/>
      <c r="M244" s="249"/>
      <c r="N244" s="249"/>
      <c r="O244" s="249"/>
      <c r="P244" s="231">
        <v>2509</v>
      </c>
      <c r="Q244" s="250">
        <f t="shared" ref="Q244:Q251" si="5">P244/$P$253</f>
        <v>0.99523998413328041</v>
      </c>
      <c r="R244" s="242">
        <v>299672</v>
      </c>
      <c r="S244" s="250">
        <f t="shared" ref="S244:S251" si="6">R244/$R$253</f>
        <v>0.9915034409740604</v>
      </c>
      <c r="T244" s="247"/>
      <c r="U244" s="229"/>
      <c r="V244" s="5"/>
    </row>
    <row r="245" spans="1:23" ht="15.6" x14ac:dyDescent="0.3">
      <c r="A245" s="302"/>
      <c r="B245" s="317" t="s">
        <v>95</v>
      </c>
      <c r="C245" s="387"/>
      <c r="D245" s="387"/>
      <c r="E245" s="387"/>
      <c r="F245" s="272"/>
      <c r="G245" s="388"/>
      <c r="H245" s="387"/>
      <c r="I245" s="387"/>
      <c r="J245" s="387"/>
      <c r="K245" s="387"/>
      <c r="L245" s="387"/>
      <c r="M245" s="387"/>
      <c r="N245" s="387"/>
      <c r="O245" s="387"/>
      <c r="P245" s="317">
        <v>10</v>
      </c>
      <c r="Q245" s="388">
        <f t="shared" si="5"/>
        <v>3.9666798889329627E-3</v>
      </c>
      <c r="R245" s="318">
        <v>2197</v>
      </c>
      <c r="S245" s="388">
        <f t="shared" si="6"/>
        <v>7.2690577024880892E-3</v>
      </c>
      <c r="T245" s="361"/>
      <c r="U245" s="389"/>
      <c r="V245" s="5"/>
      <c r="W245" s="110"/>
    </row>
    <row r="246" spans="1:23" ht="15.6" x14ac:dyDescent="0.3">
      <c r="A246" s="302"/>
      <c r="B246" s="317" t="s">
        <v>96</v>
      </c>
      <c r="C246" s="387"/>
      <c r="D246" s="387"/>
      <c r="E246" s="387"/>
      <c r="F246" s="272"/>
      <c r="G246" s="388"/>
      <c r="H246" s="387"/>
      <c r="I246" s="387"/>
      <c r="J246" s="387"/>
      <c r="K246" s="387"/>
      <c r="L246" s="387"/>
      <c r="M246" s="387"/>
      <c r="N246" s="387"/>
      <c r="O246" s="387"/>
      <c r="P246" s="317">
        <v>0</v>
      </c>
      <c r="Q246" s="388">
        <f t="shared" si="5"/>
        <v>0</v>
      </c>
      <c r="R246" s="318">
        <v>0</v>
      </c>
      <c r="S246" s="388">
        <f t="shared" si="6"/>
        <v>0</v>
      </c>
      <c r="T246" s="361"/>
      <c r="U246" s="389"/>
      <c r="V246" s="5"/>
    </row>
    <row r="247" spans="1:23" ht="15.6" x14ac:dyDescent="0.3">
      <c r="A247" s="302"/>
      <c r="B247" s="317" t="s">
        <v>171</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c r="W247" s="110"/>
    </row>
    <row r="248" spans="1:23" ht="15.6" x14ac:dyDescent="0.3">
      <c r="A248" s="302"/>
      <c r="B248" s="317" t="s">
        <v>172</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row>
    <row r="249" spans="1:23" ht="15.6" x14ac:dyDescent="0.3">
      <c r="A249" s="302"/>
      <c r="B249" s="317" t="s">
        <v>173</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c r="W249" s="110"/>
    </row>
    <row r="250" spans="1:23" ht="15.6" x14ac:dyDescent="0.3">
      <c r="A250" s="302"/>
      <c r="B250" s="317" t="s">
        <v>174</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row>
    <row r="251" spans="1:23" ht="15.6" x14ac:dyDescent="0.3">
      <c r="A251" s="302"/>
      <c r="B251" s="317" t="s">
        <v>175</v>
      </c>
      <c r="C251" s="387"/>
      <c r="D251" s="387"/>
      <c r="E251" s="387"/>
      <c r="F251" s="272"/>
      <c r="G251" s="388"/>
      <c r="H251" s="387"/>
      <c r="I251" s="387"/>
      <c r="J251" s="387"/>
      <c r="K251" s="387"/>
      <c r="L251" s="387"/>
      <c r="M251" s="387"/>
      <c r="N251" s="387"/>
      <c r="O251" s="387"/>
      <c r="P251" s="317">
        <v>2</v>
      </c>
      <c r="Q251" s="388">
        <f t="shared" si="5"/>
        <v>7.9333597778659263E-4</v>
      </c>
      <c r="R251" s="318">
        <v>371</v>
      </c>
      <c r="S251" s="388">
        <f t="shared" si="6"/>
        <v>1.2275013234515617E-3</v>
      </c>
      <c r="T251" s="361"/>
      <c r="U251" s="389"/>
      <c r="V251" s="5"/>
      <c r="W251" s="110"/>
    </row>
    <row r="252" spans="1:23" ht="15.6" x14ac:dyDescent="0.3">
      <c r="A252" s="302"/>
      <c r="B252" s="317"/>
      <c r="C252" s="387"/>
      <c r="D252" s="387"/>
      <c r="E252" s="387"/>
      <c r="F252" s="272"/>
      <c r="G252" s="388"/>
      <c r="H252" s="387"/>
      <c r="I252" s="387"/>
      <c r="J252" s="387"/>
      <c r="K252" s="387"/>
      <c r="L252" s="387"/>
      <c r="M252" s="387"/>
      <c r="N252" s="387"/>
      <c r="O252" s="387"/>
      <c r="P252" s="317"/>
      <c r="Q252" s="388"/>
      <c r="R252" s="318"/>
      <c r="S252" s="388"/>
      <c r="T252" s="361"/>
      <c r="U252" s="389"/>
      <c r="V252" s="5"/>
    </row>
    <row r="253" spans="1:23" ht="15.6" x14ac:dyDescent="0.3">
      <c r="A253" s="302"/>
      <c r="B253" s="272"/>
      <c r="C253" s="272"/>
      <c r="D253" s="272"/>
      <c r="E253" s="272"/>
      <c r="F253" s="272"/>
      <c r="G253" s="272"/>
      <c r="H253" s="390"/>
      <c r="I253" s="390"/>
      <c r="J253" s="390"/>
      <c r="K253" s="390"/>
      <c r="L253" s="390"/>
      <c r="M253" s="390"/>
      <c r="N253" s="390"/>
      <c r="O253" s="390"/>
      <c r="P253" s="317">
        <f>SUM(P244:P252)</f>
        <v>2521</v>
      </c>
      <c r="Q253" s="388">
        <f>SUM(Q244:Q252)</f>
        <v>1</v>
      </c>
      <c r="R253" s="318">
        <f>SUM(R244:R252)</f>
        <v>302240</v>
      </c>
      <c r="S253" s="388">
        <f>SUM(S244:S252)</f>
        <v>1</v>
      </c>
      <c r="T253" s="272"/>
      <c r="U253" s="275"/>
      <c r="V253" s="5"/>
    </row>
    <row r="254" spans="1:23" ht="15.6" x14ac:dyDescent="0.3">
      <c r="A254" s="177"/>
      <c r="B254" s="314"/>
      <c r="C254" s="314"/>
      <c r="D254" s="314"/>
      <c r="E254" s="314"/>
      <c r="F254" s="314"/>
      <c r="G254" s="314"/>
      <c r="H254" s="384"/>
      <c r="I254" s="384"/>
      <c r="J254" s="384"/>
      <c r="K254" s="384"/>
      <c r="L254" s="384"/>
      <c r="M254" s="384"/>
      <c r="N254" s="384"/>
      <c r="O254" s="384"/>
      <c r="P254" s="315"/>
      <c r="Q254" s="385"/>
      <c r="R254" s="386"/>
      <c r="S254" s="385"/>
      <c r="T254" s="314"/>
      <c r="U254" s="314"/>
      <c r="V254" s="5"/>
    </row>
    <row r="255" spans="1:23" ht="15.6" x14ac:dyDescent="0.3">
      <c r="A255" s="263"/>
      <c r="B255" s="259" t="s">
        <v>279</v>
      </c>
      <c r="C255" s="260"/>
      <c r="D255" s="260"/>
      <c r="E255" s="260"/>
      <c r="F255" s="261"/>
      <c r="G255" s="260"/>
      <c r="H255" s="260"/>
      <c r="I255" s="260"/>
      <c r="J255" s="260"/>
      <c r="K255" s="260"/>
      <c r="L255" s="260"/>
      <c r="M255" s="260"/>
      <c r="N255" s="260"/>
      <c r="O255" s="260"/>
      <c r="P255" s="261" t="s">
        <v>108</v>
      </c>
      <c r="Q255" s="260" t="s">
        <v>109</v>
      </c>
      <c r="R255" s="261" t="s">
        <v>117</v>
      </c>
      <c r="S255" s="260" t="s">
        <v>109</v>
      </c>
      <c r="T255" s="264"/>
      <c r="U255" s="265"/>
      <c r="V255" s="5"/>
    </row>
    <row r="256" spans="1:23" ht="15.6" x14ac:dyDescent="0.3">
      <c r="A256" s="232"/>
      <c r="B256" s="231" t="s">
        <v>94</v>
      </c>
      <c r="C256" s="249"/>
      <c r="D256" s="249"/>
      <c r="E256" s="249"/>
      <c r="F256" s="228"/>
      <c r="G256" s="249"/>
      <c r="H256" s="249"/>
      <c r="I256" s="249"/>
      <c r="J256" s="249"/>
      <c r="K256" s="249"/>
      <c r="L256" s="249"/>
      <c r="M256" s="249"/>
      <c r="N256" s="249"/>
      <c r="O256" s="249"/>
      <c r="P256" s="231">
        <v>50</v>
      </c>
      <c r="Q256" s="250">
        <f t="shared" ref="Q256:Q263" si="7">P256/$P$265</f>
        <v>0.7142857142857143</v>
      </c>
      <c r="R256" s="242">
        <v>6841</v>
      </c>
      <c r="S256" s="250">
        <f t="shared" ref="S256:S263" si="8">R256/$R$265</f>
        <v>0.68232595252343908</v>
      </c>
      <c r="T256" s="228"/>
      <c r="U256" s="194"/>
      <c r="V256" s="5"/>
    </row>
    <row r="257" spans="1:22" ht="15.6" x14ac:dyDescent="0.3">
      <c r="A257" s="302"/>
      <c r="B257" s="317" t="s">
        <v>95</v>
      </c>
      <c r="C257" s="387"/>
      <c r="D257" s="387"/>
      <c r="E257" s="387"/>
      <c r="F257" s="272"/>
      <c r="G257" s="388"/>
      <c r="H257" s="387"/>
      <c r="I257" s="387"/>
      <c r="J257" s="387"/>
      <c r="K257" s="387"/>
      <c r="L257" s="387"/>
      <c r="M257" s="387"/>
      <c r="N257" s="387"/>
      <c r="O257" s="387"/>
      <c r="P257" s="317">
        <v>0</v>
      </c>
      <c r="Q257" s="388">
        <f t="shared" si="7"/>
        <v>0</v>
      </c>
      <c r="R257" s="318">
        <v>0</v>
      </c>
      <c r="S257" s="388">
        <f t="shared" si="8"/>
        <v>0</v>
      </c>
      <c r="T257" s="272"/>
      <c r="U257" s="340"/>
      <c r="V257" s="5"/>
    </row>
    <row r="258" spans="1:22" ht="15.6" x14ac:dyDescent="0.3">
      <c r="A258" s="302"/>
      <c r="B258" s="317" t="s">
        <v>96</v>
      </c>
      <c r="C258" s="387"/>
      <c r="D258" s="387"/>
      <c r="E258" s="387"/>
      <c r="F258" s="272"/>
      <c r="G258" s="388"/>
      <c r="H258" s="387"/>
      <c r="I258" s="387"/>
      <c r="J258" s="387"/>
      <c r="K258" s="387"/>
      <c r="L258" s="387"/>
      <c r="M258" s="387"/>
      <c r="N258" s="387"/>
      <c r="O258" s="387"/>
      <c r="P258" s="317">
        <v>3</v>
      </c>
      <c r="Q258" s="388">
        <f t="shared" si="7"/>
        <v>4.2857142857142858E-2</v>
      </c>
      <c r="R258" s="318">
        <v>267</v>
      </c>
      <c r="S258" s="388">
        <f t="shared" si="8"/>
        <v>2.6630760023937761E-2</v>
      </c>
      <c r="T258" s="272"/>
      <c r="U258" s="340"/>
      <c r="V258" s="5"/>
    </row>
    <row r="259" spans="1:22" ht="15.6" x14ac:dyDescent="0.3">
      <c r="A259" s="302"/>
      <c r="B259" s="317" t="s">
        <v>171</v>
      </c>
      <c r="C259" s="387"/>
      <c r="D259" s="387"/>
      <c r="E259" s="387"/>
      <c r="F259" s="272"/>
      <c r="G259" s="388"/>
      <c r="H259" s="387"/>
      <c r="I259" s="387"/>
      <c r="J259" s="387"/>
      <c r="K259" s="387"/>
      <c r="L259" s="387"/>
      <c r="M259" s="387"/>
      <c r="N259" s="387"/>
      <c r="O259" s="387"/>
      <c r="P259" s="317">
        <v>1</v>
      </c>
      <c r="Q259" s="388">
        <f t="shared" si="7"/>
        <v>1.4285714285714285E-2</v>
      </c>
      <c r="R259" s="318">
        <v>48</v>
      </c>
      <c r="S259" s="388">
        <f t="shared" si="8"/>
        <v>4.7875523638539795E-3</v>
      </c>
      <c r="T259" s="272"/>
      <c r="U259" s="340"/>
      <c r="V259" s="5"/>
    </row>
    <row r="260" spans="1:22" ht="15.6" x14ac:dyDescent="0.3">
      <c r="A260" s="302"/>
      <c r="B260" s="317" t="s">
        <v>172</v>
      </c>
      <c r="C260" s="387"/>
      <c r="D260" s="387"/>
      <c r="E260" s="387"/>
      <c r="F260" s="272"/>
      <c r="G260" s="388"/>
      <c r="H260" s="387"/>
      <c r="I260" s="387"/>
      <c r="J260" s="387"/>
      <c r="K260" s="387"/>
      <c r="L260" s="387"/>
      <c r="M260" s="387"/>
      <c r="N260" s="387"/>
      <c r="O260" s="387"/>
      <c r="P260" s="317">
        <v>2</v>
      </c>
      <c r="Q260" s="388">
        <f t="shared" si="7"/>
        <v>2.8571428571428571E-2</v>
      </c>
      <c r="R260" s="318">
        <v>180</v>
      </c>
      <c r="S260" s="388">
        <f t="shared" si="8"/>
        <v>1.7953321364452424E-2</v>
      </c>
      <c r="T260" s="272"/>
      <c r="U260" s="340"/>
      <c r="V260" s="5"/>
    </row>
    <row r="261" spans="1:22" ht="15.6" x14ac:dyDescent="0.3">
      <c r="A261" s="302"/>
      <c r="B261" s="317" t="s">
        <v>173</v>
      </c>
      <c r="C261" s="387"/>
      <c r="D261" s="387"/>
      <c r="E261" s="387"/>
      <c r="F261" s="272"/>
      <c r="G261" s="388"/>
      <c r="H261" s="387"/>
      <c r="I261" s="387"/>
      <c r="J261" s="387"/>
      <c r="K261" s="387"/>
      <c r="L261" s="387"/>
      <c r="M261" s="387"/>
      <c r="N261" s="387"/>
      <c r="O261" s="387"/>
      <c r="P261" s="317">
        <v>1</v>
      </c>
      <c r="Q261" s="388">
        <f t="shared" si="7"/>
        <v>1.4285714285714285E-2</v>
      </c>
      <c r="R261" s="318">
        <v>131</v>
      </c>
      <c r="S261" s="388">
        <f t="shared" si="8"/>
        <v>1.3066028326351486E-2</v>
      </c>
      <c r="T261" s="272"/>
      <c r="U261" s="340"/>
      <c r="V261" s="5"/>
    </row>
    <row r="262" spans="1:22" ht="15.6" x14ac:dyDescent="0.3">
      <c r="A262" s="302"/>
      <c r="B262" s="317" t="s">
        <v>174</v>
      </c>
      <c r="C262" s="387"/>
      <c r="D262" s="387"/>
      <c r="E262" s="387"/>
      <c r="F262" s="272"/>
      <c r="G262" s="388"/>
      <c r="H262" s="387"/>
      <c r="I262" s="387"/>
      <c r="J262" s="387"/>
      <c r="K262" s="387"/>
      <c r="L262" s="387"/>
      <c r="M262" s="387"/>
      <c r="N262" s="387"/>
      <c r="O262" s="387"/>
      <c r="P262" s="317">
        <v>7</v>
      </c>
      <c r="Q262" s="388">
        <f t="shared" si="7"/>
        <v>0.1</v>
      </c>
      <c r="R262" s="318">
        <v>1261</v>
      </c>
      <c r="S262" s="388">
        <f t="shared" si="8"/>
        <v>0.12577299022541391</v>
      </c>
      <c r="T262" s="272"/>
      <c r="U262" s="340"/>
      <c r="V262" s="5"/>
    </row>
    <row r="263" spans="1:22" ht="15.6" x14ac:dyDescent="0.3">
      <c r="A263" s="302"/>
      <c r="B263" s="317" t="s">
        <v>175</v>
      </c>
      <c r="C263" s="387"/>
      <c r="D263" s="387"/>
      <c r="E263" s="387"/>
      <c r="F263" s="272"/>
      <c r="G263" s="388"/>
      <c r="H263" s="387"/>
      <c r="I263" s="387"/>
      <c r="J263" s="387"/>
      <c r="K263" s="387"/>
      <c r="L263" s="387"/>
      <c r="M263" s="387"/>
      <c r="N263" s="387"/>
      <c r="O263" s="387"/>
      <c r="P263" s="317">
        <v>6</v>
      </c>
      <c r="Q263" s="388">
        <f t="shared" si="7"/>
        <v>8.5714285714285715E-2</v>
      </c>
      <c r="R263" s="318">
        <v>1298</v>
      </c>
      <c r="S263" s="388">
        <f t="shared" si="8"/>
        <v>0.12946339517255137</v>
      </c>
      <c r="T263" s="272"/>
      <c r="U263" s="340"/>
      <c r="V263" s="5"/>
    </row>
    <row r="264" spans="1:22" ht="15.6" x14ac:dyDescent="0.3">
      <c r="A264" s="302"/>
      <c r="B264" s="317"/>
      <c r="C264" s="387"/>
      <c r="D264" s="387"/>
      <c r="E264" s="387"/>
      <c r="F264" s="272"/>
      <c r="G264" s="388"/>
      <c r="H264" s="387"/>
      <c r="I264" s="387"/>
      <c r="J264" s="387"/>
      <c r="K264" s="387"/>
      <c r="L264" s="387"/>
      <c r="M264" s="387"/>
      <c r="N264" s="387"/>
      <c r="O264" s="387"/>
      <c r="P264" s="317"/>
      <c r="Q264" s="388"/>
      <c r="R264" s="318"/>
      <c r="S264" s="388"/>
      <c r="T264" s="272"/>
      <c r="U264" s="340"/>
      <c r="V264" s="5"/>
    </row>
    <row r="265" spans="1:22" ht="15.6" x14ac:dyDescent="0.3">
      <c r="A265" s="302"/>
      <c r="B265" s="272"/>
      <c r="C265" s="272"/>
      <c r="D265" s="272"/>
      <c r="E265" s="272"/>
      <c r="F265" s="272"/>
      <c r="G265" s="272"/>
      <c r="H265" s="390"/>
      <c r="I265" s="390"/>
      <c r="J265" s="390"/>
      <c r="K265" s="390"/>
      <c r="L265" s="390"/>
      <c r="M265" s="390"/>
      <c r="N265" s="390"/>
      <c r="O265" s="390"/>
      <c r="P265" s="317">
        <f>SUM(P256:P264)</f>
        <v>70</v>
      </c>
      <c r="Q265" s="388">
        <f>SUM(Q256:Q264)</f>
        <v>0.99999999999999989</v>
      </c>
      <c r="R265" s="318">
        <f>SUM(R256:R264)</f>
        <v>10026</v>
      </c>
      <c r="S265" s="388">
        <f>SUM(S256:S264)</f>
        <v>0.99999999999999989</v>
      </c>
      <c r="T265" s="272"/>
      <c r="U265" s="340"/>
      <c r="V265" s="5"/>
    </row>
    <row r="266" spans="1:22" ht="15.6" x14ac:dyDescent="0.3">
      <c r="A266" s="233"/>
      <c r="B266" s="268"/>
      <c r="C266" s="268"/>
      <c r="D266" s="268"/>
      <c r="E266" s="268"/>
      <c r="F266" s="268"/>
      <c r="G266" s="268"/>
      <c r="H266" s="391"/>
      <c r="I266" s="391"/>
      <c r="J266" s="391"/>
      <c r="K266" s="391"/>
      <c r="L266" s="391"/>
      <c r="M266" s="391"/>
      <c r="N266" s="391"/>
      <c r="O266" s="391"/>
      <c r="P266" s="333"/>
      <c r="Q266" s="392"/>
      <c r="R266" s="393"/>
      <c r="S266" s="392"/>
      <c r="T266" s="268"/>
      <c r="U266" s="314"/>
      <c r="V266" s="5"/>
    </row>
    <row r="267" spans="1:22" ht="15.6" x14ac:dyDescent="0.3">
      <c r="A267" s="263"/>
      <c r="B267" s="259" t="s">
        <v>179</v>
      </c>
      <c r="C267" s="264"/>
      <c r="D267" s="264"/>
      <c r="E267" s="264"/>
      <c r="F267" s="264"/>
      <c r="G267" s="264"/>
      <c r="H267" s="266"/>
      <c r="I267" s="266"/>
      <c r="J267" s="266"/>
      <c r="K267" s="266"/>
      <c r="L267" s="266"/>
      <c r="M267" s="266"/>
      <c r="N267" s="266"/>
      <c r="O267" s="266"/>
      <c r="P267" s="261" t="s">
        <v>108</v>
      </c>
      <c r="Q267" s="260" t="s">
        <v>109</v>
      </c>
      <c r="R267" s="261" t="s">
        <v>117</v>
      </c>
      <c r="S267" s="260" t="s">
        <v>109</v>
      </c>
      <c r="T267" s="264"/>
      <c r="U267" s="265"/>
      <c r="V267" s="5"/>
    </row>
    <row r="268" spans="1:22" ht="15.6" x14ac:dyDescent="0.3">
      <c r="A268" s="232"/>
      <c r="B268" s="231" t="s">
        <v>94</v>
      </c>
      <c r="C268" s="228"/>
      <c r="D268" s="228"/>
      <c r="E268" s="228"/>
      <c r="F268" s="228"/>
      <c r="G268" s="228"/>
      <c r="H268" s="251"/>
      <c r="I268" s="251"/>
      <c r="J268" s="251"/>
      <c r="K268" s="251"/>
      <c r="L268" s="251"/>
      <c r="M268" s="251"/>
      <c r="N268" s="251"/>
      <c r="O268" s="251"/>
      <c r="P268" s="231">
        <v>0</v>
      </c>
      <c r="Q268" s="250">
        <v>0</v>
      </c>
      <c r="R268" s="242">
        <v>0</v>
      </c>
      <c r="S268" s="250">
        <v>0</v>
      </c>
      <c r="T268" s="228"/>
      <c r="U268" s="194"/>
      <c r="V268" s="5"/>
    </row>
    <row r="269" spans="1:22" ht="15.6" x14ac:dyDescent="0.3">
      <c r="A269" s="302"/>
      <c r="B269" s="317" t="s">
        <v>95</v>
      </c>
      <c r="C269" s="272"/>
      <c r="D269" s="272"/>
      <c r="E269" s="272"/>
      <c r="F269" s="272"/>
      <c r="G269" s="272"/>
      <c r="H269" s="390"/>
      <c r="I269" s="390"/>
      <c r="J269" s="390"/>
      <c r="K269" s="390"/>
      <c r="L269" s="390"/>
      <c r="M269" s="390"/>
      <c r="N269" s="390"/>
      <c r="O269" s="390"/>
      <c r="P269" s="317">
        <v>0</v>
      </c>
      <c r="Q269" s="388">
        <v>0</v>
      </c>
      <c r="R269" s="318">
        <v>0</v>
      </c>
      <c r="S269" s="388">
        <v>0</v>
      </c>
      <c r="T269" s="272"/>
      <c r="U269" s="340"/>
      <c r="V269" s="5"/>
    </row>
    <row r="270" spans="1:22" ht="15.6" x14ac:dyDescent="0.3">
      <c r="A270" s="302"/>
      <c r="B270" s="317" t="s">
        <v>96</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171</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172</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173</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174</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175</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c r="C276" s="272"/>
      <c r="D276" s="272"/>
      <c r="E276" s="272"/>
      <c r="F276" s="272"/>
      <c r="G276" s="272"/>
      <c r="H276" s="390"/>
      <c r="I276" s="390"/>
      <c r="J276" s="390"/>
      <c r="K276" s="390"/>
      <c r="L276" s="390"/>
      <c r="M276" s="390"/>
      <c r="N276" s="390"/>
      <c r="O276" s="390"/>
      <c r="P276" s="317"/>
      <c r="Q276" s="388"/>
      <c r="R276" s="318"/>
      <c r="S276" s="388"/>
      <c r="T276" s="272"/>
      <c r="U276" s="340"/>
      <c r="V276" s="5"/>
    </row>
    <row r="277" spans="1:22" ht="15.6" x14ac:dyDescent="0.3">
      <c r="A277" s="302"/>
      <c r="B277" s="272" t="s">
        <v>123</v>
      </c>
      <c r="C277" s="272"/>
      <c r="D277" s="272"/>
      <c r="E277" s="272"/>
      <c r="F277" s="272"/>
      <c r="G277" s="272"/>
      <c r="H277" s="390"/>
      <c r="I277" s="390"/>
      <c r="J277" s="390"/>
      <c r="K277" s="390"/>
      <c r="L277" s="390"/>
      <c r="M277" s="390"/>
      <c r="N277" s="390"/>
      <c r="O277" s="390"/>
      <c r="P277" s="317">
        <f>SUM(P268:P275)</f>
        <v>0</v>
      </c>
      <c r="Q277" s="388">
        <f>SUM(Q268:Q275)</f>
        <v>0</v>
      </c>
      <c r="R277" s="318">
        <f>SUM(R268:R275)</f>
        <v>0</v>
      </c>
      <c r="S277" s="388">
        <f>SUM(S268:S275)</f>
        <v>0</v>
      </c>
      <c r="T277" s="272"/>
      <c r="U277" s="340"/>
      <c r="V277" s="5"/>
    </row>
    <row r="278" spans="1:22" ht="15.6" x14ac:dyDescent="0.3">
      <c r="A278" s="302"/>
      <c r="B278" s="272"/>
      <c r="C278" s="272"/>
      <c r="D278" s="272"/>
      <c r="E278" s="272"/>
      <c r="F278" s="272"/>
      <c r="G278" s="272"/>
      <c r="H278" s="390"/>
      <c r="I278" s="390"/>
      <c r="J278" s="390"/>
      <c r="K278" s="390"/>
      <c r="L278" s="390"/>
      <c r="M278" s="390"/>
      <c r="N278" s="390"/>
      <c r="O278" s="390"/>
      <c r="P278" s="317"/>
      <c r="Q278" s="388"/>
      <c r="R278" s="318"/>
      <c r="S278" s="388"/>
      <c r="T278" s="272"/>
      <c r="U278" s="340"/>
      <c r="V278" s="5"/>
    </row>
    <row r="279" spans="1:22" ht="15.6" x14ac:dyDescent="0.3">
      <c r="A279" s="302"/>
      <c r="B279" s="277" t="s">
        <v>180</v>
      </c>
      <c r="C279" s="272"/>
      <c r="D279" s="272"/>
      <c r="E279" s="272"/>
      <c r="F279" s="272"/>
      <c r="G279" s="272"/>
      <c r="H279" s="390"/>
      <c r="I279" s="390"/>
      <c r="J279" s="390"/>
      <c r="K279" s="390"/>
      <c r="L279" s="390"/>
      <c r="M279" s="390"/>
      <c r="N279" s="390"/>
      <c r="O279" s="390"/>
      <c r="P279" s="399">
        <f>+P253+P265+P277</f>
        <v>2591</v>
      </c>
      <c r="Q279" s="388"/>
      <c r="R279" s="396">
        <f>+R277+R265+R253</f>
        <v>312266</v>
      </c>
      <c r="S279" s="388"/>
      <c r="T279" s="272"/>
      <c r="U279" s="340"/>
      <c r="V279" s="5"/>
    </row>
    <row r="280" spans="1:22" ht="15.6" x14ac:dyDescent="0.3">
      <c r="A280" s="233"/>
      <c r="B280" s="268"/>
      <c r="C280" s="268"/>
      <c r="D280" s="268"/>
      <c r="E280" s="268"/>
      <c r="F280" s="268"/>
      <c r="G280" s="268"/>
      <c r="H280" s="391"/>
      <c r="I280" s="391"/>
      <c r="J280" s="391"/>
      <c r="K280" s="391"/>
      <c r="L280" s="391"/>
      <c r="M280" s="391"/>
      <c r="N280" s="391"/>
      <c r="O280" s="391"/>
      <c r="P280" s="391"/>
      <c r="Q280" s="391"/>
      <c r="R280" s="393"/>
      <c r="S280" s="391"/>
      <c r="T280" s="268"/>
      <c r="U280" s="314"/>
      <c r="V280" s="5"/>
    </row>
    <row r="281" spans="1:22" ht="15.6" x14ac:dyDescent="0.3">
      <c r="A281" s="233"/>
      <c r="B281" s="234"/>
      <c r="C281" s="234"/>
      <c r="D281" s="234"/>
      <c r="E281" s="234"/>
      <c r="F281" s="234"/>
      <c r="G281" s="234"/>
      <c r="H281" s="252"/>
      <c r="I281" s="252"/>
      <c r="J281" s="252"/>
      <c r="K281" s="252"/>
      <c r="L281" s="252"/>
      <c r="M281" s="252"/>
      <c r="N281" s="252"/>
      <c r="O281" s="252"/>
      <c r="P281" s="252"/>
      <c r="Q281" s="252"/>
      <c r="R281" s="253"/>
      <c r="S281" s="252"/>
      <c r="T281" s="234"/>
      <c r="U281" s="179"/>
      <c r="V281" s="5"/>
    </row>
    <row r="282" spans="1:22" ht="15.6" x14ac:dyDescent="0.3">
      <c r="A282" s="254"/>
      <c r="B282" s="220" t="s">
        <v>97</v>
      </c>
      <c r="C282" s="234"/>
      <c r="D282" s="234"/>
      <c r="E282" s="234"/>
      <c r="F282" s="225" t="s">
        <v>103</v>
      </c>
      <c r="G282" s="234"/>
      <c r="H282" s="220" t="s">
        <v>105</v>
      </c>
      <c r="I282" s="255"/>
      <c r="J282" s="255"/>
      <c r="K282" s="255"/>
      <c r="L282" s="255"/>
      <c r="M282" s="255"/>
      <c r="N282" s="255"/>
      <c r="O282" s="255"/>
      <c r="P282" s="255"/>
      <c r="Q282" s="255"/>
      <c r="R282" s="255"/>
      <c r="S282" s="255"/>
      <c r="T282" s="255"/>
      <c r="U282" s="192"/>
      <c r="V282" s="5"/>
    </row>
    <row r="283" spans="1:22" ht="15.6" x14ac:dyDescent="0.3">
      <c r="A283" s="254"/>
      <c r="B283" s="255"/>
      <c r="C283" s="234"/>
      <c r="D283" s="234"/>
      <c r="E283" s="234"/>
      <c r="F283" s="234"/>
      <c r="G283" s="234"/>
      <c r="H283" s="234"/>
      <c r="I283" s="255"/>
      <c r="J283" s="255"/>
      <c r="K283" s="255"/>
      <c r="L283" s="255"/>
      <c r="M283" s="255"/>
      <c r="N283" s="255"/>
      <c r="O283" s="255"/>
      <c r="P283" s="255"/>
      <c r="Q283" s="255"/>
      <c r="R283" s="255"/>
      <c r="S283" s="255"/>
      <c r="T283" s="255"/>
      <c r="U283" s="192"/>
      <c r="V283" s="5"/>
    </row>
    <row r="284" spans="1:22" ht="15.6" x14ac:dyDescent="0.3">
      <c r="A284" s="254"/>
      <c r="B284" s="220" t="s">
        <v>98</v>
      </c>
      <c r="C284" s="220"/>
      <c r="D284" s="220"/>
      <c r="E284" s="220"/>
      <c r="F284" s="256" t="s">
        <v>159</v>
      </c>
      <c r="G284" s="220"/>
      <c r="H284" s="220" t="s">
        <v>167</v>
      </c>
      <c r="I284" s="255"/>
      <c r="J284" s="255"/>
      <c r="K284" s="255"/>
      <c r="L284" s="255"/>
      <c r="M284" s="255"/>
      <c r="N284" s="255"/>
      <c r="O284" s="255"/>
      <c r="P284" s="255"/>
      <c r="Q284" s="255"/>
      <c r="R284" s="255"/>
      <c r="S284" s="255"/>
      <c r="T284" s="255"/>
      <c r="U284" s="192"/>
      <c r="V284" s="5"/>
    </row>
    <row r="285" spans="1:22" ht="15.6" x14ac:dyDescent="0.3">
      <c r="A285" s="254"/>
      <c r="B285" s="220" t="s">
        <v>273</v>
      </c>
      <c r="C285" s="220"/>
      <c r="D285" s="220"/>
      <c r="E285" s="220"/>
      <c r="F285" s="256" t="s">
        <v>274</v>
      </c>
      <c r="G285" s="220"/>
      <c r="H285" s="220" t="s">
        <v>275</v>
      </c>
      <c r="I285" s="255"/>
      <c r="J285" s="255"/>
      <c r="K285" s="255"/>
      <c r="L285" s="255"/>
      <c r="M285" s="255"/>
      <c r="N285" s="255"/>
      <c r="O285" s="255"/>
      <c r="P285" s="255"/>
      <c r="Q285" s="255"/>
      <c r="R285" s="255"/>
      <c r="S285" s="255"/>
      <c r="T285" s="255"/>
      <c r="U285" s="192"/>
      <c r="V285" s="5"/>
    </row>
    <row r="286" spans="1:22" ht="15.6" x14ac:dyDescent="0.3">
      <c r="A286" s="254"/>
      <c r="B286" s="220" t="s">
        <v>99</v>
      </c>
      <c r="C286" s="220"/>
      <c r="D286" s="220"/>
      <c r="E286" s="220"/>
      <c r="F286" s="256" t="s">
        <v>158</v>
      </c>
      <c r="G286" s="220"/>
      <c r="H286" s="220" t="s">
        <v>168</v>
      </c>
      <c r="I286" s="255"/>
      <c r="J286" s="255"/>
      <c r="K286" s="255"/>
      <c r="L286" s="255"/>
      <c r="M286" s="255"/>
      <c r="N286" s="255"/>
      <c r="O286" s="255"/>
      <c r="P286" s="255"/>
      <c r="Q286" s="255"/>
      <c r="R286" s="255"/>
      <c r="S286" s="255"/>
      <c r="T286" s="255"/>
      <c r="U286" s="192"/>
      <c r="V286" s="5"/>
    </row>
    <row r="287" spans="1:22" ht="15.6" x14ac:dyDescent="0.3">
      <c r="A287" s="254"/>
      <c r="B287" s="220"/>
      <c r="C287" s="220"/>
      <c r="D287" s="220"/>
      <c r="E287" s="220"/>
      <c r="F287" s="220"/>
      <c r="G287" s="257"/>
      <c r="H287" s="255"/>
      <c r="I287" s="255"/>
      <c r="J287" s="255"/>
      <c r="K287" s="255"/>
      <c r="L287" s="255"/>
      <c r="M287" s="255"/>
      <c r="N287" s="255"/>
      <c r="O287" s="255"/>
      <c r="P287" s="255"/>
      <c r="Q287" s="255"/>
      <c r="R287" s="255"/>
      <c r="S287" s="255"/>
      <c r="T287" s="255"/>
      <c r="U287" s="192"/>
      <c r="V287" s="5"/>
    </row>
    <row r="288" spans="1:22" ht="15.6" x14ac:dyDescent="0.3">
      <c r="A288" s="216"/>
      <c r="B288" s="185"/>
      <c r="C288" s="185"/>
      <c r="D288" s="185"/>
      <c r="E288" s="185"/>
      <c r="F288" s="185"/>
      <c r="G288" s="217"/>
      <c r="H288" s="192"/>
      <c r="I288" s="192"/>
      <c r="J288" s="192"/>
      <c r="K288" s="192"/>
      <c r="L288" s="192"/>
      <c r="M288" s="192"/>
      <c r="N288" s="192"/>
      <c r="O288" s="192"/>
      <c r="P288" s="192"/>
      <c r="Q288" s="192"/>
      <c r="R288" s="192"/>
      <c r="S288" s="192"/>
      <c r="T288" s="192"/>
      <c r="U288" s="192"/>
      <c r="V288" s="5"/>
    </row>
    <row r="289" spans="1:22" ht="18" thickBot="1" x14ac:dyDescent="0.35">
      <c r="A289" s="216"/>
      <c r="B289" s="267" t="str">
        <f>B194</f>
        <v>PM9 INVESTOR REPORT QUARTER ENDING JANUARY 2012</v>
      </c>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x14ac:dyDescent="0.25">
      <c r="A290" s="101"/>
      <c r="B290" s="101"/>
      <c r="C290" s="101"/>
      <c r="D290" s="101"/>
      <c r="E290" s="101"/>
      <c r="F290" s="101"/>
      <c r="G290" s="101"/>
      <c r="H290" s="101"/>
      <c r="I290" s="101"/>
      <c r="J290" s="101"/>
      <c r="K290" s="101"/>
      <c r="L290" s="101"/>
      <c r="M290" s="101"/>
      <c r="N290" s="101"/>
      <c r="O290" s="101"/>
      <c r="P290" s="101"/>
      <c r="Q290" s="101"/>
      <c r="R290" s="101"/>
      <c r="S290" s="101"/>
      <c r="T290" s="101"/>
      <c r="U290" s="101"/>
    </row>
  </sheetData>
  <hyperlinks>
    <hyperlink ref="J9" r:id="rId1" xr:uid="{00000000-0004-0000-1900-000000000000}"/>
    <hyperlink ref="N229" r:id="rId2" xr:uid="{00000000-0004-0000-19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1" man="1"/>
    <brk id="133" max="14" man="1"/>
    <brk id="194" max="14" man="1"/>
  </rowBreak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89CB31"/>
  </sheetPr>
  <dimension ref="A1:W290"/>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402"/>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0.72</v>
      </c>
      <c r="R16" s="225" t="s">
        <v>149</v>
      </c>
      <c r="S16" s="224">
        <v>0.28000000000000003</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41050</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150</v>
      </c>
      <c r="E25" s="398"/>
      <c r="F25" s="398" t="s">
        <v>150</v>
      </c>
      <c r="G25" s="398"/>
      <c r="H25" s="398" t="s">
        <v>150</v>
      </c>
      <c r="I25" s="398"/>
      <c r="J25" s="398" t="s">
        <v>192</v>
      </c>
      <c r="K25" s="398"/>
      <c r="L25" s="398" t="s">
        <v>192</v>
      </c>
      <c r="M25" s="398"/>
      <c r="N25" s="398" t="s">
        <v>151</v>
      </c>
      <c r="O25" s="398"/>
      <c r="P25" s="398" t="s">
        <v>151</v>
      </c>
      <c r="Q25" s="398"/>
      <c r="R25" s="273"/>
      <c r="S25" s="274"/>
      <c r="T25" s="274"/>
      <c r="U25" s="275"/>
      <c r="V25" s="5"/>
    </row>
    <row r="26" spans="1:22" ht="15.6" x14ac:dyDescent="0.3">
      <c r="A26" s="276"/>
      <c r="B26" s="277" t="s">
        <v>10</v>
      </c>
      <c r="C26" s="398"/>
      <c r="D26" s="398" t="s">
        <v>312</v>
      </c>
      <c r="E26" s="398"/>
      <c r="F26" s="398" t="s">
        <v>312</v>
      </c>
      <c r="G26" s="398"/>
      <c r="H26" s="398" t="s">
        <v>312</v>
      </c>
      <c r="I26" s="398"/>
      <c r="J26" s="398" t="s">
        <v>312</v>
      </c>
      <c r="K26" s="398"/>
      <c r="L26" s="398" t="s">
        <v>312</v>
      </c>
      <c r="M26" s="398"/>
      <c r="N26" s="398" t="s">
        <v>153</v>
      </c>
      <c r="O26" s="398"/>
      <c r="P26" s="398" t="s">
        <v>153</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135660.6488</v>
      </c>
      <c r="E30" s="280"/>
      <c r="F30" s="282">
        <f>F29*F36</f>
        <v>139189.394</v>
      </c>
      <c r="G30" s="281"/>
      <c r="H30" s="283">
        <f>H29*H36</f>
        <v>23524.907999999999</v>
      </c>
      <c r="I30" s="281"/>
      <c r="J30" s="281">
        <f>J29*J36</f>
        <v>6245.3117999999995</v>
      </c>
      <c r="K30" s="281"/>
      <c r="L30" s="282">
        <f>L29*L36</f>
        <v>26319.528299999998</v>
      </c>
      <c r="M30" s="281"/>
      <c r="N30" s="284">
        <f>N29*N36</f>
        <v>2676.5621999999998</v>
      </c>
      <c r="O30" s="281"/>
      <c r="P30" s="282">
        <f>P29*P36</f>
        <v>58884.368399999999</v>
      </c>
      <c r="Q30" s="281"/>
      <c r="R30" s="281"/>
      <c r="S30" s="285"/>
      <c r="T30" s="281"/>
      <c r="U30" s="286"/>
      <c r="V30" s="5"/>
    </row>
    <row r="31" spans="1:22" ht="15.6" x14ac:dyDescent="0.3">
      <c r="A31" s="276"/>
      <c r="B31" s="277" t="s">
        <v>143</v>
      </c>
      <c r="C31" s="287"/>
      <c r="D31" s="288">
        <f>D35*D29</f>
        <v>134325.43479999999</v>
      </c>
      <c r="E31" s="287"/>
      <c r="F31" s="289">
        <f>F35*F29</f>
        <v>137819.44899999999</v>
      </c>
      <c r="G31" s="288"/>
      <c r="H31" s="290">
        <f>H35*H29</f>
        <v>23293.361999999997</v>
      </c>
      <c r="I31" s="288"/>
      <c r="J31" s="288">
        <f>J35*J29</f>
        <v>6183.8420000000006</v>
      </c>
      <c r="K31" s="288"/>
      <c r="L31" s="289">
        <f>L35*L29</f>
        <v>26060.476999999999</v>
      </c>
      <c r="M31" s="288"/>
      <c r="N31" s="291">
        <f>N35*N29</f>
        <v>2650.2179999999998</v>
      </c>
      <c r="O31" s="288"/>
      <c r="P31" s="289">
        <f>P35*P29</f>
        <v>58304.796000000002</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135660.6488</v>
      </c>
      <c r="E33" s="280"/>
      <c r="F33" s="281">
        <f>F32*F36</f>
        <v>95864.244600000005</v>
      </c>
      <c r="G33" s="281"/>
      <c r="H33" s="281">
        <f>H32*H36</f>
        <v>13291.57302</v>
      </c>
      <c r="I33" s="281"/>
      <c r="J33" s="281">
        <f>J32*J36</f>
        <v>6245.3117999999995</v>
      </c>
      <c r="K33" s="281"/>
      <c r="L33" s="281">
        <f>L32*L36</f>
        <v>18111.40422</v>
      </c>
      <c r="M33" s="281"/>
      <c r="N33" s="281">
        <f>N32*N36</f>
        <v>2676.5621999999998</v>
      </c>
      <c r="O33" s="281"/>
      <c r="P33" s="281">
        <f>P32*P36</f>
        <v>40416.089220000002</v>
      </c>
      <c r="Q33" s="281"/>
      <c r="R33" s="281"/>
      <c r="S33" s="285"/>
      <c r="T33" s="281">
        <f>SUM(C33:P33)</f>
        <v>312265.83386000001</v>
      </c>
      <c r="U33" s="286"/>
      <c r="V33" s="5"/>
    </row>
    <row r="34" spans="1:22" ht="15.6" x14ac:dyDescent="0.3">
      <c r="A34" s="276"/>
      <c r="B34" s="277" t="s">
        <v>291</v>
      </c>
      <c r="C34" s="287"/>
      <c r="D34" s="288">
        <f>D35*D32</f>
        <v>134325.43479999999</v>
      </c>
      <c r="E34" s="287"/>
      <c r="F34" s="288">
        <f>F35*F32</f>
        <v>94920.719100000002</v>
      </c>
      <c r="G34" s="288"/>
      <c r="H34" s="288">
        <f>H35*H32</f>
        <v>13160.749529999999</v>
      </c>
      <c r="I34" s="288"/>
      <c r="J34" s="288">
        <f>J35*J32</f>
        <v>6183.8420000000006</v>
      </c>
      <c r="K34" s="288"/>
      <c r="L34" s="288">
        <f>L35*L32</f>
        <v>17933.141800000001</v>
      </c>
      <c r="M34" s="288"/>
      <c r="N34" s="288">
        <f>N35*N32</f>
        <v>2650.2179999999998</v>
      </c>
      <c r="O34" s="288"/>
      <c r="P34" s="288">
        <f>P35*P32</f>
        <v>40018.291799999999</v>
      </c>
      <c r="Q34" s="288"/>
      <c r="R34" s="288"/>
      <c r="S34" s="292"/>
      <c r="T34" s="288">
        <f>SUM(C34:P34)</f>
        <v>309192.39702999999</v>
      </c>
      <c r="U34" s="286"/>
      <c r="V34" s="5"/>
    </row>
    <row r="35" spans="1:22" ht="15.6" x14ac:dyDescent="0.3">
      <c r="A35" s="276"/>
      <c r="B35" s="293" t="s">
        <v>139</v>
      </c>
      <c r="C35" s="294"/>
      <c r="D35" s="295">
        <v>0.38822380000000001</v>
      </c>
      <c r="E35" s="296"/>
      <c r="F35" s="295">
        <v>0.38822380000000001</v>
      </c>
      <c r="G35" s="295"/>
      <c r="H35" s="295">
        <v>0.38822269999999998</v>
      </c>
      <c r="I35" s="297"/>
      <c r="J35" s="295">
        <v>0.88340600000000002</v>
      </c>
      <c r="K35" s="297"/>
      <c r="L35" s="295">
        <v>0.88340600000000002</v>
      </c>
      <c r="M35" s="297"/>
      <c r="N35" s="295">
        <v>0.88340600000000002</v>
      </c>
      <c r="O35" s="297"/>
      <c r="P35" s="295">
        <v>0.88340600000000002</v>
      </c>
      <c r="Q35" s="298"/>
      <c r="R35" s="298"/>
      <c r="S35" s="299"/>
      <c r="T35" s="298"/>
      <c r="U35" s="300"/>
      <c r="V35" s="5"/>
    </row>
    <row r="36" spans="1:22" ht="15.6" x14ac:dyDescent="0.3">
      <c r="A36" s="276"/>
      <c r="B36" s="293" t="s">
        <v>140</v>
      </c>
      <c r="C36" s="294"/>
      <c r="D36" s="295">
        <v>0.39208280000000001</v>
      </c>
      <c r="E36" s="296"/>
      <c r="F36" s="295">
        <v>0.39208280000000001</v>
      </c>
      <c r="G36" s="295"/>
      <c r="H36" s="295">
        <v>0.39208179999999998</v>
      </c>
      <c r="I36" s="297"/>
      <c r="J36" s="295">
        <v>0.89218739999999996</v>
      </c>
      <c r="K36" s="297"/>
      <c r="L36" s="295">
        <v>0.89218739999999996</v>
      </c>
      <c r="M36" s="297"/>
      <c r="N36" s="295">
        <v>0.89218739999999996</v>
      </c>
      <c r="O36" s="297"/>
      <c r="P36" s="295">
        <v>0.89218739999999996</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1.43581E-2</v>
      </c>
      <c r="E38" s="272"/>
      <c r="F38" s="303">
        <v>1.417E-2</v>
      </c>
      <c r="G38" s="304"/>
      <c r="H38" s="303">
        <v>8.626E-3</v>
      </c>
      <c r="I38" s="304"/>
      <c r="J38" s="303">
        <v>1.6558099999999999E-2</v>
      </c>
      <c r="K38" s="304"/>
      <c r="L38" s="303">
        <v>1.6369999999999999E-2</v>
      </c>
      <c r="M38" s="304"/>
      <c r="N38" s="303">
        <v>2.1158099999999999E-2</v>
      </c>
      <c r="O38" s="304"/>
      <c r="P38" s="303">
        <v>2.0969999999999999E-2</v>
      </c>
      <c r="Q38" s="304"/>
      <c r="R38" s="303"/>
      <c r="S38" s="274"/>
      <c r="T38" s="304"/>
      <c r="U38" s="275"/>
      <c r="V38" s="5"/>
    </row>
    <row r="39" spans="1:22" ht="15.6" x14ac:dyDescent="0.3">
      <c r="A39" s="302"/>
      <c r="B39" s="272" t="s">
        <v>14</v>
      </c>
      <c r="C39" s="272"/>
      <c r="D39" s="303">
        <v>1.3676300000000001E-2</v>
      </c>
      <c r="E39" s="272"/>
      <c r="F39" s="303">
        <v>1.822E-2</v>
      </c>
      <c r="G39" s="304"/>
      <c r="H39" s="303">
        <v>8.1721999999999993E-3</v>
      </c>
      <c r="I39" s="304"/>
      <c r="J39" s="303">
        <v>1.5876299999999999E-2</v>
      </c>
      <c r="K39" s="304"/>
      <c r="L39" s="303">
        <v>2.0420000000000001E-2</v>
      </c>
      <c r="M39" s="304"/>
      <c r="N39" s="303">
        <v>2.0476299999999999E-2</v>
      </c>
      <c r="O39" s="304"/>
      <c r="P39" s="303">
        <v>2.5020000000000001E-2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1.43581E-2</v>
      </c>
      <c r="E41" s="272"/>
      <c r="F41" s="303">
        <v>1.4558099999999999E-2</v>
      </c>
      <c r="G41" s="304"/>
      <c r="H41" s="303">
        <v>1.4818100000000001E-2</v>
      </c>
      <c r="I41" s="304"/>
      <c r="J41" s="303">
        <f>+J38</f>
        <v>1.6558099999999999E-2</v>
      </c>
      <c r="K41" s="304"/>
      <c r="L41" s="303">
        <v>1.7148099999999999E-2</v>
      </c>
      <c r="M41" s="304"/>
      <c r="N41" s="303">
        <f>+N38</f>
        <v>2.1158099999999999E-2</v>
      </c>
      <c r="O41" s="304"/>
      <c r="P41" s="303">
        <v>2.2038100000000001E-2</v>
      </c>
      <c r="Q41" s="304"/>
      <c r="R41" s="303"/>
      <c r="S41" s="274"/>
      <c r="T41" s="304">
        <f>SUMPRODUCT(D41:P41,D33:P33)/T33</f>
        <v>1.5697195152497768E-2</v>
      </c>
      <c r="U41" s="275"/>
      <c r="V41" s="5"/>
    </row>
    <row r="42" spans="1:22" ht="15.6" x14ac:dyDescent="0.3">
      <c r="A42" s="302"/>
      <c r="B42" s="272" t="s">
        <v>294</v>
      </c>
      <c r="C42" s="272"/>
      <c r="D42" s="303">
        <f>+D39</f>
        <v>1.3676300000000001E-2</v>
      </c>
      <c r="E42" s="272"/>
      <c r="F42" s="303">
        <v>1.3876299999999999E-2</v>
      </c>
      <c r="G42" s="304"/>
      <c r="H42" s="303">
        <v>1.4136299999999999E-2</v>
      </c>
      <c r="I42" s="304"/>
      <c r="J42" s="303">
        <f>+J39</f>
        <v>1.5876299999999999E-2</v>
      </c>
      <c r="K42" s="304"/>
      <c r="L42" s="303">
        <v>1.64663E-2</v>
      </c>
      <c r="M42" s="304"/>
      <c r="N42" s="303">
        <f>+N39</f>
        <v>2.0476299999999999E-2</v>
      </c>
      <c r="O42" s="304"/>
      <c r="P42" s="303">
        <v>2.1356300000000002E-2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0.27550986648895376</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41044</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92</v>
      </c>
      <c r="Q54" s="272"/>
      <c r="R54" s="312">
        <v>40862</v>
      </c>
      <c r="S54" s="313"/>
      <c r="T54" s="312">
        <v>40953</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90</v>
      </c>
      <c r="Q55" s="272"/>
      <c r="R55" s="312">
        <v>40954</v>
      </c>
      <c r="S55" s="313"/>
      <c r="T55" s="312">
        <v>41043</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41030</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311</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312266</v>
      </c>
      <c r="M65" s="317"/>
      <c r="N65" s="317">
        <f>3074+27</f>
        <v>3101</v>
      </c>
      <c r="O65" s="317"/>
      <c r="P65" s="317">
        <v>27</v>
      </c>
      <c r="Q65" s="317"/>
      <c r="R65" s="317">
        <v>0</v>
      </c>
      <c r="S65" s="317"/>
      <c r="T65" s="318">
        <f>+L65-N65+P65-R65</f>
        <v>309192</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312266</v>
      </c>
      <c r="M68" s="317"/>
      <c r="N68" s="317">
        <f>SUM(N65:N67)</f>
        <v>3101</v>
      </c>
      <c r="O68" s="317"/>
      <c r="P68" s="317">
        <f>SUM(P65:P67)</f>
        <v>27</v>
      </c>
      <c r="Q68" s="317"/>
      <c r="R68" s="317">
        <f>SUM(R65:R67)</f>
        <v>0</v>
      </c>
      <c r="S68" s="317"/>
      <c r="T68" s="317">
        <f>SUM(T65:T67)</f>
        <v>309192</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312266</v>
      </c>
      <c r="M81" s="317"/>
      <c r="N81" s="317"/>
      <c r="O81" s="317"/>
      <c r="P81" s="317"/>
      <c r="Q81" s="317"/>
      <c r="R81" s="317"/>
      <c r="S81" s="317"/>
      <c r="T81" s="317">
        <f>SUM(T68:T80)</f>
        <v>309192</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+R195</f>
        <v>41029</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3101-81</f>
        <v>3020</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2008+778-431-149</f>
        <v>2206</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17+11</f>
        <v>28</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34</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183</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3020</v>
      </c>
      <c r="S93" s="272"/>
      <c r="T93" s="317">
        <f>SUM(T85:T92)</f>
        <v>2451</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-2</v>
      </c>
      <c r="S94" s="272"/>
      <c r="T94" s="317">
        <f>-R94</f>
        <v>2</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9</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3018</v>
      </c>
      <c r="S97" s="272"/>
      <c r="T97" s="317">
        <f>T93+T95+T94+T96</f>
        <v>2462</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160</v>
      </c>
      <c r="C101" s="272"/>
      <c r="D101" s="272"/>
      <c r="E101" s="272"/>
      <c r="F101" s="272"/>
      <c r="G101" s="272"/>
      <c r="H101" s="272"/>
      <c r="I101" s="272"/>
      <c r="J101" s="272"/>
      <c r="K101" s="272"/>
      <c r="L101" s="272"/>
      <c r="M101" s="272"/>
      <c r="N101" s="272"/>
      <c r="O101" s="272"/>
      <c r="P101" s="272"/>
      <c r="Q101" s="272"/>
      <c r="R101" s="272"/>
      <c r="S101" s="272"/>
      <c r="T101" s="318">
        <f>-117-132-4</f>
        <v>-253</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f>-42-4</f>
        <v>-46</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-1</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-480</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-344</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-49</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-25</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-77</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-14</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-220</v>
      </c>
      <c r="U110" s="340"/>
      <c r="V110" s="5"/>
      <c r="W110" s="110"/>
    </row>
    <row r="111" spans="1:23" ht="15.6" x14ac:dyDescent="0.3">
      <c r="A111" s="302">
        <v>7</v>
      </c>
      <c r="B111" s="272" t="s">
        <v>38</v>
      </c>
      <c r="C111" s="272"/>
      <c r="D111" s="272"/>
      <c r="E111" s="272"/>
      <c r="F111" s="272"/>
      <c r="G111" s="272"/>
      <c r="H111" s="272"/>
      <c r="I111" s="272"/>
      <c r="J111" s="272"/>
      <c r="K111" s="272"/>
      <c r="L111" s="272"/>
      <c r="M111" s="272"/>
      <c r="N111" s="272"/>
      <c r="O111" s="272"/>
      <c r="P111" s="272"/>
      <c r="Q111" s="272"/>
      <c r="R111" s="272"/>
      <c r="S111" s="272"/>
      <c r="T111" s="318">
        <v>-6</v>
      </c>
      <c r="U111" s="340"/>
      <c r="V111" s="5"/>
    </row>
    <row r="112" spans="1:23" ht="15.6" x14ac:dyDescent="0.3">
      <c r="A112" s="302">
        <f t="shared" ref="A112:A117" si="0">+A111+1</f>
        <v>8</v>
      </c>
      <c r="B112" s="272" t="s">
        <v>49</v>
      </c>
      <c r="C112" s="272"/>
      <c r="D112" s="272"/>
      <c r="E112" s="272"/>
      <c r="F112" s="272"/>
      <c r="G112" s="272"/>
      <c r="H112" s="272"/>
      <c r="I112" s="272"/>
      <c r="J112" s="272"/>
      <c r="K112" s="272"/>
      <c r="L112" s="272"/>
      <c r="M112" s="272"/>
      <c r="N112" s="272"/>
      <c r="O112" s="272"/>
      <c r="P112" s="272"/>
      <c r="Q112" s="272"/>
      <c r="R112" s="317">
        <f>-T112</f>
        <v>81</v>
      </c>
      <c r="S112" s="272"/>
      <c r="T112" s="318">
        <v>-81</v>
      </c>
      <c r="U112" s="340"/>
      <c r="V112" s="5"/>
    </row>
    <row r="113" spans="1:22" ht="15.6" x14ac:dyDescent="0.3">
      <c r="A113" s="302">
        <f t="shared" si="0"/>
        <v>9</v>
      </c>
      <c r="B113" s="272" t="s">
        <v>134</v>
      </c>
      <c r="C113" s="272"/>
      <c r="D113" s="272"/>
      <c r="E113" s="272"/>
      <c r="F113" s="272"/>
      <c r="G113" s="272"/>
      <c r="H113" s="272"/>
      <c r="I113" s="272"/>
      <c r="J113" s="272"/>
      <c r="K113" s="272"/>
      <c r="L113" s="272"/>
      <c r="M113" s="272"/>
      <c r="N113" s="272"/>
      <c r="O113" s="272"/>
      <c r="P113" s="272"/>
      <c r="Q113" s="272"/>
      <c r="R113" s="272"/>
      <c r="S113" s="272"/>
      <c r="T113" s="318">
        <v>0</v>
      </c>
      <c r="U113" s="340"/>
      <c r="V113" s="5"/>
    </row>
    <row r="114" spans="1:22" ht="15.6" x14ac:dyDescent="0.3">
      <c r="A114" s="302">
        <f t="shared" si="0"/>
        <v>10</v>
      </c>
      <c r="B114" s="272" t="s">
        <v>39</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40</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161</v>
      </c>
      <c r="C116" s="272"/>
      <c r="D116" s="272"/>
      <c r="E116" s="272"/>
      <c r="F116" s="272"/>
      <c r="G116" s="272"/>
      <c r="H116" s="272"/>
      <c r="I116" s="272"/>
      <c r="J116" s="272"/>
      <c r="K116" s="272"/>
      <c r="L116" s="272"/>
      <c r="M116" s="272"/>
      <c r="N116" s="272"/>
      <c r="O116" s="272"/>
      <c r="P116" s="272"/>
      <c r="Q116" s="272"/>
      <c r="R116" s="272"/>
      <c r="S116" s="272"/>
      <c r="T116" s="318">
        <v>-117</v>
      </c>
      <c r="U116" s="340"/>
      <c r="V116" s="5"/>
    </row>
    <row r="117" spans="1:22" ht="15.6" x14ac:dyDescent="0.3">
      <c r="A117" s="302">
        <f t="shared" si="0"/>
        <v>13</v>
      </c>
      <c r="B117" s="272" t="s">
        <v>135</v>
      </c>
      <c r="C117" s="272"/>
      <c r="D117" s="272"/>
      <c r="E117" s="272"/>
      <c r="F117" s="272"/>
      <c r="G117" s="272"/>
      <c r="H117" s="272"/>
      <c r="I117" s="272"/>
      <c r="J117" s="272"/>
      <c r="K117" s="272"/>
      <c r="L117" s="272"/>
      <c r="M117" s="272"/>
      <c r="N117" s="272"/>
      <c r="O117" s="272"/>
      <c r="P117" s="272"/>
      <c r="Q117" s="272"/>
      <c r="R117" s="272"/>
      <c r="S117" s="272"/>
      <c r="T117" s="318">
        <f>-T97-SUM(T99:T116)</f>
        <v>-747</v>
      </c>
      <c r="U117" s="340"/>
      <c r="V117" s="5"/>
    </row>
    <row r="118" spans="1:22" ht="15.6" x14ac:dyDescent="0.3">
      <c r="A118" s="271"/>
      <c r="B118" s="336" t="s">
        <v>41</v>
      </c>
      <c r="C118" s="337"/>
      <c r="D118" s="337"/>
      <c r="E118" s="337"/>
      <c r="F118" s="337"/>
      <c r="G118" s="337"/>
      <c r="H118" s="337"/>
      <c r="I118" s="337"/>
      <c r="J118" s="337"/>
      <c r="K118" s="337"/>
      <c r="L118" s="337"/>
      <c r="M118" s="337"/>
      <c r="N118" s="337"/>
      <c r="O118" s="337"/>
      <c r="P118" s="337"/>
      <c r="Q118" s="337"/>
      <c r="R118" s="337"/>
      <c r="S118" s="337"/>
      <c r="T118" s="341"/>
      <c r="U118" s="340"/>
      <c r="V118" s="5"/>
    </row>
    <row r="119" spans="1:22" ht="15.6" x14ac:dyDescent="0.3">
      <c r="A119" s="302"/>
      <c r="B119" s="272" t="s">
        <v>229</v>
      </c>
      <c r="C119" s="272"/>
      <c r="D119" s="272"/>
      <c r="E119" s="272"/>
      <c r="F119" s="272"/>
      <c r="G119" s="272"/>
      <c r="H119" s="272"/>
      <c r="I119" s="272"/>
      <c r="J119" s="272"/>
      <c r="K119" s="272"/>
      <c r="L119" s="272"/>
      <c r="M119" s="272"/>
      <c r="N119" s="272"/>
      <c r="O119" s="272"/>
      <c r="P119" s="272"/>
      <c r="Q119" s="272"/>
      <c r="R119" s="317">
        <f>-R179</f>
        <v>0</v>
      </c>
      <c r="S119" s="317"/>
      <c r="T119" s="318"/>
      <c r="U119" s="275"/>
      <c r="V119" s="5"/>
    </row>
    <row r="120" spans="1:22" ht="15.6" x14ac:dyDescent="0.3">
      <c r="A120" s="302"/>
      <c r="B120" s="272" t="s">
        <v>230</v>
      </c>
      <c r="C120" s="272"/>
      <c r="D120" s="272"/>
      <c r="E120" s="272"/>
      <c r="F120" s="272"/>
      <c r="G120" s="272"/>
      <c r="H120" s="272"/>
      <c r="I120" s="272"/>
      <c r="J120" s="272"/>
      <c r="K120" s="272"/>
      <c r="L120" s="272"/>
      <c r="M120" s="272"/>
      <c r="N120" s="272"/>
      <c r="O120" s="272"/>
      <c r="P120" s="272"/>
      <c r="Q120" s="272"/>
      <c r="R120" s="317">
        <v>-25</v>
      </c>
      <c r="S120" s="317"/>
      <c r="T120" s="318"/>
      <c r="U120" s="275"/>
      <c r="V120" s="5"/>
    </row>
    <row r="121" spans="1:22" ht="15.6" x14ac:dyDescent="0.3">
      <c r="A121" s="302"/>
      <c r="B121" s="272" t="s">
        <v>42</v>
      </c>
      <c r="C121" s="272"/>
      <c r="D121" s="272"/>
      <c r="E121" s="272"/>
      <c r="F121" s="272"/>
      <c r="G121" s="272"/>
      <c r="H121" s="272"/>
      <c r="I121" s="272"/>
      <c r="J121" s="272"/>
      <c r="K121" s="272"/>
      <c r="L121" s="272"/>
      <c r="M121" s="272"/>
      <c r="N121" s="272"/>
      <c r="O121" s="272"/>
      <c r="P121" s="272"/>
      <c r="Q121" s="272"/>
      <c r="R121" s="317">
        <f>-Q179</f>
        <v>0</v>
      </c>
      <c r="S121" s="317"/>
      <c r="T121" s="318"/>
      <c r="U121" s="275"/>
      <c r="V121" s="5"/>
    </row>
    <row r="122" spans="1:22" ht="15.6" x14ac:dyDescent="0.3">
      <c r="A122" s="302"/>
      <c r="B122" s="272" t="s">
        <v>235</v>
      </c>
      <c r="C122" s="272"/>
      <c r="D122" s="272"/>
      <c r="E122" s="272"/>
      <c r="F122" s="272"/>
      <c r="G122" s="272"/>
      <c r="H122" s="272"/>
      <c r="I122" s="272"/>
      <c r="J122" s="272"/>
      <c r="K122" s="272"/>
      <c r="L122" s="272"/>
      <c r="M122" s="272"/>
      <c r="N122" s="272"/>
      <c r="O122" s="272"/>
      <c r="P122" s="272"/>
      <c r="Q122" s="272"/>
      <c r="R122" s="317">
        <v>-1335</v>
      </c>
      <c r="S122" s="317"/>
      <c r="T122" s="318"/>
      <c r="U122" s="275"/>
      <c r="V122" s="5"/>
    </row>
    <row r="123" spans="1:22" ht="15.6" x14ac:dyDescent="0.3">
      <c r="A123" s="302"/>
      <c r="B123" s="272" t="s">
        <v>236</v>
      </c>
      <c r="C123" s="272"/>
      <c r="D123" s="272"/>
      <c r="E123" s="272"/>
      <c r="F123" s="272"/>
      <c r="G123" s="272"/>
      <c r="H123" s="272"/>
      <c r="I123" s="272"/>
      <c r="J123" s="272"/>
      <c r="K123" s="272"/>
      <c r="L123" s="272"/>
      <c r="M123" s="272"/>
      <c r="N123" s="272"/>
      <c r="O123" s="272"/>
      <c r="P123" s="272"/>
      <c r="Q123" s="272"/>
      <c r="R123" s="317">
        <v>-944</v>
      </c>
      <c r="S123" s="317"/>
      <c r="T123" s="318"/>
      <c r="U123" s="275"/>
      <c r="V123" s="5"/>
    </row>
    <row r="124" spans="1:22" ht="15.6" x14ac:dyDescent="0.3">
      <c r="A124" s="302"/>
      <c r="B124" s="272" t="s">
        <v>241</v>
      </c>
      <c r="C124" s="272"/>
      <c r="D124" s="272"/>
      <c r="E124" s="272"/>
      <c r="F124" s="272"/>
      <c r="G124" s="272"/>
      <c r="H124" s="272"/>
      <c r="I124" s="272"/>
      <c r="J124" s="272"/>
      <c r="K124" s="272"/>
      <c r="L124" s="272"/>
      <c r="M124" s="272"/>
      <c r="N124" s="272"/>
      <c r="O124" s="272"/>
      <c r="P124" s="272"/>
      <c r="Q124" s="272"/>
      <c r="R124" s="317">
        <v>-131</v>
      </c>
      <c r="S124" s="317"/>
      <c r="T124" s="318"/>
      <c r="U124" s="275"/>
      <c r="V124" s="5"/>
    </row>
    <row r="125" spans="1:22" ht="15.6" x14ac:dyDescent="0.3">
      <c r="A125" s="302"/>
      <c r="B125" s="272" t="s">
        <v>237</v>
      </c>
      <c r="C125" s="272"/>
      <c r="D125" s="272"/>
      <c r="E125" s="272"/>
      <c r="F125" s="272"/>
      <c r="G125" s="272"/>
      <c r="H125" s="272"/>
      <c r="I125" s="272"/>
      <c r="J125" s="272"/>
      <c r="K125" s="272"/>
      <c r="L125" s="272"/>
      <c r="M125" s="272"/>
      <c r="N125" s="272"/>
      <c r="O125" s="272"/>
      <c r="P125" s="272"/>
      <c r="Q125" s="272"/>
      <c r="R125" s="317">
        <v>-62</v>
      </c>
      <c r="S125" s="317"/>
      <c r="T125" s="318"/>
      <c r="U125" s="275"/>
      <c r="V125" s="5"/>
    </row>
    <row r="126" spans="1:22" ht="15.6" x14ac:dyDescent="0.3">
      <c r="A126" s="302"/>
      <c r="B126" s="272" t="s">
        <v>238</v>
      </c>
      <c r="C126" s="272"/>
      <c r="D126" s="272"/>
      <c r="E126" s="272"/>
      <c r="F126" s="272"/>
      <c r="G126" s="272"/>
      <c r="H126" s="272"/>
      <c r="I126" s="272"/>
      <c r="J126" s="272"/>
      <c r="K126" s="272"/>
      <c r="L126" s="272"/>
      <c r="M126" s="272"/>
      <c r="N126" s="272"/>
      <c r="O126" s="272"/>
      <c r="P126" s="272"/>
      <c r="Q126" s="272"/>
      <c r="R126" s="317">
        <v>-178</v>
      </c>
      <c r="S126" s="317"/>
      <c r="T126" s="318"/>
      <c r="U126" s="275"/>
      <c r="V126" s="5"/>
    </row>
    <row r="127" spans="1:22" ht="15.6" x14ac:dyDescent="0.3">
      <c r="A127" s="302"/>
      <c r="B127" s="272" t="s">
        <v>239</v>
      </c>
      <c r="C127" s="272"/>
      <c r="D127" s="272"/>
      <c r="E127" s="272"/>
      <c r="F127" s="272"/>
      <c r="G127" s="272"/>
      <c r="H127" s="272"/>
      <c r="I127" s="272"/>
      <c r="J127" s="272"/>
      <c r="K127" s="272"/>
      <c r="L127" s="272"/>
      <c r="M127" s="272"/>
      <c r="N127" s="272"/>
      <c r="O127" s="272"/>
      <c r="P127" s="272"/>
      <c r="Q127" s="272"/>
      <c r="R127" s="317">
        <v>-26</v>
      </c>
      <c r="S127" s="317"/>
      <c r="T127" s="318"/>
      <c r="U127" s="275"/>
      <c r="V127" s="5"/>
    </row>
    <row r="128" spans="1:22" ht="15.6" x14ac:dyDescent="0.3">
      <c r="A128" s="302"/>
      <c r="B128" s="272" t="s">
        <v>240</v>
      </c>
      <c r="C128" s="272"/>
      <c r="D128" s="272"/>
      <c r="E128" s="272"/>
      <c r="F128" s="272"/>
      <c r="G128" s="272"/>
      <c r="H128" s="272"/>
      <c r="I128" s="272"/>
      <c r="J128" s="272"/>
      <c r="K128" s="272"/>
      <c r="L128" s="272"/>
      <c r="M128" s="272"/>
      <c r="N128" s="272"/>
      <c r="O128" s="272"/>
      <c r="P128" s="272"/>
      <c r="Q128" s="272"/>
      <c r="R128" s="317">
        <v>-398</v>
      </c>
      <c r="S128" s="317"/>
      <c r="T128" s="318"/>
      <c r="U128" s="275"/>
      <c r="V128" s="5"/>
    </row>
    <row r="129" spans="1:22" ht="15.6" x14ac:dyDescent="0.3">
      <c r="A129" s="302"/>
      <c r="B129" s="272" t="s">
        <v>43</v>
      </c>
      <c r="C129" s="272"/>
      <c r="D129" s="272"/>
      <c r="E129" s="272"/>
      <c r="F129" s="272"/>
      <c r="G129" s="272"/>
      <c r="H129" s="272"/>
      <c r="I129" s="272"/>
      <c r="J129" s="272"/>
      <c r="K129" s="272"/>
      <c r="L129" s="272"/>
      <c r="M129" s="272"/>
      <c r="N129" s="272"/>
      <c r="O129" s="272"/>
      <c r="P129" s="272"/>
      <c r="Q129" s="272"/>
      <c r="R129" s="317">
        <f>SUM(R119:R128)</f>
        <v>-3099</v>
      </c>
      <c r="S129" s="317"/>
      <c r="T129" s="317">
        <f>SUM(T98:T127)</f>
        <v>-2462</v>
      </c>
      <c r="U129" s="275"/>
      <c r="V129" s="5"/>
    </row>
    <row r="130" spans="1:22" ht="15.6" x14ac:dyDescent="0.3">
      <c r="A130" s="302"/>
      <c r="B130" s="272" t="s">
        <v>44</v>
      </c>
      <c r="C130" s="272"/>
      <c r="D130" s="272"/>
      <c r="E130" s="272"/>
      <c r="F130" s="272"/>
      <c r="G130" s="272"/>
      <c r="H130" s="272"/>
      <c r="I130" s="272"/>
      <c r="J130" s="272"/>
      <c r="K130" s="272"/>
      <c r="L130" s="272"/>
      <c r="M130" s="272"/>
      <c r="N130" s="272"/>
      <c r="O130" s="272"/>
      <c r="P130" s="272"/>
      <c r="Q130" s="272"/>
      <c r="R130" s="317">
        <f>R97+R129+R112</f>
        <v>0</v>
      </c>
      <c r="S130" s="317"/>
      <c r="T130" s="317">
        <f>T97+T129</f>
        <v>0</v>
      </c>
      <c r="U130" s="275"/>
      <c r="V130" s="5"/>
    </row>
    <row r="131" spans="1:22" ht="15.6" x14ac:dyDescent="0.3">
      <c r="A131" s="233"/>
      <c r="B131" s="268"/>
      <c r="C131" s="268"/>
      <c r="D131" s="268"/>
      <c r="E131" s="268"/>
      <c r="F131" s="268"/>
      <c r="G131" s="268"/>
      <c r="H131" s="268"/>
      <c r="I131" s="268"/>
      <c r="J131" s="268"/>
      <c r="K131" s="268"/>
      <c r="L131" s="268"/>
      <c r="M131" s="268"/>
      <c r="N131" s="268"/>
      <c r="O131" s="268"/>
      <c r="P131" s="268"/>
      <c r="Q131" s="268"/>
      <c r="R131" s="333"/>
      <c r="S131" s="333"/>
      <c r="T131" s="333"/>
      <c r="U131" s="268"/>
      <c r="V131" s="5"/>
    </row>
    <row r="132" spans="1:22" ht="15.6" x14ac:dyDescent="0.3">
      <c r="A132" s="233"/>
      <c r="B132" s="234"/>
      <c r="C132" s="234"/>
      <c r="D132" s="234"/>
      <c r="E132" s="234"/>
      <c r="F132" s="234"/>
      <c r="G132" s="234"/>
      <c r="H132" s="234"/>
      <c r="I132" s="234"/>
      <c r="J132" s="234"/>
      <c r="K132" s="234"/>
      <c r="L132" s="234"/>
      <c r="M132" s="234"/>
      <c r="N132" s="234"/>
      <c r="O132" s="234"/>
      <c r="P132" s="234"/>
      <c r="Q132" s="234"/>
      <c r="R132" s="234"/>
      <c r="S132" s="234"/>
      <c r="T132" s="243"/>
      <c r="U132" s="234"/>
      <c r="V132" s="5"/>
    </row>
    <row r="133" spans="1:22" ht="18" thickBot="1" x14ac:dyDescent="0.35">
      <c r="A133" s="237"/>
      <c r="B133" s="238" t="str">
        <f>B61</f>
        <v>PM9 INVESTOR REPORT QUARTER ENDING APRIL 2012</v>
      </c>
      <c r="C133" s="239"/>
      <c r="D133" s="239"/>
      <c r="E133" s="239"/>
      <c r="F133" s="239"/>
      <c r="G133" s="239"/>
      <c r="H133" s="239"/>
      <c r="I133" s="239"/>
      <c r="J133" s="239"/>
      <c r="K133" s="239"/>
      <c r="L133" s="239"/>
      <c r="M133" s="239"/>
      <c r="N133" s="239"/>
      <c r="O133" s="239"/>
      <c r="P133" s="239"/>
      <c r="Q133" s="239"/>
      <c r="R133" s="239"/>
      <c r="S133" s="239"/>
      <c r="T133" s="244"/>
      <c r="U133" s="241"/>
      <c r="V133" s="5"/>
    </row>
    <row r="134" spans="1:22" ht="15.6" x14ac:dyDescent="0.3">
      <c r="A134" s="321"/>
      <c r="B134" s="324" t="s">
        <v>45</v>
      </c>
      <c r="C134" s="322"/>
      <c r="D134" s="322"/>
      <c r="E134" s="322"/>
      <c r="F134" s="322"/>
      <c r="G134" s="322"/>
      <c r="H134" s="322"/>
      <c r="I134" s="322"/>
      <c r="J134" s="322"/>
      <c r="K134" s="322"/>
      <c r="L134" s="322"/>
      <c r="M134" s="322"/>
      <c r="N134" s="322"/>
      <c r="O134" s="322"/>
      <c r="P134" s="322"/>
      <c r="Q134" s="322"/>
      <c r="R134" s="322"/>
      <c r="S134" s="322"/>
      <c r="T134" s="323"/>
      <c r="U134" s="322"/>
      <c r="V134" s="5"/>
    </row>
    <row r="135" spans="1:22" ht="15.6" x14ac:dyDescent="0.3">
      <c r="A135" s="177"/>
      <c r="B135" s="191"/>
      <c r="C135" s="179"/>
      <c r="D135" s="179"/>
      <c r="E135" s="179"/>
      <c r="F135" s="179"/>
      <c r="G135" s="179"/>
      <c r="H135" s="179"/>
      <c r="I135" s="179"/>
      <c r="J135" s="179"/>
      <c r="K135" s="179"/>
      <c r="L135" s="179"/>
      <c r="M135" s="179"/>
      <c r="N135" s="179"/>
      <c r="O135" s="179"/>
      <c r="P135" s="179"/>
      <c r="Q135" s="179"/>
      <c r="R135" s="179"/>
      <c r="S135" s="179"/>
      <c r="T135" s="197"/>
      <c r="U135" s="179"/>
      <c r="V135" s="5"/>
    </row>
    <row r="136" spans="1:22" ht="15.6" x14ac:dyDescent="0.3">
      <c r="A136" s="177"/>
      <c r="B136" s="204" t="s">
        <v>46</v>
      </c>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271"/>
      <c r="B137" s="272" t="s">
        <v>47</v>
      </c>
      <c r="C137" s="272"/>
      <c r="D137" s="272"/>
      <c r="E137" s="272"/>
      <c r="F137" s="272"/>
      <c r="G137" s="272"/>
      <c r="H137" s="272"/>
      <c r="I137" s="272"/>
      <c r="J137" s="272"/>
      <c r="K137" s="272"/>
      <c r="L137" s="272"/>
      <c r="M137" s="272"/>
      <c r="N137" s="272"/>
      <c r="O137" s="272"/>
      <c r="P137" s="272"/>
      <c r="Q137" s="272"/>
      <c r="R137" s="272"/>
      <c r="S137" s="272"/>
      <c r="T137" s="318">
        <f>+T32*0.0176</f>
        <v>12320</v>
      </c>
      <c r="U137" s="275"/>
      <c r="V137" s="5"/>
    </row>
    <row r="138" spans="1:22" ht="15.6" x14ac:dyDescent="0.3">
      <c r="A138" s="271"/>
      <c r="B138" s="272" t="s">
        <v>48</v>
      </c>
      <c r="C138" s="272"/>
      <c r="D138" s="272"/>
      <c r="E138" s="272"/>
      <c r="F138" s="272"/>
      <c r="G138" s="272"/>
      <c r="H138" s="272"/>
      <c r="I138" s="272"/>
      <c r="J138" s="272"/>
      <c r="K138" s="272"/>
      <c r="L138" s="272"/>
      <c r="M138" s="272"/>
      <c r="N138" s="272"/>
      <c r="O138" s="272"/>
      <c r="P138" s="272"/>
      <c r="Q138" s="272"/>
      <c r="R138" s="272"/>
      <c r="S138" s="272"/>
      <c r="T138" s="318">
        <v>12320</v>
      </c>
      <c r="U138" s="275"/>
      <c r="V138" s="5"/>
    </row>
    <row r="139" spans="1:22" ht="15.6" x14ac:dyDescent="0.3">
      <c r="A139" s="271"/>
      <c r="B139" s="272" t="s">
        <v>145</v>
      </c>
      <c r="C139" s="272"/>
      <c r="D139" s="272"/>
      <c r="E139" s="272"/>
      <c r="F139" s="272"/>
      <c r="G139" s="272"/>
      <c r="H139" s="272"/>
      <c r="I139" s="272"/>
      <c r="J139" s="272"/>
      <c r="K139" s="272"/>
      <c r="L139" s="272"/>
      <c r="M139" s="272"/>
      <c r="N139" s="272"/>
      <c r="O139" s="272"/>
      <c r="P139" s="272"/>
      <c r="Q139" s="272"/>
      <c r="R139" s="272"/>
      <c r="S139" s="272"/>
      <c r="T139" s="318">
        <v>0</v>
      </c>
      <c r="U139" s="275"/>
      <c r="V139" s="5"/>
    </row>
    <row r="140" spans="1:22" ht="15.6" x14ac:dyDescent="0.3">
      <c r="A140" s="271"/>
      <c r="B140" s="272" t="s">
        <v>132</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133</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232</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49</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138</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231</v>
      </c>
      <c r="C145" s="272"/>
      <c r="D145" s="272"/>
      <c r="E145" s="272"/>
      <c r="F145" s="272"/>
      <c r="G145" s="272"/>
      <c r="H145" s="272"/>
      <c r="I145" s="272"/>
      <c r="J145" s="272"/>
      <c r="K145" s="272"/>
      <c r="L145" s="272"/>
      <c r="M145" s="272"/>
      <c r="N145" s="272"/>
      <c r="O145" s="272"/>
      <c r="P145" s="272"/>
      <c r="Q145" s="272"/>
      <c r="R145" s="272"/>
      <c r="S145" s="272"/>
      <c r="T145" s="318">
        <v>0</v>
      </c>
      <c r="U145" s="275"/>
      <c r="V145" s="5"/>
      <c r="W145" s="110"/>
    </row>
    <row r="146" spans="1:23" ht="15.6" x14ac:dyDescent="0.3">
      <c r="A146" s="271"/>
      <c r="B146" s="272" t="s">
        <v>50</v>
      </c>
      <c r="C146" s="272"/>
      <c r="D146" s="272"/>
      <c r="E146" s="272"/>
      <c r="F146" s="272"/>
      <c r="G146" s="272"/>
      <c r="H146" s="272"/>
      <c r="I146" s="272"/>
      <c r="J146" s="272"/>
      <c r="K146" s="272"/>
      <c r="L146" s="272"/>
      <c r="M146" s="272"/>
      <c r="N146" s="272"/>
      <c r="O146" s="272"/>
      <c r="P146" s="272"/>
      <c r="Q146" s="272"/>
      <c r="R146" s="272"/>
      <c r="S146" s="272"/>
      <c r="T146" s="318">
        <f>SUM(T138:T145)</f>
        <v>12320</v>
      </c>
      <c r="U146" s="275"/>
      <c r="V146" s="5"/>
    </row>
    <row r="147" spans="1:23" ht="15.6" x14ac:dyDescent="0.3">
      <c r="A147" s="271"/>
      <c r="B147" s="337"/>
      <c r="C147" s="337"/>
      <c r="D147" s="337"/>
      <c r="E147" s="337"/>
      <c r="F147" s="337"/>
      <c r="G147" s="337"/>
      <c r="H147" s="337"/>
      <c r="I147" s="337"/>
      <c r="J147" s="337"/>
      <c r="K147" s="337"/>
      <c r="L147" s="337"/>
      <c r="M147" s="337"/>
      <c r="N147" s="337"/>
      <c r="O147" s="337"/>
      <c r="P147" s="337"/>
      <c r="Q147" s="337"/>
      <c r="R147" s="337"/>
      <c r="S147" s="337"/>
      <c r="T147" s="339"/>
      <c r="U147" s="340"/>
      <c r="V147" s="5"/>
    </row>
    <row r="148" spans="1:23" ht="15.6" x14ac:dyDescent="0.3">
      <c r="A148" s="271"/>
      <c r="B148" s="336" t="s">
        <v>264</v>
      </c>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272" t="s">
        <v>170</v>
      </c>
      <c r="C149" s="272"/>
      <c r="D149" s="272"/>
      <c r="E149" s="272"/>
      <c r="F149" s="272"/>
      <c r="G149" s="272"/>
      <c r="H149" s="272"/>
      <c r="I149" s="272"/>
      <c r="J149" s="272"/>
      <c r="K149" s="272"/>
      <c r="L149" s="272"/>
      <c r="M149" s="272"/>
      <c r="N149" s="272"/>
      <c r="O149" s="272"/>
      <c r="P149" s="272"/>
      <c r="Q149" s="272"/>
      <c r="R149" s="272"/>
      <c r="S149" s="272"/>
      <c r="T149" s="318">
        <v>10000</v>
      </c>
      <c r="U149" s="275"/>
      <c r="V149" s="5"/>
    </row>
    <row r="150" spans="1:23" ht="15.6" x14ac:dyDescent="0.3">
      <c r="A150" s="271"/>
      <c r="B150" s="272" t="s">
        <v>260</v>
      </c>
      <c r="C150" s="272"/>
      <c r="D150" s="272"/>
      <c r="E150" s="272"/>
      <c r="F150" s="272"/>
      <c r="G150" s="272"/>
      <c r="H150" s="272"/>
      <c r="I150" s="272"/>
      <c r="J150" s="272"/>
      <c r="K150" s="272"/>
      <c r="L150" s="272"/>
      <c r="M150" s="272"/>
      <c r="N150" s="272"/>
      <c r="O150" s="272"/>
      <c r="P150" s="272"/>
      <c r="Q150" s="272"/>
      <c r="R150" s="272"/>
      <c r="S150" s="272"/>
      <c r="T150" s="318">
        <v>1819</v>
      </c>
      <c r="U150" s="275"/>
      <c r="V150" s="5"/>
    </row>
    <row r="151" spans="1:23" ht="15.6" x14ac:dyDescent="0.3">
      <c r="A151" s="271"/>
      <c r="B151" s="272" t="s">
        <v>228</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300</v>
      </c>
      <c r="C152" s="272"/>
      <c r="D152" s="272"/>
      <c r="E152" s="272"/>
      <c r="F152" s="272"/>
      <c r="G152" s="272"/>
      <c r="H152" s="272"/>
      <c r="I152" s="272"/>
      <c r="J152" s="272"/>
      <c r="K152" s="272"/>
      <c r="L152" s="272"/>
      <c r="M152" s="272"/>
      <c r="N152" s="272"/>
      <c r="O152" s="272"/>
      <c r="P152" s="272"/>
      <c r="Q152" s="272"/>
      <c r="R152" s="272"/>
      <c r="S152" s="272"/>
      <c r="T152" s="318">
        <v>1819</v>
      </c>
      <c r="U152" s="275"/>
      <c r="V152" s="5"/>
    </row>
    <row r="153" spans="1:23" ht="15.6" x14ac:dyDescent="0.3">
      <c r="A153" s="271"/>
      <c r="B153" s="337"/>
      <c r="C153" s="337"/>
      <c r="D153" s="337"/>
      <c r="E153" s="337"/>
      <c r="F153" s="337"/>
      <c r="G153" s="337"/>
      <c r="H153" s="337"/>
      <c r="I153" s="337"/>
      <c r="J153" s="337"/>
      <c r="K153" s="337"/>
      <c r="L153" s="337"/>
      <c r="M153" s="337"/>
      <c r="N153" s="337"/>
      <c r="O153" s="337"/>
      <c r="P153" s="337"/>
      <c r="Q153" s="337"/>
      <c r="R153" s="337"/>
      <c r="S153" s="337"/>
      <c r="T153" s="339"/>
      <c r="U153" s="340"/>
      <c r="V153" s="5"/>
    </row>
    <row r="154" spans="1:23" ht="15.6" x14ac:dyDescent="0.3">
      <c r="A154" s="177"/>
      <c r="B154" s="314"/>
      <c r="C154" s="314"/>
      <c r="D154" s="314"/>
      <c r="E154" s="314"/>
      <c r="F154" s="314"/>
      <c r="G154" s="314"/>
      <c r="H154" s="314"/>
      <c r="I154" s="314"/>
      <c r="J154" s="314"/>
      <c r="K154" s="314"/>
      <c r="L154" s="314"/>
      <c r="M154" s="314"/>
      <c r="N154" s="314"/>
      <c r="O154" s="314"/>
      <c r="P154" s="314"/>
      <c r="Q154" s="314"/>
      <c r="R154" s="314"/>
      <c r="S154" s="314"/>
      <c r="T154" s="342"/>
      <c r="U154" s="314"/>
      <c r="V154" s="5"/>
    </row>
    <row r="155" spans="1:23" ht="15.6" x14ac:dyDescent="0.3">
      <c r="A155" s="177"/>
      <c r="B155" s="204" t="s">
        <v>25</v>
      </c>
      <c r="C155" s="179"/>
      <c r="D155" s="179"/>
      <c r="E155" s="179"/>
      <c r="F155" s="179"/>
      <c r="G155" s="179"/>
      <c r="H155" s="179"/>
      <c r="I155" s="179"/>
      <c r="J155" s="179"/>
      <c r="K155" s="179"/>
      <c r="L155" s="179"/>
      <c r="M155" s="179"/>
      <c r="N155" s="179"/>
      <c r="O155" s="179"/>
      <c r="P155" s="179"/>
      <c r="Q155" s="179"/>
      <c r="R155" s="179"/>
      <c r="S155" s="179"/>
      <c r="T155" s="197"/>
      <c r="U155" s="179"/>
      <c r="V155" s="5"/>
    </row>
    <row r="156" spans="1:23" ht="15.6" x14ac:dyDescent="0.3">
      <c r="A156" s="271"/>
      <c r="B156" s="272" t="s">
        <v>51</v>
      </c>
      <c r="C156" s="272"/>
      <c r="D156" s="272"/>
      <c r="E156" s="272"/>
      <c r="F156" s="272"/>
      <c r="G156" s="272"/>
      <c r="H156" s="272"/>
      <c r="I156" s="272"/>
      <c r="J156" s="272"/>
      <c r="K156" s="272"/>
      <c r="L156" s="272"/>
      <c r="M156" s="272"/>
      <c r="N156" s="272"/>
      <c r="O156" s="272"/>
      <c r="P156" s="272"/>
      <c r="Q156" s="272"/>
      <c r="R156" s="272"/>
      <c r="S156" s="272"/>
      <c r="T156" s="343" t="s">
        <v>127</v>
      </c>
      <c r="U156" s="340"/>
      <c r="V156" s="5"/>
    </row>
    <row r="157" spans="1:23" ht="15.6" x14ac:dyDescent="0.3">
      <c r="A157" s="271"/>
      <c r="B157" s="272" t="s">
        <v>52</v>
      </c>
      <c r="C157" s="274"/>
      <c r="D157" s="274"/>
      <c r="E157" s="274"/>
      <c r="F157" s="274"/>
      <c r="G157" s="274"/>
      <c r="H157" s="274"/>
      <c r="I157" s="274"/>
      <c r="J157" s="274"/>
      <c r="K157" s="274"/>
      <c r="L157" s="274"/>
      <c r="M157" s="274"/>
      <c r="N157" s="274"/>
      <c r="O157" s="274"/>
      <c r="P157" s="274"/>
      <c r="Q157" s="274"/>
      <c r="R157" s="274"/>
      <c r="S157" s="274"/>
      <c r="T157" s="343" t="s">
        <v>127</v>
      </c>
      <c r="U157" s="340"/>
      <c r="V157" s="5"/>
    </row>
    <row r="158" spans="1:23" ht="15.6" x14ac:dyDescent="0.3">
      <c r="A158" s="271"/>
      <c r="B158" s="272" t="s">
        <v>53</v>
      </c>
      <c r="C158" s="272"/>
      <c r="D158" s="272"/>
      <c r="E158" s="272"/>
      <c r="F158" s="272"/>
      <c r="G158" s="272"/>
      <c r="H158" s="272"/>
      <c r="I158" s="272"/>
      <c r="J158" s="272"/>
      <c r="K158" s="272"/>
      <c r="L158" s="272"/>
      <c r="M158" s="272"/>
      <c r="N158" s="272"/>
      <c r="O158" s="272"/>
      <c r="P158" s="272"/>
      <c r="Q158" s="272"/>
      <c r="R158" s="272"/>
      <c r="S158" s="272"/>
      <c r="T158" s="343" t="s">
        <v>127</v>
      </c>
      <c r="U158" s="340"/>
      <c r="V158" s="5"/>
    </row>
    <row r="159" spans="1:23" ht="15.6" x14ac:dyDescent="0.3">
      <c r="A159" s="271"/>
      <c r="B159" s="272" t="s">
        <v>54</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177"/>
      <c r="B160" s="314"/>
      <c r="C160" s="314"/>
      <c r="D160" s="314"/>
      <c r="E160" s="314"/>
      <c r="F160" s="314"/>
      <c r="G160" s="314"/>
      <c r="H160" s="314"/>
      <c r="I160" s="314"/>
      <c r="J160" s="314"/>
      <c r="K160" s="314"/>
      <c r="L160" s="314"/>
      <c r="M160" s="314"/>
      <c r="N160" s="314"/>
      <c r="O160" s="314"/>
      <c r="P160" s="314"/>
      <c r="Q160" s="314"/>
      <c r="R160" s="314"/>
      <c r="S160" s="314"/>
      <c r="T160" s="342"/>
      <c r="U160" s="314"/>
      <c r="V160" s="5"/>
    </row>
    <row r="161" spans="1:22" ht="15.6" x14ac:dyDescent="0.3">
      <c r="A161" s="177"/>
      <c r="B161" s="204" t="s">
        <v>55</v>
      </c>
      <c r="C161" s="179"/>
      <c r="D161" s="179"/>
      <c r="E161" s="179"/>
      <c r="F161" s="179"/>
      <c r="G161" s="179"/>
      <c r="H161" s="179"/>
      <c r="I161" s="179"/>
      <c r="J161" s="179"/>
      <c r="K161" s="179"/>
      <c r="L161" s="179"/>
      <c r="M161" s="179"/>
      <c r="N161" s="179"/>
      <c r="O161" s="179"/>
      <c r="P161" s="179"/>
      <c r="Q161" s="179"/>
      <c r="R161" s="179"/>
      <c r="S161" s="179"/>
      <c r="T161" s="205"/>
      <c r="U161" s="179"/>
      <c r="V161" s="5"/>
    </row>
    <row r="162" spans="1:22" ht="15.6" x14ac:dyDescent="0.3">
      <c r="A162" s="271"/>
      <c r="B162" s="272" t="s">
        <v>56</v>
      </c>
      <c r="C162" s="272"/>
      <c r="D162" s="272"/>
      <c r="E162" s="272"/>
      <c r="F162" s="272"/>
      <c r="G162" s="272"/>
      <c r="H162" s="272"/>
      <c r="I162" s="272"/>
      <c r="J162" s="272"/>
      <c r="K162" s="272"/>
      <c r="L162" s="272"/>
      <c r="M162" s="272"/>
      <c r="N162" s="272"/>
      <c r="O162" s="272"/>
      <c r="P162" s="272"/>
      <c r="Q162" s="272"/>
      <c r="R162" s="272"/>
      <c r="S162" s="272"/>
      <c r="T162" s="318">
        <v>0</v>
      </c>
      <c r="U162" s="340"/>
      <c r="V162" s="5"/>
    </row>
    <row r="163" spans="1:22" ht="15.6" x14ac:dyDescent="0.3">
      <c r="A163" s="271"/>
      <c r="B163" s="272" t="s">
        <v>57</v>
      </c>
      <c r="C163" s="272"/>
      <c r="D163" s="272"/>
      <c r="E163" s="272"/>
      <c r="F163" s="272"/>
      <c r="G163" s="272"/>
      <c r="H163" s="272"/>
      <c r="I163" s="272"/>
      <c r="J163" s="272"/>
      <c r="K163" s="272"/>
      <c r="L163" s="272"/>
      <c r="M163" s="272"/>
      <c r="N163" s="272"/>
      <c r="O163" s="272"/>
      <c r="P163" s="272"/>
      <c r="Q163" s="272"/>
      <c r="R163" s="272"/>
      <c r="S163" s="272"/>
      <c r="T163" s="318">
        <f>-T112</f>
        <v>81</v>
      </c>
      <c r="U163" s="340"/>
      <c r="V163" s="5"/>
    </row>
    <row r="164" spans="1:22" ht="15.6" x14ac:dyDescent="0.3">
      <c r="A164" s="271"/>
      <c r="B164" s="272" t="s">
        <v>58</v>
      </c>
      <c r="C164" s="272"/>
      <c r="D164" s="272"/>
      <c r="E164" s="272"/>
      <c r="F164" s="272"/>
      <c r="G164" s="272"/>
      <c r="H164" s="272"/>
      <c r="I164" s="272"/>
      <c r="J164" s="272"/>
      <c r="K164" s="272"/>
      <c r="L164" s="272"/>
      <c r="M164" s="272"/>
      <c r="N164" s="272"/>
      <c r="O164" s="272"/>
      <c r="P164" s="272"/>
      <c r="Q164" s="272"/>
      <c r="R164" s="272"/>
      <c r="S164" s="272"/>
      <c r="T164" s="318">
        <f>T163+T162</f>
        <v>81</v>
      </c>
      <c r="U164" s="340"/>
      <c r="V164" s="5"/>
    </row>
    <row r="165" spans="1:22" ht="15.6" x14ac:dyDescent="0.3">
      <c r="A165" s="271"/>
      <c r="B165" s="400" t="s">
        <v>309</v>
      </c>
      <c r="C165" s="272"/>
      <c r="D165" s="272"/>
      <c r="E165" s="272"/>
      <c r="F165" s="272"/>
      <c r="G165" s="272"/>
      <c r="H165" s="272"/>
      <c r="I165" s="272"/>
      <c r="J165" s="272"/>
      <c r="K165" s="272"/>
      <c r="L165" s="272"/>
      <c r="M165" s="272"/>
      <c r="N165" s="272"/>
      <c r="O165" s="272"/>
      <c r="P165" s="272"/>
      <c r="Q165" s="272"/>
      <c r="R165" s="272"/>
      <c r="S165" s="272"/>
      <c r="T165" s="318">
        <f>T112</f>
        <v>-81</v>
      </c>
      <c r="U165" s="340"/>
      <c r="V165" s="5"/>
    </row>
    <row r="166" spans="1:22" ht="15.6" x14ac:dyDescent="0.3">
      <c r="A166" s="271"/>
      <c r="B166" s="272" t="s">
        <v>59</v>
      </c>
      <c r="C166" s="272"/>
      <c r="D166" s="272"/>
      <c r="E166" s="272"/>
      <c r="F166" s="272"/>
      <c r="G166" s="272"/>
      <c r="H166" s="272"/>
      <c r="I166" s="272"/>
      <c r="J166" s="272"/>
      <c r="K166" s="272"/>
      <c r="L166" s="272"/>
      <c r="M166" s="272"/>
      <c r="N166" s="272"/>
      <c r="O166" s="272"/>
      <c r="P166" s="272"/>
      <c r="Q166" s="272"/>
      <c r="R166" s="272"/>
      <c r="S166" s="272"/>
      <c r="T166" s="318">
        <f>T164+T165</f>
        <v>0</v>
      </c>
      <c r="U166" s="340"/>
      <c r="V166" s="5"/>
    </row>
    <row r="167" spans="1:22" ht="15.6" x14ac:dyDescent="0.3">
      <c r="A167" s="271"/>
      <c r="B167" s="272" t="s">
        <v>278</v>
      </c>
      <c r="C167" s="272"/>
      <c r="D167" s="272"/>
      <c r="E167" s="272"/>
      <c r="F167" s="272"/>
      <c r="G167" s="272"/>
      <c r="H167" s="272"/>
      <c r="I167" s="272"/>
      <c r="J167" s="272"/>
      <c r="K167" s="272"/>
      <c r="L167" s="272"/>
      <c r="M167" s="272"/>
      <c r="N167" s="272"/>
      <c r="O167" s="272"/>
      <c r="P167" s="272"/>
      <c r="Q167" s="272"/>
      <c r="R167" s="272"/>
      <c r="S167" s="272"/>
      <c r="T167" s="318">
        <v>0</v>
      </c>
      <c r="U167" s="340"/>
      <c r="V167" s="5"/>
    </row>
    <row r="168" spans="1:22" ht="16.2" thickBot="1" x14ac:dyDescent="0.35">
      <c r="A168" s="177"/>
      <c r="B168" s="268"/>
      <c r="C168" s="268"/>
      <c r="D168" s="268"/>
      <c r="E168" s="268"/>
      <c r="F168" s="268"/>
      <c r="G168" s="268"/>
      <c r="H168" s="268"/>
      <c r="I168" s="268"/>
      <c r="J168" s="268"/>
      <c r="K168" s="268"/>
      <c r="L168" s="268"/>
      <c r="M168" s="268"/>
      <c r="N168" s="268"/>
      <c r="O168" s="268"/>
      <c r="P168" s="268"/>
      <c r="Q168" s="268"/>
      <c r="R168" s="268"/>
      <c r="S168" s="268"/>
      <c r="T168" s="344"/>
      <c r="U168" s="314"/>
      <c r="V168" s="5"/>
    </row>
    <row r="169" spans="1:22" ht="15.6" x14ac:dyDescent="0.3">
      <c r="A169" s="175"/>
      <c r="B169" s="176"/>
      <c r="C169" s="176"/>
      <c r="D169" s="176"/>
      <c r="E169" s="176"/>
      <c r="F169" s="176"/>
      <c r="G169" s="176"/>
      <c r="H169" s="176"/>
      <c r="I169" s="176"/>
      <c r="J169" s="176"/>
      <c r="K169" s="176"/>
      <c r="L169" s="176"/>
      <c r="M169" s="176"/>
      <c r="N169" s="176"/>
      <c r="O169" s="176"/>
      <c r="P169" s="176"/>
      <c r="Q169" s="176"/>
      <c r="R169" s="176"/>
      <c r="S169" s="176"/>
      <c r="T169" s="196"/>
      <c r="U169" s="176"/>
      <c r="V169" s="5"/>
    </row>
    <row r="170" spans="1:22" ht="15.6" x14ac:dyDescent="0.3">
      <c r="A170" s="177"/>
      <c r="B170" s="204" t="s">
        <v>60</v>
      </c>
      <c r="C170" s="179"/>
      <c r="D170" s="179"/>
      <c r="E170" s="179"/>
      <c r="F170" s="179"/>
      <c r="G170" s="179"/>
      <c r="H170" s="179"/>
      <c r="I170" s="179"/>
      <c r="J170" s="179"/>
      <c r="K170" s="179"/>
      <c r="L170" s="179"/>
      <c r="M170" s="179"/>
      <c r="N170" s="179"/>
      <c r="O170" s="179"/>
      <c r="P170" s="179"/>
      <c r="Q170" s="179"/>
      <c r="R170" s="179"/>
      <c r="S170" s="179"/>
      <c r="T170" s="197"/>
      <c r="U170" s="179"/>
      <c r="V170" s="5"/>
    </row>
    <row r="171" spans="1:22" ht="15.6" x14ac:dyDescent="0.3">
      <c r="A171" s="177"/>
      <c r="B171" s="191"/>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271"/>
      <c r="B172" s="272" t="s">
        <v>61</v>
      </c>
      <c r="C172" s="272"/>
      <c r="D172" s="272"/>
      <c r="E172" s="272"/>
      <c r="F172" s="272"/>
      <c r="G172" s="272"/>
      <c r="H172" s="272"/>
      <c r="I172" s="272"/>
      <c r="J172" s="272"/>
      <c r="K172" s="272"/>
      <c r="L172" s="272"/>
      <c r="M172" s="272"/>
      <c r="N172" s="272"/>
      <c r="O172" s="272"/>
      <c r="P172" s="272"/>
      <c r="Q172" s="272"/>
      <c r="R172" s="272"/>
      <c r="S172" s="272"/>
      <c r="T172" s="318">
        <f>T68</f>
        <v>309192</v>
      </c>
      <c r="U172" s="340"/>
      <c r="V172" s="5"/>
    </row>
    <row r="173" spans="1:22" ht="15.6" x14ac:dyDescent="0.3">
      <c r="A173" s="271"/>
      <c r="B173" s="272" t="s">
        <v>62</v>
      </c>
      <c r="C173" s="272"/>
      <c r="D173" s="272"/>
      <c r="E173" s="272"/>
      <c r="F173" s="272"/>
      <c r="G173" s="272"/>
      <c r="H173" s="272"/>
      <c r="I173" s="272"/>
      <c r="J173" s="272"/>
      <c r="K173" s="272"/>
      <c r="L173" s="272"/>
      <c r="M173" s="272"/>
      <c r="N173" s="272"/>
      <c r="O173" s="272"/>
      <c r="P173" s="272"/>
      <c r="Q173" s="272"/>
      <c r="R173" s="272"/>
      <c r="S173" s="272"/>
      <c r="T173" s="318">
        <f>T81</f>
        <v>309192</v>
      </c>
      <c r="U173" s="340"/>
      <c r="V173" s="5"/>
    </row>
    <row r="174" spans="1:22" ht="16.2" thickBot="1" x14ac:dyDescent="0.35">
      <c r="A174" s="177"/>
      <c r="B174" s="314"/>
      <c r="C174" s="314"/>
      <c r="D174" s="314"/>
      <c r="E174" s="314"/>
      <c r="F174" s="314"/>
      <c r="G174" s="314"/>
      <c r="H174" s="314"/>
      <c r="I174" s="314"/>
      <c r="J174" s="314"/>
      <c r="K174" s="314"/>
      <c r="L174" s="314"/>
      <c r="M174" s="314"/>
      <c r="N174" s="314"/>
      <c r="O174" s="314"/>
      <c r="P174" s="314"/>
      <c r="Q174" s="314"/>
      <c r="R174" s="314"/>
      <c r="S174" s="314"/>
      <c r="T174" s="342"/>
      <c r="U174" s="314"/>
      <c r="V174" s="5"/>
    </row>
    <row r="175" spans="1:22" ht="15.6" x14ac:dyDescent="0.3">
      <c r="A175" s="175"/>
      <c r="B175" s="176"/>
      <c r="C175" s="176"/>
      <c r="D175" s="176"/>
      <c r="E175" s="176"/>
      <c r="F175" s="176"/>
      <c r="G175" s="176"/>
      <c r="H175" s="176"/>
      <c r="I175" s="176"/>
      <c r="J175" s="176"/>
      <c r="K175" s="176"/>
      <c r="L175" s="176"/>
      <c r="M175" s="176"/>
      <c r="N175" s="176"/>
      <c r="O175" s="176"/>
      <c r="P175" s="176"/>
      <c r="Q175" s="176"/>
      <c r="R175" s="176"/>
      <c r="S175" s="176"/>
      <c r="T175" s="196"/>
      <c r="U175" s="176"/>
      <c r="V175" s="5"/>
    </row>
    <row r="176" spans="1:22" ht="15.6" x14ac:dyDescent="0.3">
      <c r="A176" s="177"/>
      <c r="B176" s="204" t="s">
        <v>63</v>
      </c>
      <c r="C176" s="201"/>
      <c r="D176" s="201"/>
      <c r="E176" s="201"/>
      <c r="F176" s="201"/>
      <c r="G176" s="201"/>
      <c r="H176" s="206"/>
      <c r="I176" s="206"/>
      <c r="J176" s="206"/>
      <c r="K176" s="206"/>
      <c r="L176" s="206"/>
      <c r="M176" s="206"/>
      <c r="N176" s="206"/>
      <c r="O176" s="206"/>
      <c r="P176" s="206"/>
      <c r="Q176" s="206" t="s">
        <v>107</v>
      </c>
      <c r="R176" s="206" t="s">
        <v>234</v>
      </c>
      <c r="S176" s="181"/>
      <c r="T176" s="207" t="s">
        <v>123</v>
      </c>
      <c r="U176" s="208"/>
      <c r="V176" s="5"/>
    </row>
    <row r="177" spans="1:22" ht="15.6" x14ac:dyDescent="0.3">
      <c r="A177" s="271"/>
      <c r="B177" s="272" t="s">
        <v>64</v>
      </c>
      <c r="C177" s="272"/>
      <c r="D177" s="272"/>
      <c r="E177" s="272"/>
      <c r="F177" s="272"/>
      <c r="G177" s="272"/>
      <c r="H177" s="272"/>
      <c r="I177" s="272"/>
      <c r="J177" s="272"/>
      <c r="K177" s="272"/>
      <c r="L177" s="272"/>
      <c r="M177" s="272"/>
      <c r="N177" s="272"/>
      <c r="O177" s="272"/>
      <c r="P177" s="272"/>
      <c r="Q177" s="318">
        <v>112000</v>
      </c>
      <c r="R177" s="306"/>
      <c r="S177" s="272"/>
      <c r="T177" s="318"/>
      <c r="U177" s="275"/>
      <c r="V177" s="5"/>
    </row>
    <row r="178" spans="1:22" ht="15.6" x14ac:dyDescent="0.3">
      <c r="A178" s="271"/>
      <c r="B178" s="272" t="s">
        <v>65</v>
      </c>
      <c r="C178" s="272"/>
      <c r="D178" s="272"/>
      <c r="E178" s="272"/>
      <c r="F178" s="272"/>
      <c r="G178" s="272"/>
      <c r="H178" s="272"/>
      <c r="I178" s="272"/>
      <c r="J178" s="272"/>
      <c r="K178" s="272"/>
      <c r="L178" s="272"/>
      <c r="M178" s="272"/>
      <c r="N178" s="272"/>
      <c r="O178" s="272"/>
      <c r="P178" s="272"/>
      <c r="Q178" s="318">
        <f>+'Jan 12'!Q180</f>
        <v>46733</v>
      </c>
      <c r="R178" s="318">
        <f>+'Jan 12'!R180</f>
        <v>2435</v>
      </c>
      <c r="S178" s="272"/>
      <c r="T178" s="318">
        <f>Q178+R178</f>
        <v>49168</v>
      </c>
      <c r="U178" s="275"/>
      <c r="V178" s="5"/>
    </row>
    <row r="179" spans="1:22" ht="15.6" x14ac:dyDescent="0.3">
      <c r="A179" s="271"/>
      <c r="B179" s="272" t="s">
        <v>66</v>
      </c>
      <c r="C179" s="272"/>
      <c r="D179" s="272"/>
      <c r="E179" s="272"/>
      <c r="F179" s="272"/>
      <c r="G179" s="272"/>
      <c r="H179" s="272"/>
      <c r="I179" s="272"/>
      <c r="J179" s="272"/>
      <c r="K179" s="272"/>
      <c r="L179" s="272"/>
      <c r="M179" s="272"/>
      <c r="N179" s="272"/>
      <c r="O179" s="272"/>
      <c r="P179" s="272"/>
      <c r="Q179" s="317">
        <v>0</v>
      </c>
      <c r="R179" s="317">
        <v>0</v>
      </c>
      <c r="S179" s="272"/>
      <c r="T179" s="318">
        <f>Q179+R179</f>
        <v>0</v>
      </c>
      <c r="U179" s="275"/>
      <c r="V179" s="5"/>
    </row>
    <row r="180" spans="1:22" ht="15.6" x14ac:dyDescent="0.3">
      <c r="A180" s="271"/>
      <c r="B180" s="272" t="s">
        <v>67</v>
      </c>
      <c r="C180" s="272"/>
      <c r="D180" s="272"/>
      <c r="E180" s="272"/>
      <c r="F180" s="272"/>
      <c r="G180" s="272"/>
      <c r="H180" s="272"/>
      <c r="I180" s="272"/>
      <c r="J180" s="272"/>
      <c r="K180" s="272"/>
      <c r="L180" s="272"/>
      <c r="M180" s="272"/>
      <c r="N180" s="272"/>
      <c r="O180" s="272"/>
      <c r="P180" s="272"/>
      <c r="Q180" s="318">
        <f>Q178+Q179</f>
        <v>46733</v>
      </c>
      <c r="R180" s="318">
        <f>R179+R178</f>
        <v>2435</v>
      </c>
      <c r="S180" s="272"/>
      <c r="T180" s="318">
        <f>Q180+R180</f>
        <v>49168</v>
      </c>
      <c r="U180" s="275"/>
      <c r="V180" s="5"/>
    </row>
    <row r="181" spans="1:22" ht="15.6" x14ac:dyDescent="0.3">
      <c r="A181" s="271"/>
      <c r="B181" s="272" t="s">
        <v>68</v>
      </c>
      <c r="C181" s="272"/>
      <c r="D181" s="272"/>
      <c r="E181" s="272"/>
      <c r="F181" s="272"/>
      <c r="G181" s="272"/>
      <c r="H181" s="272"/>
      <c r="I181" s="272"/>
      <c r="J181" s="272"/>
      <c r="K181" s="272"/>
      <c r="L181" s="272"/>
      <c r="M181" s="272"/>
      <c r="N181" s="272"/>
      <c r="O181" s="272"/>
      <c r="P181" s="272"/>
      <c r="Q181" s="318">
        <f>Q177-Q180-R180</f>
        <v>62832</v>
      </c>
      <c r="R181" s="306"/>
      <c r="S181" s="272"/>
      <c r="T181" s="318"/>
      <c r="U181" s="275"/>
      <c r="V181" s="5"/>
    </row>
    <row r="182" spans="1:22" ht="16.2" thickBot="1" x14ac:dyDescent="0.35">
      <c r="A182" s="177"/>
      <c r="B182" s="314"/>
      <c r="C182" s="314"/>
      <c r="D182" s="314"/>
      <c r="E182" s="314"/>
      <c r="F182" s="314"/>
      <c r="G182" s="314"/>
      <c r="H182" s="314"/>
      <c r="I182" s="314"/>
      <c r="J182" s="314"/>
      <c r="K182" s="314"/>
      <c r="L182" s="314"/>
      <c r="M182" s="314"/>
      <c r="N182" s="314"/>
      <c r="O182" s="314"/>
      <c r="P182" s="314"/>
      <c r="Q182" s="314"/>
      <c r="R182" s="314"/>
      <c r="S182" s="314"/>
      <c r="T182" s="342"/>
      <c r="U182" s="314"/>
      <c r="V182" s="5"/>
    </row>
    <row r="183" spans="1:22" ht="15.6" x14ac:dyDescent="0.3">
      <c r="A183" s="175"/>
      <c r="B183" s="176"/>
      <c r="C183" s="176"/>
      <c r="D183" s="176"/>
      <c r="E183" s="176"/>
      <c r="F183" s="176"/>
      <c r="G183" s="176"/>
      <c r="H183" s="176"/>
      <c r="I183" s="176"/>
      <c r="J183" s="176"/>
      <c r="K183" s="176"/>
      <c r="L183" s="176"/>
      <c r="M183" s="176"/>
      <c r="N183" s="176"/>
      <c r="O183" s="176"/>
      <c r="P183" s="176"/>
      <c r="Q183" s="176"/>
      <c r="R183" s="176"/>
      <c r="S183" s="176"/>
      <c r="T183" s="196"/>
      <c r="U183" s="176"/>
      <c r="V183" s="5"/>
    </row>
    <row r="184" spans="1:22" ht="15.6" x14ac:dyDescent="0.3">
      <c r="A184" s="177"/>
      <c r="B184" s="204" t="s">
        <v>69</v>
      </c>
      <c r="C184" s="179"/>
      <c r="D184" s="179"/>
      <c r="E184" s="179"/>
      <c r="F184" s="179"/>
      <c r="G184" s="179"/>
      <c r="H184" s="179"/>
      <c r="I184" s="179"/>
      <c r="J184" s="179"/>
      <c r="K184" s="179"/>
      <c r="L184" s="179"/>
      <c r="M184" s="179"/>
      <c r="N184" s="179"/>
      <c r="O184" s="179"/>
      <c r="P184" s="179"/>
      <c r="Q184" s="179"/>
      <c r="R184" s="179"/>
      <c r="S184" s="179"/>
      <c r="T184" s="209"/>
      <c r="U184" s="179"/>
      <c r="V184" s="5"/>
    </row>
    <row r="185" spans="1:22" ht="15.6" x14ac:dyDescent="0.3">
      <c r="A185" s="271"/>
      <c r="B185" s="272" t="s">
        <v>70</v>
      </c>
      <c r="C185" s="272"/>
      <c r="D185" s="272"/>
      <c r="E185" s="272"/>
      <c r="F185" s="272"/>
      <c r="G185" s="272"/>
      <c r="H185" s="272"/>
      <c r="I185" s="272"/>
      <c r="J185" s="272"/>
      <c r="K185" s="272"/>
      <c r="L185" s="272"/>
      <c r="M185" s="272"/>
      <c r="N185" s="272"/>
      <c r="O185" s="272"/>
      <c r="P185" s="272"/>
      <c r="Q185" s="272"/>
      <c r="R185" s="272"/>
      <c r="S185" s="272"/>
      <c r="T185" s="343">
        <f>(T97+T99+T100+T101+T102+T103)/-(T104+T105+T106)</f>
        <v>2.4742268041237114</v>
      </c>
      <c r="U185" s="275" t="s">
        <v>124</v>
      </c>
      <c r="V185" s="5"/>
    </row>
    <row r="186" spans="1:22" ht="15.6" x14ac:dyDescent="0.3">
      <c r="A186" s="271"/>
      <c r="B186" s="272" t="s">
        <v>71</v>
      </c>
      <c r="C186" s="272"/>
      <c r="D186" s="272"/>
      <c r="E186" s="272"/>
      <c r="F186" s="272"/>
      <c r="G186" s="272"/>
      <c r="H186" s="272"/>
      <c r="I186" s="272"/>
      <c r="J186" s="272"/>
      <c r="K186" s="272"/>
      <c r="L186" s="272"/>
      <c r="M186" s="272"/>
      <c r="N186" s="272"/>
      <c r="O186" s="272"/>
      <c r="P186" s="272"/>
      <c r="Q186" s="272"/>
      <c r="R186" s="272"/>
      <c r="S186" s="272"/>
      <c r="T186" s="345">
        <v>1.54</v>
      </c>
      <c r="U186" s="275" t="s">
        <v>124</v>
      </c>
      <c r="V186" s="5"/>
    </row>
    <row r="187" spans="1:22" ht="15.6" x14ac:dyDescent="0.3">
      <c r="A187" s="271"/>
      <c r="B187" s="272" t="s">
        <v>72</v>
      </c>
      <c r="C187" s="272"/>
      <c r="D187" s="272"/>
      <c r="E187" s="272"/>
      <c r="F187" s="272"/>
      <c r="G187" s="272"/>
      <c r="H187" s="272"/>
      <c r="I187" s="272"/>
      <c r="J187" s="272"/>
      <c r="K187" s="272"/>
      <c r="L187" s="272"/>
      <c r="M187" s="272"/>
      <c r="N187" s="272"/>
      <c r="O187" s="272"/>
      <c r="P187" s="272"/>
      <c r="Q187" s="272"/>
      <c r="R187" s="272"/>
      <c r="S187" s="272"/>
      <c r="T187" s="343">
        <f>(T97+T99+T100+T101+T102+T103+T104+T105+T106)/-(T107+T108)</f>
        <v>12.617647058823529</v>
      </c>
      <c r="U187" s="275" t="s">
        <v>124</v>
      </c>
      <c r="V187" s="5"/>
    </row>
    <row r="188" spans="1:22" ht="15.6" x14ac:dyDescent="0.3">
      <c r="A188" s="271"/>
      <c r="B188" s="272" t="s">
        <v>73</v>
      </c>
      <c r="C188" s="272"/>
      <c r="D188" s="272"/>
      <c r="E188" s="272"/>
      <c r="F188" s="272"/>
      <c r="G188" s="272"/>
      <c r="H188" s="272"/>
      <c r="I188" s="272"/>
      <c r="J188" s="272"/>
      <c r="K188" s="272"/>
      <c r="L188" s="272"/>
      <c r="M188" s="272"/>
      <c r="N188" s="272"/>
      <c r="O188" s="272"/>
      <c r="P188" s="272"/>
      <c r="Q188" s="272"/>
      <c r="R188" s="272"/>
      <c r="S188" s="272"/>
      <c r="T188" s="346">
        <v>8.1199999999999992</v>
      </c>
      <c r="U188" s="275" t="s">
        <v>124</v>
      </c>
      <c r="V188" s="5"/>
    </row>
    <row r="189" spans="1:22" ht="15.6" x14ac:dyDescent="0.3">
      <c r="A189" s="271"/>
      <c r="B189" s="272" t="s">
        <v>243</v>
      </c>
      <c r="C189" s="272"/>
      <c r="D189" s="272"/>
      <c r="E189" s="272"/>
      <c r="F189" s="272"/>
      <c r="G189" s="272"/>
      <c r="H189" s="272"/>
      <c r="I189" s="272"/>
      <c r="J189" s="272"/>
      <c r="K189" s="272"/>
      <c r="L189" s="272"/>
      <c r="M189" s="272"/>
      <c r="N189" s="272"/>
      <c r="O189" s="272"/>
      <c r="P189" s="272"/>
      <c r="Q189" s="272"/>
      <c r="R189" s="272"/>
      <c r="S189" s="272"/>
      <c r="T189" s="343">
        <f>(T97+T99+T100+T101+T102+T103+T104+T105+T106+T107+T108)/-(T109+T110)</f>
        <v>5.0641025641025639</v>
      </c>
      <c r="U189" s="275" t="s">
        <v>124</v>
      </c>
      <c r="V189" s="5"/>
    </row>
    <row r="190" spans="1:22" ht="15.6" x14ac:dyDescent="0.3">
      <c r="A190" s="271"/>
      <c r="B190" s="272" t="s">
        <v>244</v>
      </c>
      <c r="C190" s="272"/>
      <c r="D190" s="272"/>
      <c r="E190" s="272"/>
      <c r="F190" s="272"/>
      <c r="G190" s="272"/>
      <c r="H190" s="272"/>
      <c r="I190" s="272"/>
      <c r="J190" s="272"/>
      <c r="K190" s="272"/>
      <c r="L190" s="272"/>
      <c r="M190" s="272"/>
      <c r="N190" s="272"/>
      <c r="O190" s="272"/>
      <c r="P190" s="272"/>
      <c r="Q190" s="272"/>
      <c r="R190" s="272"/>
      <c r="S190" s="272"/>
      <c r="T190" s="346">
        <v>3.7</v>
      </c>
      <c r="U190" s="275" t="s">
        <v>124</v>
      </c>
      <c r="V190" s="5"/>
    </row>
    <row r="191" spans="1:22" ht="15.6" x14ac:dyDescent="0.3">
      <c r="A191" s="271"/>
      <c r="B191" s="272"/>
      <c r="C191" s="272"/>
      <c r="D191" s="272"/>
      <c r="E191" s="272"/>
      <c r="F191" s="272"/>
      <c r="G191" s="272"/>
      <c r="H191" s="272"/>
      <c r="I191" s="272"/>
      <c r="J191" s="272"/>
      <c r="K191" s="272"/>
      <c r="L191" s="272"/>
      <c r="M191" s="272"/>
      <c r="N191" s="272"/>
      <c r="O191" s="272"/>
      <c r="P191" s="272"/>
      <c r="Q191" s="272"/>
      <c r="R191" s="272"/>
      <c r="S191" s="272"/>
      <c r="T191" s="272"/>
      <c r="U191" s="275"/>
      <c r="V191" s="5"/>
    </row>
    <row r="192" spans="1:22" ht="15.6" x14ac:dyDescent="0.3">
      <c r="A192" s="177"/>
      <c r="B192" s="268"/>
      <c r="C192" s="268"/>
      <c r="D192" s="268"/>
      <c r="E192" s="268"/>
      <c r="F192" s="268"/>
      <c r="G192" s="268"/>
      <c r="H192" s="268"/>
      <c r="I192" s="268"/>
      <c r="J192" s="268"/>
      <c r="K192" s="268"/>
      <c r="L192" s="268"/>
      <c r="M192" s="268"/>
      <c r="N192" s="268"/>
      <c r="O192" s="268"/>
      <c r="P192" s="268"/>
      <c r="Q192" s="268"/>
      <c r="R192" s="268"/>
      <c r="S192" s="268"/>
      <c r="T192" s="268"/>
      <c r="U192" s="268"/>
      <c r="V192" s="5"/>
    </row>
    <row r="193" spans="1:22" ht="15.6" x14ac:dyDescent="0.3">
      <c r="A193" s="177"/>
      <c r="B193" s="234"/>
      <c r="C193" s="234"/>
      <c r="D193" s="234"/>
      <c r="E193" s="234"/>
      <c r="F193" s="234"/>
      <c r="G193" s="234"/>
      <c r="H193" s="234"/>
      <c r="I193" s="234"/>
      <c r="J193" s="234"/>
      <c r="K193" s="234"/>
      <c r="L193" s="234"/>
      <c r="M193" s="234"/>
      <c r="N193" s="234"/>
      <c r="O193" s="234"/>
      <c r="P193" s="234"/>
      <c r="Q193" s="234"/>
      <c r="R193" s="234"/>
      <c r="S193" s="234"/>
      <c r="T193" s="234"/>
      <c r="U193" s="234"/>
      <c r="V193" s="5"/>
    </row>
    <row r="194" spans="1:22" ht="18" thickBot="1" x14ac:dyDescent="0.35">
      <c r="A194" s="195"/>
      <c r="B194" s="238" t="str">
        <f>B133</f>
        <v>PM9 INVESTOR REPORT QUARTER ENDING APRIL 2012</v>
      </c>
      <c r="C194" s="245"/>
      <c r="D194" s="245"/>
      <c r="E194" s="245"/>
      <c r="F194" s="245"/>
      <c r="G194" s="245"/>
      <c r="H194" s="245"/>
      <c r="I194" s="245"/>
      <c r="J194" s="245"/>
      <c r="K194" s="245"/>
      <c r="L194" s="245"/>
      <c r="M194" s="245"/>
      <c r="N194" s="245"/>
      <c r="O194" s="245"/>
      <c r="P194" s="245"/>
      <c r="Q194" s="245"/>
      <c r="R194" s="245"/>
      <c r="S194" s="245"/>
      <c r="T194" s="245"/>
      <c r="U194" s="246"/>
      <c r="V194" s="5"/>
    </row>
    <row r="195" spans="1:22" ht="15.6" x14ac:dyDescent="0.3">
      <c r="A195" s="321"/>
      <c r="B195" s="324" t="s">
        <v>74</v>
      </c>
      <c r="C195" s="325"/>
      <c r="D195" s="325"/>
      <c r="E195" s="325"/>
      <c r="F195" s="325"/>
      <c r="G195" s="326"/>
      <c r="H195" s="326"/>
      <c r="I195" s="326"/>
      <c r="J195" s="326"/>
      <c r="K195" s="326"/>
      <c r="L195" s="326"/>
      <c r="M195" s="326"/>
      <c r="N195" s="326"/>
      <c r="O195" s="326"/>
      <c r="P195" s="326"/>
      <c r="Q195" s="326"/>
      <c r="R195" s="326">
        <v>41029</v>
      </c>
      <c r="S195" s="322"/>
      <c r="T195" s="322"/>
      <c r="U195" s="322"/>
      <c r="V195" s="5"/>
    </row>
    <row r="196" spans="1:22" ht="15.6" x14ac:dyDescent="0.3">
      <c r="A196" s="210"/>
      <c r="B196" s="211"/>
      <c r="C196" s="212"/>
      <c r="D196" s="212"/>
      <c r="E196" s="212"/>
      <c r="F196" s="212"/>
      <c r="G196" s="213"/>
      <c r="H196" s="213"/>
      <c r="I196" s="213"/>
      <c r="J196" s="213"/>
      <c r="K196" s="213"/>
      <c r="L196" s="213"/>
      <c r="M196" s="213"/>
      <c r="N196" s="213"/>
      <c r="O196" s="213"/>
      <c r="P196" s="213"/>
      <c r="Q196" s="213"/>
      <c r="R196" s="213"/>
      <c r="S196" s="179"/>
      <c r="T196" s="179"/>
      <c r="U196" s="179"/>
      <c r="V196" s="5"/>
    </row>
    <row r="197" spans="1:22" ht="15.6" x14ac:dyDescent="0.3">
      <c r="A197" s="348"/>
      <c r="B197" s="272" t="s">
        <v>75</v>
      </c>
      <c r="C197" s="349"/>
      <c r="D197" s="349"/>
      <c r="E197" s="349"/>
      <c r="F197" s="349"/>
      <c r="G197" s="309"/>
      <c r="H197" s="309"/>
      <c r="I197" s="309"/>
      <c r="J197" s="309"/>
      <c r="K197" s="309"/>
      <c r="L197" s="309"/>
      <c r="M197" s="309"/>
      <c r="N197" s="309"/>
      <c r="O197" s="309"/>
      <c r="P197" s="309"/>
      <c r="Q197" s="309"/>
      <c r="R197" s="304">
        <v>5.8209999999999998E-2</v>
      </c>
      <c r="S197" s="272"/>
      <c r="T197" s="272"/>
      <c r="U197" s="340"/>
      <c r="V197" s="5"/>
    </row>
    <row r="198" spans="1:22" ht="15.6" x14ac:dyDescent="0.3">
      <c r="A198" s="348"/>
      <c r="B198" s="272" t="s">
        <v>164</v>
      </c>
      <c r="C198" s="349"/>
      <c r="D198" s="349"/>
      <c r="E198" s="349"/>
      <c r="F198" s="349"/>
      <c r="G198" s="309"/>
      <c r="H198" s="309"/>
      <c r="I198" s="309"/>
      <c r="J198" s="309"/>
      <c r="K198" s="309"/>
      <c r="L198" s="309"/>
      <c r="M198" s="309"/>
      <c r="N198" s="309"/>
      <c r="O198" s="309"/>
      <c r="P198" s="309"/>
      <c r="Q198" s="309"/>
      <c r="R198" s="304">
        <f>'Oct 05'!R193</f>
        <v>4.8438496428571419E-2</v>
      </c>
      <c r="S198" s="272"/>
      <c r="T198" s="272"/>
      <c r="U198" s="340"/>
      <c r="V198" s="5"/>
    </row>
    <row r="199" spans="1:22" ht="15.6" x14ac:dyDescent="0.3">
      <c r="A199" s="348"/>
      <c r="B199" s="272" t="s">
        <v>76</v>
      </c>
      <c r="C199" s="349"/>
      <c r="D199" s="349"/>
      <c r="E199" s="349"/>
      <c r="F199" s="349"/>
      <c r="G199" s="309"/>
      <c r="H199" s="309"/>
      <c r="I199" s="309"/>
      <c r="J199" s="309"/>
      <c r="K199" s="309"/>
      <c r="L199" s="309"/>
      <c r="M199" s="309"/>
      <c r="N199" s="309"/>
      <c r="O199" s="309"/>
      <c r="P199" s="309"/>
      <c r="Q199" s="309"/>
      <c r="R199" s="304">
        <f>R197-R198</f>
        <v>9.7715035714285789E-3</v>
      </c>
      <c r="S199" s="272"/>
      <c r="T199" s="272"/>
      <c r="U199" s="340"/>
      <c r="V199" s="5"/>
    </row>
    <row r="200" spans="1:22" ht="15.6" x14ac:dyDescent="0.3">
      <c r="A200" s="348"/>
      <c r="B200" s="272" t="s">
        <v>77</v>
      </c>
      <c r="C200" s="349"/>
      <c r="D200" s="349"/>
      <c r="E200" s="349"/>
      <c r="F200" s="349"/>
      <c r="G200" s="309"/>
      <c r="H200" s="309"/>
      <c r="I200" s="309"/>
      <c r="J200" s="309"/>
      <c r="K200" s="309"/>
      <c r="L200" s="309"/>
      <c r="M200" s="309"/>
      <c r="N200" s="309"/>
      <c r="O200" s="309"/>
      <c r="P200" s="309"/>
      <c r="Q200" s="309"/>
      <c r="R200" s="304">
        <v>2.8060000000000002E-2</v>
      </c>
      <c r="S200" s="272"/>
      <c r="T200" s="272"/>
      <c r="U200" s="340"/>
      <c r="V200" s="5"/>
    </row>
    <row r="201" spans="1:22" ht="15.6" x14ac:dyDescent="0.3">
      <c r="A201" s="348"/>
      <c r="B201" s="272" t="s">
        <v>257</v>
      </c>
      <c r="C201" s="349"/>
      <c r="D201" s="349"/>
      <c r="E201" s="349"/>
      <c r="F201" s="349"/>
      <c r="G201" s="309"/>
      <c r="H201" s="309"/>
      <c r="I201" s="309"/>
      <c r="J201" s="309"/>
      <c r="K201" s="309"/>
      <c r="L201" s="309"/>
      <c r="M201" s="309"/>
      <c r="N201" s="309"/>
      <c r="O201" s="309"/>
      <c r="P201" s="309"/>
      <c r="Q201" s="309"/>
      <c r="R201" s="304">
        <f>+T41</f>
        <v>1.5697195152497768E-2</v>
      </c>
      <c r="S201" s="272"/>
      <c r="T201" s="272"/>
      <c r="U201" s="340"/>
      <c r="V201" s="5"/>
    </row>
    <row r="202" spans="1:22" ht="15.6" x14ac:dyDescent="0.3">
      <c r="A202" s="348"/>
      <c r="B202" s="272" t="s">
        <v>78</v>
      </c>
      <c r="C202" s="349"/>
      <c r="D202" s="349"/>
      <c r="E202" s="349"/>
      <c r="F202" s="349"/>
      <c r="G202" s="309"/>
      <c r="H202" s="309"/>
      <c r="I202" s="309"/>
      <c r="J202" s="309"/>
      <c r="K202" s="309"/>
      <c r="L202" s="309"/>
      <c r="M202" s="309"/>
      <c r="N202" s="309"/>
      <c r="O202" s="309"/>
      <c r="P202" s="309"/>
      <c r="Q202" s="309"/>
      <c r="R202" s="304">
        <f>R200-R201</f>
        <v>1.2362804847502233E-2</v>
      </c>
      <c r="S202" s="272"/>
      <c r="T202" s="272"/>
      <c r="U202" s="340"/>
      <c r="V202" s="5"/>
    </row>
    <row r="203" spans="1:22" ht="15.6" x14ac:dyDescent="0.3">
      <c r="A203" s="348"/>
      <c r="B203" s="272" t="s">
        <v>268</v>
      </c>
      <c r="C203" s="349"/>
      <c r="D203" s="349"/>
      <c r="E203" s="349"/>
      <c r="F203" s="349"/>
      <c r="G203" s="309"/>
      <c r="H203" s="309"/>
      <c r="I203" s="309"/>
      <c r="J203" s="309"/>
      <c r="K203" s="309"/>
      <c r="L203" s="309"/>
      <c r="M203" s="309"/>
      <c r="N203" s="309"/>
      <c r="O203" s="309"/>
      <c r="P203" s="309"/>
      <c r="Q203" s="309"/>
      <c r="R203" s="304">
        <f>+T97/L68</f>
        <v>7.8843037666604752E-3</v>
      </c>
      <c r="S203" s="272"/>
      <c r="T203" s="272"/>
      <c r="U203" s="340"/>
      <c r="V203" s="5"/>
    </row>
    <row r="204" spans="1:22" ht="15.6" x14ac:dyDescent="0.3">
      <c r="A204" s="348"/>
      <c r="B204" s="272" t="s">
        <v>249</v>
      </c>
      <c r="C204" s="349"/>
      <c r="D204" s="349"/>
      <c r="E204" s="349"/>
      <c r="F204" s="349"/>
      <c r="G204" s="309"/>
      <c r="H204" s="309"/>
      <c r="I204" s="309"/>
      <c r="J204" s="309"/>
      <c r="K204" s="309"/>
      <c r="L204" s="309"/>
      <c r="M204" s="309"/>
      <c r="N204" s="309"/>
      <c r="O204" s="309"/>
      <c r="P204" s="309"/>
      <c r="Q204" s="309"/>
      <c r="R204" s="350">
        <v>51622</v>
      </c>
      <c r="S204" s="272"/>
      <c r="T204" s="272"/>
      <c r="U204" s="340"/>
      <c r="V204" s="5"/>
    </row>
    <row r="205" spans="1:22" ht="15.6" x14ac:dyDescent="0.3">
      <c r="A205" s="348"/>
      <c r="B205" s="272" t="s">
        <v>250</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251</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79</v>
      </c>
      <c r="C207" s="349"/>
      <c r="D207" s="349"/>
      <c r="E207" s="349"/>
      <c r="F207" s="349"/>
      <c r="G207" s="309"/>
      <c r="H207" s="309"/>
      <c r="I207" s="309"/>
      <c r="J207" s="309"/>
      <c r="K207" s="309"/>
      <c r="L207" s="309"/>
      <c r="M207" s="309"/>
      <c r="N207" s="309"/>
      <c r="O207" s="309"/>
      <c r="P207" s="309"/>
      <c r="Q207" s="309"/>
      <c r="R207" s="308">
        <v>20.95</v>
      </c>
      <c r="S207" s="272" t="s">
        <v>119</v>
      </c>
      <c r="T207" s="272"/>
      <c r="U207" s="340"/>
      <c r="V207" s="5"/>
    </row>
    <row r="208" spans="1:22" ht="15.6" x14ac:dyDescent="0.3">
      <c r="A208" s="348"/>
      <c r="B208" s="272" t="s">
        <v>80</v>
      </c>
      <c r="C208" s="349"/>
      <c r="D208" s="349"/>
      <c r="E208" s="349"/>
      <c r="F208" s="349"/>
      <c r="G208" s="309"/>
      <c r="H208" s="309"/>
      <c r="I208" s="309"/>
      <c r="J208" s="309"/>
      <c r="K208" s="309"/>
      <c r="L208" s="309"/>
      <c r="M208" s="309"/>
      <c r="N208" s="309"/>
      <c r="O208" s="309"/>
      <c r="P208" s="309"/>
      <c r="Q208" s="309"/>
      <c r="R208" s="308">
        <v>14.53</v>
      </c>
      <c r="S208" s="272" t="s">
        <v>119</v>
      </c>
      <c r="T208" s="272"/>
      <c r="U208" s="340"/>
      <c r="V208" s="5"/>
    </row>
    <row r="209" spans="1:22" ht="15.6" x14ac:dyDescent="0.3">
      <c r="A209" s="348"/>
      <c r="B209" s="272" t="s">
        <v>81</v>
      </c>
      <c r="C209" s="349"/>
      <c r="D209" s="349"/>
      <c r="E209" s="349"/>
      <c r="F209" s="349"/>
      <c r="G209" s="309"/>
      <c r="H209" s="309"/>
      <c r="I209" s="309"/>
      <c r="J209" s="309"/>
      <c r="K209" s="309"/>
      <c r="L209" s="309"/>
      <c r="M209" s="309"/>
      <c r="N209" s="309"/>
      <c r="O209" s="309"/>
      <c r="P209" s="309"/>
      <c r="Q209" s="309"/>
      <c r="R209" s="304">
        <f>N65/L65</f>
        <v>9.9306360602819388E-3</v>
      </c>
      <c r="S209" s="272"/>
      <c r="T209" s="272"/>
      <c r="U209" s="340"/>
      <c r="V209" s="5"/>
    </row>
    <row r="210" spans="1:22" ht="15.6" x14ac:dyDescent="0.3">
      <c r="A210" s="348"/>
      <c r="B210" s="272" t="s">
        <v>82</v>
      </c>
      <c r="C210" s="349"/>
      <c r="D210" s="349"/>
      <c r="E210" s="349"/>
      <c r="F210" s="349"/>
      <c r="G210" s="309"/>
      <c r="H210" s="309"/>
      <c r="I210" s="309"/>
      <c r="J210" s="309"/>
      <c r="K210" s="309"/>
      <c r="L210" s="309"/>
      <c r="M210" s="309"/>
      <c r="N210" s="309"/>
      <c r="O210" s="309"/>
      <c r="P210" s="309"/>
      <c r="Q210" s="309"/>
      <c r="R210" s="304">
        <v>0.12529999999999999</v>
      </c>
      <c r="S210" s="272"/>
      <c r="T210" s="272"/>
      <c r="U210" s="340"/>
      <c r="V210" s="5"/>
    </row>
    <row r="211" spans="1:22" ht="15.6" x14ac:dyDescent="0.3">
      <c r="A211" s="210"/>
      <c r="B211" s="268"/>
      <c r="C211" s="268"/>
      <c r="D211" s="268"/>
      <c r="E211" s="268"/>
      <c r="F211" s="268"/>
      <c r="G211" s="268"/>
      <c r="H211" s="268"/>
      <c r="I211" s="268"/>
      <c r="J211" s="268"/>
      <c r="K211" s="268"/>
      <c r="L211" s="268"/>
      <c r="M211" s="268"/>
      <c r="N211" s="268"/>
      <c r="O211" s="268"/>
      <c r="P211" s="268"/>
      <c r="Q211" s="268"/>
      <c r="R211" s="344"/>
      <c r="S211" s="268"/>
      <c r="T211" s="347"/>
      <c r="U211" s="314"/>
      <c r="V211" s="5"/>
    </row>
    <row r="212" spans="1:22" ht="15.6" x14ac:dyDescent="0.3">
      <c r="A212" s="327"/>
      <c r="B212" s="259" t="s">
        <v>83</v>
      </c>
      <c r="C212" s="260"/>
      <c r="D212" s="260"/>
      <c r="E212" s="260"/>
      <c r="F212" s="261"/>
      <c r="G212" s="260"/>
      <c r="H212" s="260"/>
      <c r="I212" s="260"/>
      <c r="J212" s="260"/>
      <c r="K212" s="260"/>
      <c r="L212" s="260"/>
      <c r="M212" s="260"/>
      <c r="N212" s="260"/>
      <c r="O212" s="260"/>
      <c r="P212" s="260"/>
      <c r="Q212" s="260" t="s">
        <v>108</v>
      </c>
      <c r="R212" s="261" t="s">
        <v>115</v>
      </c>
      <c r="S212" s="262"/>
      <c r="T212" s="262"/>
      <c r="U212" s="262"/>
      <c r="V212" s="5"/>
    </row>
    <row r="213" spans="1:22" ht="15.6" x14ac:dyDescent="0.3">
      <c r="A213" s="214"/>
      <c r="B213" s="228" t="s">
        <v>84</v>
      </c>
      <c r="C213" s="231"/>
      <c r="D213" s="231"/>
      <c r="E213" s="231"/>
      <c r="F213" s="228"/>
      <c r="G213" s="228"/>
      <c r="H213" s="230"/>
      <c r="I213" s="230"/>
      <c r="J213" s="230"/>
      <c r="K213" s="230"/>
      <c r="L213" s="230"/>
      <c r="M213" s="230"/>
      <c r="N213" s="230"/>
      <c r="O213" s="230"/>
      <c r="P213" s="230"/>
      <c r="Q213" s="230">
        <v>1</v>
      </c>
      <c r="R213" s="248">
        <v>107</v>
      </c>
      <c r="S213" s="228"/>
      <c r="T213" s="247"/>
      <c r="U213" s="215"/>
      <c r="V213" s="5"/>
    </row>
    <row r="214" spans="1:22" ht="15.6" x14ac:dyDescent="0.3">
      <c r="A214" s="358"/>
      <c r="B214" s="272" t="s">
        <v>156</v>
      </c>
      <c r="C214" s="317"/>
      <c r="D214" s="317"/>
      <c r="E214" s="317"/>
      <c r="F214" s="272"/>
      <c r="G214" s="272"/>
      <c r="H214" s="279"/>
      <c r="I214" s="279"/>
      <c r="J214" s="279"/>
      <c r="K214" s="279"/>
      <c r="L214" s="279"/>
      <c r="M214" s="279"/>
      <c r="N214" s="279"/>
      <c r="O214" s="279"/>
      <c r="P214" s="279"/>
      <c r="Q214" s="359">
        <f>+P265</f>
        <v>65</v>
      </c>
      <c r="R214" s="360">
        <f>+R265</f>
        <v>9699</v>
      </c>
      <c r="S214" s="272"/>
      <c r="T214" s="361"/>
      <c r="U214" s="362"/>
      <c r="V214" s="5"/>
    </row>
    <row r="215" spans="1:22" ht="15.6" x14ac:dyDescent="0.3">
      <c r="A215" s="358"/>
      <c r="B215" s="272" t="s">
        <v>85</v>
      </c>
      <c r="C215" s="317"/>
      <c r="D215" s="317"/>
      <c r="E215" s="317"/>
      <c r="F215" s="272"/>
      <c r="G215" s="272"/>
      <c r="H215" s="279"/>
      <c r="I215" s="279"/>
      <c r="J215" s="279"/>
      <c r="K215" s="279"/>
      <c r="L215" s="279"/>
      <c r="M215" s="279"/>
      <c r="N215" s="279"/>
      <c r="O215" s="279"/>
      <c r="P215" s="279"/>
      <c r="Q215" s="359">
        <f>+P277</f>
        <v>0</v>
      </c>
      <c r="R215" s="360">
        <f>+R277</f>
        <v>0</v>
      </c>
      <c r="S215" s="272"/>
      <c r="T215" s="361"/>
      <c r="U215" s="362"/>
      <c r="V215" s="5"/>
    </row>
    <row r="216" spans="1:22" ht="15.6" x14ac:dyDescent="0.3">
      <c r="A216" s="358"/>
      <c r="B216" s="293" t="s">
        <v>86</v>
      </c>
      <c r="C216" s="363"/>
      <c r="D216" s="363"/>
      <c r="E216" s="363"/>
      <c r="F216" s="337"/>
      <c r="G216" s="337"/>
      <c r="H216" s="337"/>
      <c r="I216" s="337"/>
      <c r="J216" s="337"/>
      <c r="K216" s="337"/>
      <c r="L216" s="337"/>
      <c r="M216" s="337"/>
      <c r="N216" s="337"/>
      <c r="O216" s="337"/>
      <c r="P216" s="337"/>
      <c r="Q216" s="337"/>
      <c r="R216" s="360">
        <v>0</v>
      </c>
      <c r="S216" s="337"/>
      <c r="T216" s="364"/>
      <c r="U216" s="362"/>
      <c r="V216" s="5"/>
    </row>
    <row r="217" spans="1:22" ht="15.6" x14ac:dyDescent="0.3">
      <c r="A217" s="358"/>
      <c r="B217" s="293" t="s">
        <v>87</v>
      </c>
      <c r="C217" s="363"/>
      <c r="D217" s="363"/>
      <c r="E217" s="363"/>
      <c r="F217" s="337"/>
      <c r="G217" s="337"/>
      <c r="H217" s="337"/>
      <c r="I217" s="337"/>
      <c r="J217" s="337"/>
      <c r="K217" s="337"/>
      <c r="L217" s="337"/>
      <c r="M217" s="337"/>
      <c r="N217" s="337"/>
      <c r="O217" s="337"/>
      <c r="P217" s="337"/>
      <c r="Q217" s="337"/>
      <c r="R217" s="365" t="s">
        <v>116</v>
      </c>
      <c r="S217" s="337"/>
      <c r="T217" s="364"/>
      <c r="U217" s="362"/>
      <c r="V217" s="5"/>
    </row>
    <row r="218" spans="1:22" ht="15.6" x14ac:dyDescent="0.3">
      <c r="A218" s="366"/>
      <c r="B218" s="293" t="s">
        <v>88</v>
      </c>
      <c r="C218" s="367"/>
      <c r="D218" s="367"/>
      <c r="E218" s="367"/>
      <c r="F218" s="367"/>
      <c r="G218" s="337"/>
      <c r="H218" s="337"/>
      <c r="I218" s="337"/>
      <c r="J218" s="337"/>
      <c r="K218" s="337"/>
      <c r="L218" s="337"/>
      <c r="M218" s="337"/>
      <c r="N218" s="337"/>
      <c r="O218" s="337"/>
      <c r="P218" s="337"/>
      <c r="Q218" s="337"/>
      <c r="R218" s="368"/>
      <c r="S218" s="337"/>
      <c r="T218" s="364"/>
      <c r="U218" s="369"/>
      <c r="V218" s="5"/>
    </row>
    <row r="219" spans="1:22" ht="15.6" x14ac:dyDescent="0.3">
      <c r="A219" s="366"/>
      <c r="B219" s="272" t="s">
        <v>89</v>
      </c>
      <c r="C219" s="272"/>
      <c r="D219" s="272"/>
      <c r="E219" s="272"/>
      <c r="F219" s="272"/>
      <c r="G219" s="272"/>
      <c r="H219" s="272"/>
      <c r="I219" s="272"/>
      <c r="J219" s="272"/>
      <c r="K219" s="272"/>
      <c r="L219" s="272"/>
      <c r="M219" s="272"/>
      <c r="N219" s="272"/>
      <c r="O219" s="272"/>
      <c r="P219" s="272"/>
      <c r="Q219" s="279"/>
      <c r="R219" s="360">
        <f>T163</f>
        <v>81</v>
      </c>
      <c r="S219" s="272"/>
      <c r="T219" s="364"/>
      <c r="U219" s="369"/>
      <c r="V219" s="5"/>
    </row>
    <row r="220" spans="1:22" ht="15.6" x14ac:dyDescent="0.3">
      <c r="A220" s="358"/>
      <c r="B220" s="272" t="s">
        <v>90</v>
      </c>
      <c r="C220" s="317"/>
      <c r="D220" s="317"/>
      <c r="E220" s="317"/>
      <c r="F220" s="317"/>
      <c r="G220" s="272"/>
      <c r="H220" s="272"/>
      <c r="I220" s="272"/>
      <c r="J220" s="272"/>
      <c r="K220" s="272"/>
      <c r="L220" s="272"/>
      <c r="M220" s="272"/>
      <c r="N220" s="272"/>
      <c r="O220" s="272"/>
      <c r="P220" s="272"/>
      <c r="Q220" s="279"/>
      <c r="R220" s="360">
        <f>'Jan 12'!R220+'April 12'!R219</f>
        <v>2365</v>
      </c>
      <c r="S220" s="272"/>
      <c r="T220" s="364"/>
      <c r="U220" s="369"/>
      <c r="V220" s="5"/>
    </row>
    <row r="221" spans="1:22" ht="15.6" x14ac:dyDescent="0.3">
      <c r="A221" s="366"/>
      <c r="B221" s="293" t="s">
        <v>288</v>
      </c>
      <c r="C221" s="367"/>
      <c r="D221" s="367"/>
      <c r="E221" s="367"/>
      <c r="F221" s="367"/>
      <c r="G221" s="337"/>
      <c r="H221" s="337"/>
      <c r="I221" s="337"/>
      <c r="J221" s="337"/>
      <c r="K221" s="337"/>
      <c r="L221" s="337"/>
      <c r="M221" s="337"/>
      <c r="N221" s="337"/>
      <c r="O221" s="337"/>
      <c r="P221" s="337"/>
      <c r="Q221" s="374"/>
      <c r="R221" s="368"/>
      <c r="S221" s="337"/>
      <c r="T221" s="364"/>
      <c r="U221" s="369"/>
      <c r="V221" s="5"/>
    </row>
    <row r="222" spans="1:22" ht="15.6" x14ac:dyDescent="0.3">
      <c r="A222" s="375"/>
      <c r="B222" s="272" t="s">
        <v>286</v>
      </c>
      <c r="C222" s="272"/>
      <c r="D222" s="272"/>
      <c r="E222" s="272"/>
      <c r="F222" s="272"/>
      <c r="G222" s="272"/>
      <c r="H222" s="272"/>
      <c r="I222" s="272"/>
      <c r="J222" s="272"/>
      <c r="K222" s="272"/>
      <c r="L222" s="272"/>
      <c r="M222" s="272"/>
      <c r="N222" s="272"/>
      <c r="O222" s="272"/>
      <c r="P222" s="272"/>
      <c r="Q222" s="279">
        <v>0</v>
      </c>
      <c r="R222" s="360">
        <v>0</v>
      </c>
      <c r="S222" s="272"/>
      <c r="T222" s="361"/>
      <c r="U222" s="369"/>
      <c r="V222" s="5"/>
    </row>
    <row r="223" spans="1:22" ht="15.6" x14ac:dyDescent="0.3">
      <c r="A223" s="376"/>
      <c r="B223" s="272" t="s">
        <v>92</v>
      </c>
      <c r="C223" s="306"/>
      <c r="D223" s="306"/>
      <c r="E223" s="306"/>
      <c r="F223" s="377"/>
      <c r="G223" s="272"/>
      <c r="H223" s="272"/>
      <c r="I223" s="272"/>
      <c r="J223" s="272"/>
      <c r="K223" s="272"/>
      <c r="L223" s="272"/>
      <c r="M223" s="272"/>
      <c r="N223" s="272"/>
      <c r="O223" s="272"/>
      <c r="P223" s="272"/>
      <c r="Q223" s="279"/>
      <c r="R223" s="365">
        <v>0</v>
      </c>
      <c r="S223" s="272"/>
      <c r="T223" s="361"/>
      <c r="U223" s="369"/>
      <c r="V223" s="5"/>
    </row>
    <row r="224" spans="1:22" ht="15.6" x14ac:dyDescent="0.3">
      <c r="A224" s="376"/>
      <c r="B224" s="272" t="s">
        <v>93</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58"/>
      <c r="B225" s="293" t="s">
        <v>258</v>
      </c>
      <c r="C225" s="378"/>
      <c r="D225" s="378"/>
      <c r="E225" s="378"/>
      <c r="F225" s="379"/>
      <c r="G225" s="337"/>
      <c r="H225" s="337"/>
      <c r="I225" s="337"/>
      <c r="J225" s="337"/>
      <c r="K225" s="337"/>
      <c r="L225" s="337"/>
      <c r="M225" s="337"/>
      <c r="N225" s="337"/>
      <c r="O225" s="337"/>
      <c r="P225" s="337"/>
      <c r="Q225" s="374"/>
      <c r="R225" s="380"/>
      <c r="S225" s="337"/>
      <c r="T225" s="364"/>
      <c r="U225" s="369"/>
      <c r="V225" s="5"/>
    </row>
    <row r="226" spans="1:23" ht="15.6" x14ac:dyDescent="0.3">
      <c r="A226" s="376"/>
      <c r="B226" s="272" t="s">
        <v>286</v>
      </c>
      <c r="C226" s="306"/>
      <c r="D226" s="306"/>
      <c r="E226" s="306"/>
      <c r="F226" s="377"/>
      <c r="G226" s="272"/>
      <c r="H226" s="272"/>
      <c r="I226" s="272"/>
      <c r="J226" s="272"/>
      <c r="K226" s="272"/>
      <c r="L226" s="272"/>
      <c r="M226" s="272"/>
      <c r="N226" s="272"/>
      <c r="O226" s="272"/>
      <c r="P226" s="272"/>
      <c r="Q226" s="279">
        <v>2</v>
      </c>
      <c r="R226" s="360">
        <v>155</v>
      </c>
      <c r="S226" s="272"/>
      <c r="T226" s="364"/>
      <c r="U226" s="369"/>
      <c r="V226" s="5"/>
    </row>
    <row r="227" spans="1:23" ht="15.6" x14ac:dyDescent="0.3">
      <c r="A227" s="376"/>
      <c r="B227" s="272" t="s">
        <v>259</v>
      </c>
      <c r="C227" s="306"/>
      <c r="D227" s="306"/>
      <c r="E227" s="306"/>
      <c r="F227" s="377"/>
      <c r="G227" s="272"/>
      <c r="H227" s="272"/>
      <c r="I227" s="272"/>
      <c r="J227" s="272"/>
      <c r="K227" s="272"/>
      <c r="L227" s="272"/>
      <c r="M227" s="272"/>
      <c r="N227" s="272"/>
      <c r="O227" s="272"/>
      <c r="P227" s="272"/>
      <c r="Q227" s="272"/>
      <c r="R227" s="365">
        <v>2.84</v>
      </c>
      <c r="S227" s="272"/>
      <c r="T227" s="364"/>
      <c r="U227" s="369"/>
      <c r="V227" s="5"/>
    </row>
    <row r="228" spans="1:23" ht="15.6" x14ac:dyDescent="0.3">
      <c r="A228" s="358"/>
      <c r="B228" s="367"/>
      <c r="C228" s="378"/>
      <c r="D228" s="378"/>
      <c r="E228" s="378"/>
      <c r="F228" s="379"/>
      <c r="G228" s="337"/>
      <c r="H228" s="337"/>
      <c r="I228" s="337"/>
      <c r="J228" s="337"/>
      <c r="K228" s="337"/>
      <c r="L228" s="337"/>
      <c r="M228" s="337"/>
      <c r="N228" s="337"/>
      <c r="O228" s="337"/>
      <c r="P228" s="337"/>
      <c r="Q228" s="337"/>
      <c r="R228" s="381"/>
      <c r="S228" s="337"/>
      <c r="T228" s="364"/>
      <c r="U228" s="369"/>
      <c r="V228" s="5"/>
    </row>
    <row r="229" spans="1:23" ht="17.399999999999999" x14ac:dyDescent="0.3">
      <c r="A229" s="358"/>
      <c r="B229" s="382" t="s">
        <v>208</v>
      </c>
      <c r="C229" s="378"/>
      <c r="D229" s="378"/>
      <c r="E229" s="378"/>
      <c r="F229" s="379"/>
      <c r="G229" s="337"/>
      <c r="H229" s="337"/>
      <c r="I229" s="337"/>
      <c r="J229" s="337"/>
      <c r="K229" s="337"/>
      <c r="L229" s="337"/>
      <c r="M229" s="337"/>
      <c r="N229" s="383" t="s">
        <v>207</v>
      </c>
      <c r="O229" s="337"/>
      <c r="P229" s="337"/>
      <c r="Q229" s="337"/>
      <c r="R229" s="381"/>
      <c r="S229" s="337"/>
      <c r="T229" s="364"/>
      <c r="U229" s="369"/>
      <c r="V229" s="5"/>
    </row>
    <row r="230" spans="1:23" ht="15.6" x14ac:dyDescent="0.3">
      <c r="A230" s="351"/>
      <c r="B230" s="352"/>
      <c r="C230" s="353"/>
      <c r="D230" s="353"/>
      <c r="E230" s="353"/>
      <c r="F230" s="354"/>
      <c r="G230" s="314"/>
      <c r="H230" s="314"/>
      <c r="I230" s="314"/>
      <c r="J230" s="314"/>
      <c r="K230" s="314"/>
      <c r="L230" s="314"/>
      <c r="M230" s="314"/>
      <c r="N230" s="314"/>
      <c r="O230" s="314"/>
      <c r="P230" s="314"/>
      <c r="Q230" s="314"/>
      <c r="R230" s="355"/>
      <c r="S230" s="314"/>
      <c r="T230" s="356"/>
      <c r="U230" s="357"/>
      <c r="V230" s="5"/>
    </row>
    <row r="231" spans="1:23" ht="15.6" x14ac:dyDescent="0.3">
      <c r="A231" s="258"/>
      <c r="B231" s="259" t="s">
        <v>302</v>
      </c>
      <c r="C231" s="260"/>
      <c r="D231" s="260"/>
      <c r="E231" s="260"/>
      <c r="F231" s="261"/>
      <c r="G231" s="260"/>
      <c r="H231" s="260"/>
      <c r="I231" s="260"/>
      <c r="J231" s="260"/>
      <c r="K231" s="260"/>
      <c r="L231" s="260"/>
      <c r="M231" s="260"/>
      <c r="N231" s="260"/>
      <c r="O231" s="260"/>
      <c r="P231" s="261" t="s">
        <v>108</v>
      </c>
      <c r="Q231" s="260" t="s">
        <v>109</v>
      </c>
      <c r="R231" s="261" t="s">
        <v>117</v>
      </c>
      <c r="S231" s="260" t="s">
        <v>109</v>
      </c>
      <c r="T231" s="262"/>
      <c r="U231" s="259"/>
      <c r="V231" s="5"/>
    </row>
    <row r="232" spans="1:23" ht="15.6" x14ac:dyDescent="0.3">
      <c r="A232" s="232"/>
      <c r="B232" s="231" t="s">
        <v>94</v>
      </c>
      <c r="C232" s="249"/>
      <c r="D232" s="249"/>
      <c r="E232" s="249"/>
      <c r="F232" s="228"/>
      <c r="G232" s="249"/>
      <c r="H232" s="249"/>
      <c r="I232" s="249"/>
      <c r="J232" s="249"/>
      <c r="K232" s="249"/>
      <c r="L232" s="249"/>
      <c r="M232" s="249"/>
      <c r="N232" s="249"/>
      <c r="O232" s="249"/>
      <c r="P232" s="317">
        <f t="shared" ref="P232:P239" si="1">+P244+P256+P268</f>
        <v>2523</v>
      </c>
      <c r="Q232" s="388">
        <f t="shared" ref="Q232:Q239" si="2">P232/$P$241</f>
        <v>0.98670316777473599</v>
      </c>
      <c r="R232" s="318">
        <f t="shared" ref="R232:R239" si="3">+R244+R256+R268</f>
        <v>304358</v>
      </c>
      <c r="S232" s="388">
        <f t="shared" ref="S232:S239" si="4">R232/$R$241</f>
        <v>0.98436570157054515</v>
      </c>
      <c r="T232" s="247"/>
      <c r="U232" s="229"/>
      <c r="V232" s="5"/>
    </row>
    <row r="233" spans="1:23" ht="15.6" x14ac:dyDescent="0.3">
      <c r="A233" s="302"/>
      <c r="B233" s="317" t="s">
        <v>95</v>
      </c>
      <c r="C233" s="387"/>
      <c r="D233" s="387"/>
      <c r="E233" s="387"/>
      <c r="F233" s="272"/>
      <c r="G233" s="388"/>
      <c r="H233" s="387"/>
      <c r="I233" s="387"/>
      <c r="J233" s="387"/>
      <c r="K233" s="387"/>
      <c r="L233" s="387"/>
      <c r="M233" s="387"/>
      <c r="N233" s="387"/>
      <c r="O233" s="387"/>
      <c r="P233" s="317">
        <f t="shared" si="1"/>
        <v>16</v>
      </c>
      <c r="Q233" s="388">
        <f t="shared" si="2"/>
        <v>6.257332811888932E-3</v>
      </c>
      <c r="R233" s="318">
        <f t="shared" si="3"/>
        <v>1554</v>
      </c>
      <c r="S233" s="388">
        <f t="shared" si="4"/>
        <v>5.0260032601102227E-3</v>
      </c>
      <c r="T233" s="361"/>
      <c r="U233" s="389"/>
      <c r="V233" s="5"/>
      <c r="W233" s="110"/>
    </row>
    <row r="234" spans="1:23" ht="15.6" x14ac:dyDescent="0.3">
      <c r="A234" s="302"/>
      <c r="B234" s="317" t="s">
        <v>96</v>
      </c>
      <c r="C234" s="387"/>
      <c r="D234" s="387"/>
      <c r="E234" s="387"/>
      <c r="F234" s="272"/>
      <c r="G234" s="388"/>
      <c r="H234" s="387"/>
      <c r="I234" s="387"/>
      <c r="J234" s="387"/>
      <c r="K234" s="387"/>
      <c r="L234" s="387"/>
      <c r="M234" s="387"/>
      <c r="N234" s="387"/>
      <c r="O234" s="387"/>
      <c r="P234" s="317">
        <f t="shared" si="1"/>
        <v>2</v>
      </c>
      <c r="Q234" s="388">
        <f t="shared" si="2"/>
        <v>7.8216660148611649E-4</v>
      </c>
      <c r="R234" s="318">
        <f t="shared" si="3"/>
        <v>219</v>
      </c>
      <c r="S234" s="388">
        <f t="shared" si="4"/>
        <v>7.0829775673368004E-4</v>
      </c>
      <c r="T234" s="361"/>
      <c r="U234" s="389"/>
      <c r="V234" s="5"/>
    </row>
    <row r="235" spans="1:23" ht="15.6" x14ac:dyDescent="0.3">
      <c r="A235" s="302"/>
      <c r="B235" s="317" t="s">
        <v>171</v>
      </c>
      <c r="C235" s="387"/>
      <c r="D235" s="387"/>
      <c r="E235" s="387"/>
      <c r="F235" s="272"/>
      <c r="G235" s="388"/>
      <c r="H235" s="387"/>
      <c r="I235" s="387"/>
      <c r="J235" s="387"/>
      <c r="K235" s="387"/>
      <c r="L235" s="387"/>
      <c r="M235" s="387"/>
      <c r="N235" s="387"/>
      <c r="O235" s="387"/>
      <c r="P235" s="317">
        <f t="shared" si="1"/>
        <v>0</v>
      </c>
      <c r="Q235" s="388">
        <f t="shared" si="2"/>
        <v>0</v>
      </c>
      <c r="R235" s="318">
        <f t="shared" si="3"/>
        <v>0</v>
      </c>
      <c r="S235" s="388">
        <f t="shared" si="4"/>
        <v>0</v>
      </c>
      <c r="T235" s="361"/>
      <c r="U235" s="389"/>
      <c r="V235" s="5"/>
      <c r="W235" s="110"/>
    </row>
    <row r="236" spans="1:23" ht="15.6" x14ac:dyDescent="0.3">
      <c r="A236" s="302"/>
      <c r="B236" s="317" t="s">
        <v>172</v>
      </c>
      <c r="C236" s="387"/>
      <c r="D236" s="387"/>
      <c r="E236" s="387"/>
      <c r="F236" s="272"/>
      <c r="G236" s="388"/>
      <c r="H236" s="387"/>
      <c r="I236" s="387"/>
      <c r="J236" s="387"/>
      <c r="K236" s="387"/>
      <c r="L236" s="387"/>
      <c r="M236" s="387"/>
      <c r="N236" s="387"/>
      <c r="O236" s="387"/>
      <c r="P236" s="317">
        <f t="shared" si="1"/>
        <v>1</v>
      </c>
      <c r="Q236" s="388">
        <f t="shared" si="2"/>
        <v>3.9108330074305825E-4</v>
      </c>
      <c r="R236" s="318">
        <f t="shared" si="3"/>
        <v>131</v>
      </c>
      <c r="S236" s="388">
        <f t="shared" si="4"/>
        <v>4.2368495950736112E-4</v>
      </c>
      <c r="T236" s="361"/>
      <c r="U236" s="389"/>
      <c r="V236" s="5"/>
    </row>
    <row r="237" spans="1:23" ht="15.6" x14ac:dyDescent="0.3">
      <c r="A237" s="302"/>
      <c r="B237" s="317" t="s">
        <v>173</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c r="W237" s="110"/>
    </row>
    <row r="238" spans="1:23" ht="15.6" x14ac:dyDescent="0.3">
      <c r="A238" s="302"/>
      <c r="B238" s="317" t="s">
        <v>174</v>
      </c>
      <c r="C238" s="387"/>
      <c r="D238" s="387"/>
      <c r="E238" s="387"/>
      <c r="F238" s="272"/>
      <c r="G238" s="388"/>
      <c r="H238" s="387"/>
      <c r="I238" s="387"/>
      <c r="J238" s="387"/>
      <c r="K238" s="387"/>
      <c r="L238" s="387"/>
      <c r="M238" s="387"/>
      <c r="N238" s="387"/>
      <c r="O238" s="387"/>
      <c r="P238" s="317">
        <f t="shared" si="1"/>
        <v>4</v>
      </c>
      <c r="Q238" s="388">
        <f t="shared" si="2"/>
        <v>1.564333202972233E-3</v>
      </c>
      <c r="R238" s="318">
        <f t="shared" si="3"/>
        <v>704</v>
      </c>
      <c r="S238" s="388">
        <f t="shared" si="4"/>
        <v>2.2769023778105514E-3</v>
      </c>
      <c r="T238" s="361"/>
      <c r="U238" s="389"/>
      <c r="V238" s="5"/>
    </row>
    <row r="239" spans="1:23" ht="15.6" x14ac:dyDescent="0.3">
      <c r="A239" s="302"/>
      <c r="B239" s="317" t="s">
        <v>175</v>
      </c>
      <c r="C239" s="387"/>
      <c r="D239" s="387"/>
      <c r="E239" s="387"/>
      <c r="F239" s="272"/>
      <c r="G239" s="388"/>
      <c r="H239" s="387"/>
      <c r="I239" s="387"/>
      <c r="J239" s="387"/>
      <c r="K239" s="387"/>
      <c r="L239" s="387"/>
      <c r="M239" s="387"/>
      <c r="N239" s="387"/>
      <c r="O239" s="387"/>
      <c r="P239" s="317">
        <f t="shared" si="1"/>
        <v>11</v>
      </c>
      <c r="Q239" s="388">
        <f t="shared" si="2"/>
        <v>4.3019163081736414E-3</v>
      </c>
      <c r="R239" s="318">
        <f t="shared" si="3"/>
        <v>2226</v>
      </c>
      <c r="S239" s="388">
        <f t="shared" si="4"/>
        <v>7.1994100752930217E-3</v>
      </c>
      <c r="T239" s="361"/>
      <c r="U239" s="389"/>
      <c r="V239" s="5"/>
      <c r="W239" s="110"/>
    </row>
    <row r="240" spans="1:23" ht="15.6" x14ac:dyDescent="0.3">
      <c r="A240" s="302"/>
      <c r="B240" s="317"/>
      <c r="C240" s="387"/>
      <c r="D240" s="387"/>
      <c r="E240" s="387"/>
      <c r="F240" s="272"/>
      <c r="G240" s="388"/>
      <c r="H240" s="387"/>
      <c r="I240" s="387"/>
      <c r="J240" s="387"/>
      <c r="K240" s="387"/>
      <c r="L240" s="387"/>
      <c r="M240" s="387"/>
      <c r="N240" s="387"/>
      <c r="O240" s="387"/>
      <c r="P240" s="317"/>
      <c r="Q240" s="388"/>
      <c r="R240" s="318"/>
      <c r="S240" s="388"/>
      <c r="T240" s="361"/>
      <c r="U240" s="389"/>
      <c r="V240" s="5"/>
    </row>
    <row r="241" spans="1:23" ht="15.6" x14ac:dyDescent="0.3">
      <c r="A241" s="302"/>
      <c r="B241" s="272"/>
      <c r="C241" s="272"/>
      <c r="D241" s="272"/>
      <c r="E241" s="272"/>
      <c r="F241" s="272"/>
      <c r="G241" s="272"/>
      <c r="H241" s="390"/>
      <c r="I241" s="390"/>
      <c r="J241" s="390"/>
      <c r="K241" s="390"/>
      <c r="L241" s="390"/>
      <c r="M241" s="390"/>
      <c r="N241" s="390"/>
      <c r="O241" s="390"/>
      <c r="P241" s="317">
        <f>SUM(P232:P240)</f>
        <v>2557</v>
      </c>
      <c r="Q241" s="388">
        <f>SUM(Q232:Q240)</f>
        <v>1</v>
      </c>
      <c r="R241" s="318">
        <f>SUM(R232:R240)</f>
        <v>309192</v>
      </c>
      <c r="S241" s="388">
        <f>SUM(S232:S240)</f>
        <v>1</v>
      </c>
      <c r="T241" s="272"/>
      <c r="U241" s="275"/>
      <c r="V241" s="5"/>
    </row>
    <row r="242" spans="1:23" ht="15.6" x14ac:dyDescent="0.3">
      <c r="A242" s="351"/>
      <c r="B242" s="352"/>
      <c r="C242" s="353"/>
      <c r="D242" s="353"/>
      <c r="E242" s="353"/>
      <c r="F242" s="354"/>
      <c r="G242" s="314"/>
      <c r="H242" s="314"/>
      <c r="I242" s="314"/>
      <c r="J242" s="314"/>
      <c r="K242" s="314"/>
      <c r="L242" s="314"/>
      <c r="M242" s="314"/>
      <c r="N242" s="314"/>
      <c r="O242" s="314"/>
      <c r="P242" s="314"/>
      <c r="Q242" s="314"/>
      <c r="R242" s="355"/>
      <c r="S242" s="314"/>
      <c r="T242" s="356"/>
      <c r="U242" s="357"/>
      <c r="V242" s="5"/>
    </row>
    <row r="243" spans="1:23" ht="15.6" x14ac:dyDescent="0.3">
      <c r="A243" s="258"/>
      <c r="B243" s="259" t="s">
        <v>177</v>
      </c>
      <c r="C243" s="260"/>
      <c r="D243" s="260"/>
      <c r="E243" s="260"/>
      <c r="F243" s="261"/>
      <c r="G243" s="260"/>
      <c r="H243" s="260"/>
      <c r="I243" s="260"/>
      <c r="J243" s="260"/>
      <c r="K243" s="260"/>
      <c r="L243" s="260"/>
      <c r="M243" s="260"/>
      <c r="N243" s="260"/>
      <c r="O243" s="260"/>
      <c r="P243" s="261" t="s">
        <v>108</v>
      </c>
      <c r="Q243" s="260" t="s">
        <v>109</v>
      </c>
      <c r="R243" s="261" t="s">
        <v>117</v>
      </c>
      <c r="S243" s="260" t="s">
        <v>109</v>
      </c>
      <c r="T243" s="262"/>
      <c r="U243" s="259"/>
      <c r="V243" s="5"/>
    </row>
    <row r="244" spans="1:23" ht="15.6" x14ac:dyDescent="0.3">
      <c r="A244" s="232"/>
      <c r="B244" s="231" t="s">
        <v>94</v>
      </c>
      <c r="C244" s="249"/>
      <c r="D244" s="249"/>
      <c r="E244" s="249"/>
      <c r="F244" s="228"/>
      <c r="G244" s="249"/>
      <c r="H244" s="249"/>
      <c r="I244" s="249"/>
      <c r="J244" s="249"/>
      <c r="K244" s="249"/>
      <c r="L244" s="249"/>
      <c r="M244" s="249"/>
      <c r="N244" s="249"/>
      <c r="O244" s="249"/>
      <c r="P244" s="231">
        <v>2475</v>
      </c>
      <c r="Q244" s="250">
        <f t="shared" ref="Q244:Q251" si="5">P244/$P$253</f>
        <v>0.9931781701444623</v>
      </c>
      <c r="R244" s="242">
        <v>297710</v>
      </c>
      <c r="S244" s="250">
        <f t="shared" ref="S244:S251" si="6">R244/$R$253</f>
        <v>0.99404660542984313</v>
      </c>
      <c r="T244" s="247"/>
      <c r="U244" s="229"/>
      <c r="V244" s="5"/>
    </row>
    <row r="245" spans="1:23" ht="15.6" x14ac:dyDescent="0.3">
      <c r="A245" s="302"/>
      <c r="B245" s="317" t="s">
        <v>95</v>
      </c>
      <c r="C245" s="387"/>
      <c r="D245" s="387"/>
      <c r="E245" s="387"/>
      <c r="F245" s="272"/>
      <c r="G245" s="388"/>
      <c r="H245" s="387"/>
      <c r="I245" s="387"/>
      <c r="J245" s="387"/>
      <c r="K245" s="387"/>
      <c r="L245" s="387"/>
      <c r="M245" s="387"/>
      <c r="N245" s="387"/>
      <c r="O245" s="387"/>
      <c r="P245" s="317">
        <v>14</v>
      </c>
      <c r="Q245" s="388">
        <f t="shared" si="5"/>
        <v>5.6179775280898875E-3</v>
      </c>
      <c r="R245" s="318">
        <v>1326</v>
      </c>
      <c r="S245" s="388">
        <f t="shared" si="6"/>
        <v>4.4274824453326119E-3</v>
      </c>
      <c r="T245" s="361"/>
      <c r="U245" s="389"/>
      <c r="V245" s="5"/>
      <c r="W245" s="110"/>
    </row>
    <row r="246" spans="1:23" ht="15.6" x14ac:dyDescent="0.3">
      <c r="A246" s="302"/>
      <c r="B246" s="317" t="s">
        <v>96</v>
      </c>
      <c r="C246" s="387"/>
      <c r="D246" s="387"/>
      <c r="E246" s="387"/>
      <c r="F246" s="272"/>
      <c r="G246" s="388"/>
      <c r="H246" s="387"/>
      <c r="I246" s="387"/>
      <c r="J246" s="387"/>
      <c r="K246" s="387"/>
      <c r="L246" s="387"/>
      <c r="M246" s="387"/>
      <c r="N246" s="387"/>
      <c r="O246" s="387"/>
      <c r="P246" s="317">
        <v>1</v>
      </c>
      <c r="Q246" s="388">
        <f t="shared" si="5"/>
        <v>4.0128410914927769E-4</v>
      </c>
      <c r="R246" s="318">
        <v>86</v>
      </c>
      <c r="S246" s="388">
        <f t="shared" si="6"/>
        <v>2.8715195346802765E-4</v>
      </c>
      <c r="T246" s="361"/>
      <c r="U246" s="389"/>
      <c r="V246" s="5"/>
    </row>
    <row r="247" spans="1:23" ht="15.6" x14ac:dyDescent="0.3">
      <c r="A247" s="302"/>
      <c r="B247" s="317" t="s">
        <v>171</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c r="W247" s="110"/>
    </row>
    <row r="248" spans="1:23" ht="15.6" x14ac:dyDescent="0.3">
      <c r="A248" s="302"/>
      <c r="B248" s="317" t="s">
        <v>172</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row>
    <row r="249" spans="1:23" ht="15.6" x14ac:dyDescent="0.3">
      <c r="A249" s="302"/>
      <c r="B249" s="317" t="s">
        <v>173</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c r="W249" s="110"/>
    </row>
    <row r="250" spans="1:23" ht="15.6" x14ac:dyDescent="0.3">
      <c r="A250" s="302"/>
      <c r="B250" s="317" t="s">
        <v>174</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row>
    <row r="251" spans="1:23" ht="15.6" x14ac:dyDescent="0.3">
      <c r="A251" s="302"/>
      <c r="B251" s="317" t="s">
        <v>175</v>
      </c>
      <c r="C251" s="387"/>
      <c r="D251" s="387"/>
      <c r="E251" s="387"/>
      <c r="F251" s="272"/>
      <c r="G251" s="388"/>
      <c r="H251" s="387"/>
      <c r="I251" s="387"/>
      <c r="J251" s="387"/>
      <c r="K251" s="387"/>
      <c r="L251" s="387"/>
      <c r="M251" s="387"/>
      <c r="N251" s="387"/>
      <c r="O251" s="387"/>
      <c r="P251" s="317">
        <v>2</v>
      </c>
      <c r="Q251" s="388">
        <f t="shared" si="5"/>
        <v>8.0256821829855537E-4</v>
      </c>
      <c r="R251" s="318">
        <v>371</v>
      </c>
      <c r="S251" s="388">
        <f t="shared" si="6"/>
        <v>1.2387601713562588E-3</v>
      </c>
      <c r="T251" s="361"/>
      <c r="U251" s="389"/>
      <c r="V251" s="5"/>
      <c r="W251" s="110"/>
    </row>
    <row r="252" spans="1:23" ht="15.6" x14ac:dyDescent="0.3">
      <c r="A252" s="302"/>
      <c r="B252" s="317"/>
      <c r="C252" s="387"/>
      <c r="D252" s="387"/>
      <c r="E252" s="387"/>
      <c r="F252" s="272"/>
      <c r="G252" s="388"/>
      <c r="H252" s="387"/>
      <c r="I252" s="387"/>
      <c r="J252" s="387"/>
      <c r="K252" s="387"/>
      <c r="L252" s="387"/>
      <c r="M252" s="387"/>
      <c r="N252" s="387"/>
      <c r="O252" s="387"/>
      <c r="P252" s="317"/>
      <c r="Q252" s="388"/>
      <c r="R252" s="318"/>
      <c r="S252" s="388"/>
      <c r="T252" s="361"/>
      <c r="U252" s="389"/>
      <c r="V252" s="5"/>
    </row>
    <row r="253" spans="1:23" ht="15.6" x14ac:dyDescent="0.3">
      <c r="A253" s="302"/>
      <c r="B253" s="272"/>
      <c r="C253" s="272"/>
      <c r="D253" s="272"/>
      <c r="E253" s="272"/>
      <c r="F253" s="272"/>
      <c r="G253" s="272"/>
      <c r="H253" s="390"/>
      <c r="I253" s="390"/>
      <c r="J253" s="390"/>
      <c r="K253" s="390"/>
      <c r="L253" s="390"/>
      <c r="M253" s="390"/>
      <c r="N253" s="390"/>
      <c r="O253" s="390"/>
      <c r="P253" s="317">
        <f>SUM(P244:P252)</f>
        <v>2492</v>
      </c>
      <c r="Q253" s="388">
        <f>SUM(Q244:Q252)</f>
        <v>1</v>
      </c>
      <c r="R253" s="318">
        <f>SUM(R244:R252)</f>
        <v>299493</v>
      </c>
      <c r="S253" s="388">
        <f>SUM(S244:S252)</f>
        <v>1</v>
      </c>
      <c r="T253" s="272"/>
      <c r="U253" s="275"/>
      <c r="V253" s="5"/>
    </row>
    <row r="254" spans="1:23" ht="15.6" x14ac:dyDescent="0.3">
      <c r="A254" s="177"/>
      <c r="B254" s="314"/>
      <c r="C254" s="314"/>
      <c r="D254" s="314"/>
      <c r="E254" s="314"/>
      <c r="F254" s="314"/>
      <c r="G254" s="314"/>
      <c r="H254" s="384"/>
      <c r="I254" s="384"/>
      <c r="J254" s="384"/>
      <c r="K254" s="384"/>
      <c r="L254" s="384"/>
      <c r="M254" s="384"/>
      <c r="N254" s="384"/>
      <c r="O254" s="384"/>
      <c r="P254" s="315"/>
      <c r="Q254" s="385"/>
      <c r="R254" s="386"/>
      <c r="S254" s="385"/>
      <c r="T254" s="314"/>
      <c r="U254" s="314"/>
      <c r="V254" s="5"/>
    </row>
    <row r="255" spans="1:23" ht="15.6" x14ac:dyDescent="0.3">
      <c r="A255" s="263"/>
      <c r="B255" s="259" t="s">
        <v>279</v>
      </c>
      <c r="C255" s="260"/>
      <c r="D255" s="260"/>
      <c r="E255" s="260"/>
      <c r="F255" s="261"/>
      <c r="G255" s="260"/>
      <c r="H255" s="260"/>
      <c r="I255" s="260"/>
      <c r="J255" s="260"/>
      <c r="K255" s="260"/>
      <c r="L255" s="260"/>
      <c r="M255" s="260"/>
      <c r="N255" s="260"/>
      <c r="O255" s="260"/>
      <c r="P255" s="261" t="s">
        <v>108</v>
      </c>
      <c r="Q255" s="260" t="s">
        <v>109</v>
      </c>
      <c r="R255" s="261" t="s">
        <v>117</v>
      </c>
      <c r="S255" s="260" t="s">
        <v>109</v>
      </c>
      <c r="T255" s="264"/>
      <c r="U255" s="265"/>
      <c r="V255" s="5"/>
    </row>
    <row r="256" spans="1:23" ht="15.6" x14ac:dyDescent="0.3">
      <c r="A256" s="232"/>
      <c r="B256" s="231" t="s">
        <v>94</v>
      </c>
      <c r="C256" s="249"/>
      <c r="D256" s="249"/>
      <c r="E256" s="249"/>
      <c r="F256" s="228"/>
      <c r="G256" s="249"/>
      <c r="H256" s="249"/>
      <c r="I256" s="249"/>
      <c r="J256" s="249"/>
      <c r="K256" s="249"/>
      <c r="L256" s="249"/>
      <c r="M256" s="249"/>
      <c r="N256" s="249"/>
      <c r="O256" s="249"/>
      <c r="P256" s="231">
        <v>48</v>
      </c>
      <c r="Q256" s="250">
        <f t="shared" ref="Q256:Q263" si="7">P256/$P$265</f>
        <v>0.7384615384615385</v>
      </c>
      <c r="R256" s="242">
        <v>6648</v>
      </c>
      <c r="S256" s="250">
        <f t="shared" ref="S256:S263" si="8">R256/$R$265</f>
        <v>0.68543148778224561</v>
      </c>
      <c r="T256" s="228"/>
      <c r="U256" s="194"/>
      <c r="V256" s="5"/>
    </row>
    <row r="257" spans="1:22" ht="15.6" x14ac:dyDescent="0.3">
      <c r="A257" s="302"/>
      <c r="B257" s="317" t="s">
        <v>95</v>
      </c>
      <c r="C257" s="387"/>
      <c r="D257" s="387"/>
      <c r="E257" s="387"/>
      <c r="F257" s="272"/>
      <c r="G257" s="388"/>
      <c r="H257" s="387"/>
      <c r="I257" s="387"/>
      <c r="J257" s="387"/>
      <c r="K257" s="387"/>
      <c r="L257" s="387"/>
      <c r="M257" s="387"/>
      <c r="N257" s="387"/>
      <c r="O257" s="387"/>
      <c r="P257" s="317">
        <v>2</v>
      </c>
      <c r="Q257" s="388">
        <f t="shared" si="7"/>
        <v>3.0769230769230771E-2</v>
      </c>
      <c r="R257" s="318">
        <v>228</v>
      </c>
      <c r="S257" s="388">
        <f t="shared" si="8"/>
        <v>2.3507578100835137E-2</v>
      </c>
      <c r="T257" s="272"/>
      <c r="U257" s="340"/>
      <c r="V257" s="5"/>
    </row>
    <row r="258" spans="1:22" ht="15.6" x14ac:dyDescent="0.3">
      <c r="A258" s="302"/>
      <c r="B258" s="317" t="s">
        <v>96</v>
      </c>
      <c r="C258" s="387"/>
      <c r="D258" s="387"/>
      <c r="E258" s="387"/>
      <c r="F258" s="272"/>
      <c r="G258" s="388"/>
      <c r="H258" s="387"/>
      <c r="I258" s="387"/>
      <c r="J258" s="387"/>
      <c r="K258" s="387"/>
      <c r="L258" s="387"/>
      <c r="M258" s="387"/>
      <c r="N258" s="387"/>
      <c r="O258" s="387"/>
      <c r="P258" s="317">
        <v>1</v>
      </c>
      <c r="Q258" s="388">
        <f t="shared" si="7"/>
        <v>1.5384615384615385E-2</v>
      </c>
      <c r="R258" s="318">
        <v>133</v>
      </c>
      <c r="S258" s="388">
        <f t="shared" si="8"/>
        <v>1.3712753892153831E-2</v>
      </c>
      <c r="T258" s="272"/>
      <c r="U258" s="340"/>
      <c r="V258" s="5"/>
    </row>
    <row r="259" spans="1:22" ht="15.6" x14ac:dyDescent="0.3">
      <c r="A259" s="302"/>
      <c r="B259" s="317" t="s">
        <v>171</v>
      </c>
      <c r="C259" s="387"/>
      <c r="D259" s="387"/>
      <c r="E259" s="387"/>
      <c r="F259" s="272"/>
      <c r="G259" s="388"/>
      <c r="H259" s="387"/>
      <c r="I259" s="387"/>
      <c r="J259" s="387"/>
      <c r="K259" s="387"/>
      <c r="L259" s="387"/>
      <c r="M259" s="387"/>
      <c r="N259" s="387"/>
      <c r="O259" s="387"/>
      <c r="P259" s="317">
        <v>0</v>
      </c>
      <c r="Q259" s="388">
        <f t="shared" si="7"/>
        <v>0</v>
      </c>
      <c r="R259" s="318">
        <v>0</v>
      </c>
      <c r="S259" s="388">
        <f t="shared" si="8"/>
        <v>0</v>
      </c>
      <c r="T259" s="272"/>
      <c r="U259" s="340"/>
      <c r="V259" s="5"/>
    </row>
    <row r="260" spans="1:22" ht="15.6" x14ac:dyDescent="0.3">
      <c r="A260" s="302"/>
      <c r="B260" s="317" t="s">
        <v>172</v>
      </c>
      <c r="C260" s="387"/>
      <c r="D260" s="387"/>
      <c r="E260" s="387"/>
      <c r="F260" s="272"/>
      <c r="G260" s="388"/>
      <c r="H260" s="387"/>
      <c r="I260" s="387"/>
      <c r="J260" s="387"/>
      <c r="K260" s="387"/>
      <c r="L260" s="387"/>
      <c r="M260" s="387"/>
      <c r="N260" s="387"/>
      <c r="O260" s="387"/>
      <c r="P260" s="317">
        <v>1</v>
      </c>
      <c r="Q260" s="388">
        <f t="shared" si="7"/>
        <v>1.5384615384615385E-2</v>
      </c>
      <c r="R260" s="318">
        <v>131</v>
      </c>
      <c r="S260" s="388">
        <f t="shared" si="8"/>
        <v>1.3506547066707907E-2</v>
      </c>
      <c r="T260" s="272"/>
      <c r="U260" s="340"/>
      <c r="V260" s="5"/>
    </row>
    <row r="261" spans="1:22" ht="15.6" x14ac:dyDescent="0.3">
      <c r="A261" s="302"/>
      <c r="B261" s="317" t="s">
        <v>173</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174</v>
      </c>
      <c r="C262" s="387"/>
      <c r="D262" s="387"/>
      <c r="E262" s="387"/>
      <c r="F262" s="272"/>
      <c r="G262" s="388"/>
      <c r="H262" s="387"/>
      <c r="I262" s="387"/>
      <c r="J262" s="387"/>
      <c r="K262" s="387"/>
      <c r="L262" s="387"/>
      <c r="M262" s="387"/>
      <c r="N262" s="387"/>
      <c r="O262" s="387"/>
      <c r="P262" s="317">
        <v>4</v>
      </c>
      <c r="Q262" s="388">
        <f t="shared" si="7"/>
        <v>6.1538461538461542E-2</v>
      </c>
      <c r="R262" s="318">
        <v>704</v>
      </c>
      <c r="S262" s="388">
        <f t="shared" si="8"/>
        <v>7.2584802556964631E-2</v>
      </c>
      <c r="T262" s="272"/>
      <c r="U262" s="340"/>
      <c r="V262" s="5"/>
    </row>
    <row r="263" spans="1:22" ht="15.6" x14ac:dyDescent="0.3">
      <c r="A263" s="302"/>
      <c r="B263" s="317" t="s">
        <v>175</v>
      </c>
      <c r="C263" s="387"/>
      <c r="D263" s="387"/>
      <c r="E263" s="387"/>
      <c r="F263" s="272"/>
      <c r="G263" s="388"/>
      <c r="H263" s="387"/>
      <c r="I263" s="387"/>
      <c r="J263" s="387"/>
      <c r="K263" s="387"/>
      <c r="L263" s="387"/>
      <c r="M263" s="387"/>
      <c r="N263" s="387"/>
      <c r="O263" s="387"/>
      <c r="P263" s="317">
        <v>9</v>
      </c>
      <c r="Q263" s="388">
        <f t="shared" si="7"/>
        <v>0.13846153846153847</v>
      </c>
      <c r="R263" s="318">
        <v>1855</v>
      </c>
      <c r="S263" s="388">
        <f t="shared" si="8"/>
        <v>0.19125683060109289</v>
      </c>
      <c r="T263" s="272"/>
      <c r="U263" s="340"/>
      <c r="V263" s="5"/>
    </row>
    <row r="264" spans="1:22" ht="15.6" x14ac:dyDescent="0.3">
      <c r="A264" s="302"/>
      <c r="B264" s="317"/>
      <c r="C264" s="387"/>
      <c r="D264" s="387"/>
      <c r="E264" s="387"/>
      <c r="F264" s="272"/>
      <c r="G264" s="388"/>
      <c r="H264" s="387"/>
      <c r="I264" s="387"/>
      <c r="J264" s="387"/>
      <c r="K264" s="387"/>
      <c r="L264" s="387"/>
      <c r="M264" s="387"/>
      <c r="N264" s="387"/>
      <c r="O264" s="387"/>
      <c r="P264" s="317"/>
      <c r="Q264" s="388"/>
      <c r="R264" s="318"/>
      <c r="S264" s="388"/>
      <c r="T264" s="272"/>
      <c r="U264" s="340"/>
      <c r="V264" s="5"/>
    </row>
    <row r="265" spans="1:22" ht="15.6" x14ac:dyDescent="0.3">
      <c r="A265" s="302"/>
      <c r="B265" s="272"/>
      <c r="C265" s="272"/>
      <c r="D265" s="272"/>
      <c r="E265" s="272"/>
      <c r="F265" s="272"/>
      <c r="G265" s="272"/>
      <c r="H265" s="390"/>
      <c r="I265" s="390"/>
      <c r="J265" s="390"/>
      <c r="K265" s="390"/>
      <c r="L265" s="390"/>
      <c r="M265" s="390"/>
      <c r="N265" s="390"/>
      <c r="O265" s="390"/>
      <c r="P265" s="317">
        <f>SUM(P256:P264)</f>
        <v>65</v>
      </c>
      <c r="Q265" s="388">
        <f>SUM(Q256:Q264)</f>
        <v>1</v>
      </c>
      <c r="R265" s="318">
        <f>SUM(R256:R264)</f>
        <v>9699</v>
      </c>
      <c r="S265" s="388">
        <f>SUM(S256:S264)</f>
        <v>1</v>
      </c>
      <c r="T265" s="272"/>
      <c r="U265" s="340"/>
      <c r="V265" s="5"/>
    </row>
    <row r="266" spans="1:22" ht="15.6" x14ac:dyDescent="0.3">
      <c r="A266" s="233"/>
      <c r="B266" s="268"/>
      <c r="C266" s="268"/>
      <c r="D266" s="268"/>
      <c r="E266" s="268"/>
      <c r="F266" s="268"/>
      <c r="G266" s="268"/>
      <c r="H266" s="391"/>
      <c r="I266" s="391"/>
      <c r="J266" s="391"/>
      <c r="K266" s="391"/>
      <c r="L266" s="391"/>
      <c r="M266" s="391"/>
      <c r="N266" s="391"/>
      <c r="O266" s="391"/>
      <c r="P266" s="333"/>
      <c r="Q266" s="392"/>
      <c r="R266" s="393"/>
      <c r="S266" s="392"/>
      <c r="T266" s="268"/>
      <c r="U266" s="314"/>
      <c r="V266" s="5"/>
    </row>
    <row r="267" spans="1:22" ht="15.6" x14ac:dyDescent="0.3">
      <c r="A267" s="263"/>
      <c r="B267" s="259" t="s">
        <v>179</v>
      </c>
      <c r="C267" s="264"/>
      <c r="D267" s="264"/>
      <c r="E267" s="264"/>
      <c r="F267" s="264"/>
      <c r="G267" s="264"/>
      <c r="H267" s="266"/>
      <c r="I267" s="266"/>
      <c r="J267" s="266"/>
      <c r="K267" s="266"/>
      <c r="L267" s="266"/>
      <c r="M267" s="266"/>
      <c r="N267" s="266"/>
      <c r="O267" s="266"/>
      <c r="P267" s="261" t="s">
        <v>108</v>
      </c>
      <c r="Q267" s="260" t="s">
        <v>109</v>
      </c>
      <c r="R267" s="261" t="s">
        <v>117</v>
      </c>
      <c r="S267" s="260" t="s">
        <v>109</v>
      </c>
      <c r="T267" s="264"/>
      <c r="U267" s="265"/>
      <c r="V267" s="5"/>
    </row>
    <row r="268" spans="1:22" ht="15.6" x14ac:dyDescent="0.3">
      <c r="A268" s="232"/>
      <c r="B268" s="231" t="s">
        <v>94</v>
      </c>
      <c r="C268" s="228"/>
      <c r="D268" s="228"/>
      <c r="E268" s="228"/>
      <c r="F268" s="228"/>
      <c r="G268" s="228"/>
      <c r="H268" s="251"/>
      <c r="I268" s="251"/>
      <c r="J268" s="251"/>
      <c r="K268" s="251"/>
      <c r="L268" s="251"/>
      <c r="M268" s="251"/>
      <c r="N268" s="251"/>
      <c r="O268" s="251"/>
      <c r="P268" s="231">
        <v>0</v>
      </c>
      <c r="Q268" s="250">
        <v>0</v>
      </c>
      <c r="R268" s="242">
        <v>0</v>
      </c>
      <c r="S268" s="250">
        <v>0</v>
      </c>
      <c r="T268" s="228"/>
      <c r="U268" s="194"/>
      <c r="V268" s="5"/>
    </row>
    <row r="269" spans="1:22" ht="15.6" x14ac:dyDescent="0.3">
      <c r="A269" s="302"/>
      <c r="B269" s="317" t="s">
        <v>95</v>
      </c>
      <c r="C269" s="272"/>
      <c r="D269" s="272"/>
      <c r="E269" s="272"/>
      <c r="F269" s="272"/>
      <c r="G269" s="272"/>
      <c r="H269" s="390"/>
      <c r="I269" s="390"/>
      <c r="J269" s="390"/>
      <c r="K269" s="390"/>
      <c r="L269" s="390"/>
      <c r="M269" s="390"/>
      <c r="N269" s="390"/>
      <c r="O269" s="390"/>
      <c r="P269" s="317">
        <v>0</v>
      </c>
      <c r="Q269" s="388">
        <v>0</v>
      </c>
      <c r="R269" s="318">
        <v>0</v>
      </c>
      <c r="S269" s="388">
        <v>0</v>
      </c>
      <c r="T269" s="272"/>
      <c r="U269" s="340"/>
      <c r="V269" s="5"/>
    </row>
    <row r="270" spans="1:22" ht="15.6" x14ac:dyDescent="0.3">
      <c r="A270" s="302"/>
      <c r="B270" s="317" t="s">
        <v>96</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171</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172</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173</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174</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175</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c r="C276" s="272"/>
      <c r="D276" s="272"/>
      <c r="E276" s="272"/>
      <c r="F276" s="272"/>
      <c r="G276" s="272"/>
      <c r="H276" s="390"/>
      <c r="I276" s="390"/>
      <c r="J276" s="390"/>
      <c r="K276" s="390"/>
      <c r="L276" s="390"/>
      <c r="M276" s="390"/>
      <c r="N276" s="390"/>
      <c r="O276" s="390"/>
      <c r="P276" s="317"/>
      <c r="Q276" s="388"/>
      <c r="R276" s="318"/>
      <c r="S276" s="388"/>
      <c r="T276" s="272"/>
      <c r="U276" s="340"/>
      <c r="V276" s="5"/>
    </row>
    <row r="277" spans="1:22" ht="15.6" x14ac:dyDescent="0.3">
      <c r="A277" s="302"/>
      <c r="B277" s="272" t="s">
        <v>123</v>
      </c>
      <c r="C277" s="272"/>
      <c r="D277" s="272"/>
      <c r="E277" s="272"/>
      <c r="F277" s="272"/>
      <c r="G277" s="272"/>
      <c r="H277" s="390"/>
      <c r="I277" s="390"/>
      <c r="J277" s="390"/>
      <c r="K277" s="390"/>
      <c r="L277" s="390"/>
      <c r="M277" s="390"/>
      <c r="N277" s="390"/>
      <c r="O277" s="390"/>
      <c r="P277" s="317">
        <f>SUM(P268:P275)</f>
        <v>0</v>
      </c>
      <c r="Q277" s="388">
        <f>SUM(Q268:Q275)</f>
        <v>0</v>
      </c>
      <c r="R277" s="318">
        <f>SUM(R268:R275)</f>
        <v>0</v>
      </c>
      <c r="S277" s="388">
        <f>SUM(S268:S275)</f>
        <v>0</v>
      </c>
      <c r="T277" s="272"/>
      <c r="U277" s="340"/>
      <c r="V277" s="5"/>
    </row>
    <row r="278" spans="1:22" ht="15.6" x14ac:dyDescent="0.3">
      <c r="A278" s="302"/>
      <c r="B278" s="272"/>
      <c r="C278" s="272"/>
      <c r="D278" s="272"/>
      <c r="E278" s="272"/>
      <c r="F278" s="272"/>
      <c r="G278" s="272"/>
      <c r="H278" s="390"/>
      <c r="I278" s="390"/>
      <c r="J278" s="390"/>
      <c r="K278" s="390"/>
      <c r="L278" s="390"/>
      <c r="M278" s="390"/>
      <c r="N278" s="390"/>
      <c r="O278" s="390"/>
      <c r="P278" s="317"/>
      <c r="Q278" s="388"/>
      <c r="R278" s="318"/>
      <c r="S278" s="388"/>
      <c r="T278" s="272"/>
      <c r="U278" s="340"/>
      <c r="V278" s="5"/>
    </row>
    <row r="279" spans="1:22" ht="15.6" x14ac:dyDescent="0.3">
      <c r="A279" s="302"/>
      <c r="B279" s="277" t="s">
        <v>180</v>
      </c>
      <c r="C279" s="272"/>
      <c r="D279" s="272"/>
      <c r="E279" s="272"/>
      <c r="F279" s="272"/>
      <c r="G279" s="272"/>
      <c r="H279" s="390"/>
      <c r="I279" s="390"/>
      <c r="J279" s="390"/>
      <c r="K279" s="390"/>
      <c r="L279" s="390"/>
      <c r="M279" s="390"/>
      <c r="N279" s="390"/>
      <c r="O279" s="390"/>
      <c r="P279" s="399">
        <f>+P253+P265+P277</f>
        <v>2557</v>
      </c>
      <c r="Q279" s="388"/>
      <c r="R279" s="396">
        <f>+R277+R265+R253</f>
        <v>309192</v>
      </c>
      <c r="S279" s="388"/>
      <c r="T279" s="272"/>
      <c r="U279" s="340"/>
      <c r="V279" s="5"/>
    </row>
    <row r="280" spans="1:22" ht="15.6" x14ac:dyDescent="0.3">
      <c r="A280" s="233"/>
      <c r="B280" s="268"/>
      <c r="C280" s="268"/>
      <c r="D280" s="268"/>
      <c r="E280" s="268"/>
      <c r="F280" s="268"/>
      <c r="G280" s="268"/>
      <c r="H280" s="391"/>
      <c r="I280" s="391"/>
      <c r="J280" s="391"/>
      <c r="K280" s="391"/>
      <c r="L280" s="391"/>
      <c r="M280" s="391"/>
      <c r="N280" s="391"/>
      <c r="O280" s="391"/>
      <c r="P280" s="391"/>
      <c r="Q280" s="391"/>
      <c r="R280" s="393"/>
      <c r="S280" s="391"/>
      <c r="T280" s="268"/>
      <c r="U280" s="314"/>
      <c r="V280" s="5"/>
    </row>
    <row r="281" spans="1:22" ht="15.6" x14ac:dyDescent="0.3">
      <c r="A281" s="233"/>
      <c r="B281" s="234"/>
      <c r="C281" s="234"/>
      <c r="D281" s="234"/>
      <c r="E281" s="234"/>
      <c r="F281" s="234"/>
      <c r="G281" s="234"/>
      <c r="H281" s="252"/>
      <c r="I281" s="252"/>
      <c r="J281" s="252"/>
      <c r="K281" s="252"/>
      <c r="L281" s="252"/>
      <c r="M281" s="252"/>
      <c r="N281" s="252"/>
      <c r="O281" s="252"/>
      <c r="P281" s="252"/>
      <c r="Q281" s="252"/>
      <c r="R281" s="253"/>
      <c r="S281" s="252"/>
      <c r="T281" s="234"/>
      <c r="U281" s="179"/>
      <c r="V281" s="5"/>
    </row>
    <row r="282" spans="1:22" ht="15.6" x14ac:dyDescent="0.3">
      <c r="A282" s="254"/>
      <c r="B282" s="220" t="s">
        <v>97</v>
      </c>
      <c r="C282" s="234"/>
      <c r="D282" s="234"/>
      <c r="E282" s="234"/>
      <c r="F282" s="225" t="s">
        <v>103</v>
      </c>
      <c r="G282" s="234"/>
      <c r="H282" s="220" t="s">
        <v>105</v>
      </c>
      <c r="I282" s="255"/>
      <c r="J282" s="255"/>
      <c r="K282" s="255"/>
      <c r="L282" s="255"/>
      <c r="M282" s="255"/>
      <c r="N282" s="255"/>
      <c r="O282" s="255"/>
      <c r="P282" s="255"/>
      <c r="Q282" s="255"/>
      <c r="R282" s="255"/>
      <c r="S282" s="255"/>
      <c r="T282" s="255"/>
      <c r="U282" s="192"/>
      <c r="V282" s="5"/>
    </row>
    <row r="283" spans="1:22" ht="15.6" x14ac:dyDescent="0.3">
      <c r="A283" s="254"/>
      <c r="B283" s="255"/>
      <c r="C283" s="234"/>
      <c r="D283" s="234"/>
      <c r="E283" s="234"/>
      <c r="F283" s="234"/>
      <c r="G283" s="234"/>
      <c r="H283" s="234"/>
      <c r="I283" s="255"/>
      <c r="J283" s="255"/>
      <c r="K283" s="255"/>
      <c r="L283" s="255"/>
      <c r="M283" s="255"/>
      <c r="N283" s="255"/>
      <c r="O283" s="255"/>
      <c r="P283" s="255"/>
      <c r="Q283" s="255"/>
      <c r="R283" s="255"/>
      <c r="S283" s="255"/>
      <c r="T283" s="255"/>
      <c r="U283" s="192"/>
      <c r="V283" s="5"/>
    </row>
    <row r="284" spans="1:22" ht="15.6" x14ac:dyDescent="0.3">
      <c r="A284" s="254"/>
      <c r="B284" s="220" t="s">
        <v>98</v>
      </c>
      <c r="C284" s="220"/>
      <c r="D284" s="220"/>
      <c r="E284" s="220"/>
      <c r="F284" s="256" t="s">
        <v>159</v>
      </c>
      <c r="G284" s="220"/>
      <c r="H284" s="220" t="s">
        <v>167</v>
      </c>
      <c r="I284" s="255"/>
      <c r="J284" s="255"/>
      <c r="K284" s="255"/>
      <c r="L284" s="255"/>
      <c r="M284" s="255"/>
      <c r="N284" s="255"/>
      <c r="O284" s="255"/>
      <c r="P284" s="255"/>
      <c r="Q284" s="255"/>
      <c r="R284" s="255"/>
      <c r="S284" s="255"/>
      <c r="T284" s="255"/>
      <c r="U284" s="192"/>
      <c r="V284" s="5"/>
    </row>
    <row r="285" spans="1:22" ht="15.6" x14ac:dyDescent="0.3">
      <c r="A285" s="254"/>
      <c r="B285" s="220" t="s">
        <v>273</v>
      </c>
      <c r="C285" s="220"/>
      <c r="D285" s="220"/>
      <c r="E285" s="220"/>
      <c r="F285" s="256" t="s">
        <v>274</v>
      </c>
      <c r="G285" s="220"/>
      <c r="H285" s="220" t="s">
        <v>275</v>
      </c>
      <c r="I285" s="255"/>
      <c r="J285" s="255"/>
      <c r="K285" s="255"/>
      <c r="L285" s="255"/>
      <c r="M285" s="255"/>
      <c r="N285" s="255"/>
      <c r="O285" s="255"/>
      <c r="P285" s="255"/>
      <c r="Q285" s="255"/>
      <c r="R285" s="255"/>
      <c r="S285" s="255"/>
      <c r="T285" s="255"/>
      <c r="U285" s="192"/>
      <c r="V285" s="5"/>
    </row>
    <row r="286" spans="1:22" ht="15.6" x14ac:dyDescent="0.3">
      <c r="A286" s="254"/>
      <c r="B286" s="220" t="s">
        <v>99</v>
      </c>
      <c r="C286" s="220"/>
      <c r="D286" s="220"/>
      <c r="E286" s="220"/>
      <c r="F286" s="256" t="s">
        <v>158</v>
      </c>
      <c r="G286" s="220"/>
      <c r="H286" s="220" t="s">
        <v>168</v>
      </c>
      <c r="I286" s="255"/>
      <c r="J286" s="255"/>
      <c r="K286" s="255"/>
      <c r="L286" s="255"/>
      <c r="M286" s="255"/>
      <c r="N286" s="255"/>
      <c r="O286" s="255"/>
      <c r="P286" s="255"/>
      <c r="Q286" s="255"/>
      <c r="R286" s="255"/>
      <c r="S286" s="255"/>
      <c r="T286" s="255"/>
      <c r="U286" s="192"/>
      <c r="V286" s="5"/>
    </row>
    <row r="287" spans="1:22" ht="15.6" x14ac:dyDescent="0.3">
      <c r="A287" s="254"/>
      <c r="B287" s="220"/>
      <c r="C287" s="220"/>
      <c r="D287" s="220"/>
      <c r="E287" s="220"/>
      <c r="F287" s="220"/>
      <c r="G287" s="257"/>
      <c r="H287" s="255"/>
      <c r="I287" s="255"/>
      <c r="J287" s="255"/>
      <c r="K287" s="255"/>
      <c r="L287" s="255"/>
      <c r="M287" s="255"/>
      <c r="N287" s="255"/>
      <c r="O287" s="255"/>
      <c r="P287" s="255"/>
      <c r="Q287" s="255"/>
      <c r="R287" s="255"/>
      <c r="S287" s="255"/>
      <c r="T287" s="255"/>
      <c r="U287" s="192"/>
      <c r="V287" s="5"/>
    </row>
    <row r="288" spans="1:22" ht="15.6" x14ac:dyDescent="0.3">
      <c r="A288" s="216"/>
      <c r="B288" s="185"/>
      <c r="C288" s="185"/>
      <c r="D288" s="185"/>
      <c r="E288" s="185"/>
      <c r="F288" s="185"/>
      <c r="G288" s="217"/>
      <c r="H288" s="192"/>
      <c r="I288" s="192"/>
      <c r="J288" s="192"/>
      <c r="K288" s="192"/>
      <c r="L288" s="192"/>
      <c r="M288" s="192"/>
      <c r="N288" s="192"/>
      <c r="O288" s="192"/>
      <c r="P288" s="192"/>
      <c r="Q288" s="192"/>
      <c r="R288" s="192"/>
      <c r="S288" s="192"/>
      <c r="T288" s="192"/>
      <c r="U288" s="192"/>
      <c r="V288" s="5"/>
    </row>
    <row r="289" spans="1:22" ht="18" thickBot="1" x14ac:dyDescent="0.35">
      <c r="A289" s="216"/>
      <c r="B289" s="267" t="str">
        <f>B194</f>
        <v>PM9 INVESTOR REPORT QUARTER ENDING APRIL 2012</v>
      </c>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x14ac:dyDescent="0.25">
      <c r="A290" s="101"/>
      <c r="B290" s="101"/>
      <c r="C290" s="101"/>
      <c r="D290" s="101"/>
      <c r="E290" s="101"/>
      <c r="F290" s="101"/>
      <c r="G290" s="101"/>
      <c r="H290" s="101"/>
      <c r="I290" s="101"/>
      <c r="J290" s="101"/>
      <c r="K290" s="101"/>
      <c r="L290" s="101"/>
      <c r="M290" s="101"/>
      <c r="N290" s="101"/>
      <c r="O290" s="101"/>
      <c r="P290" s="101"/>
      <c r="Q290" s="101"/>
      <c r="R290" s="101"/>
      <c r="S290" s="101"/>
      <c r="T290" s="101"/>
      <c r="U290" s="101"/>
    </row>
  </sheetData>
  <hyperlinks>
    <hyperlink ref="J9" r:id="rId1" xr:uid="{00000000-0004-0000-1A00-000000000000}"/>
    <hyperlink ref="N229" r:id="rId2" xr:uid="{00000000-0004-0000-1A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1" man="1"/>
    <brk id="133" max="14" man="1"/>
    <brk id="194" max="14"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2D2926"/>
  </sheetPr>
  <dimension ref="A1:W290"/>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0.72009999999999996</v>
      </c>
      <c r="R16" s="225" t="s">
        <v>149</v>
      </c>
      <c r="S16" s="224">
        <v>0.27989999999999998</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41143</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150</v>
      </c>
      <c r="E25" s="398"/>
      <c r="F25" s="398" t="s">
        <v>150</v>
      </c>
      <c r="G25" s="398"/>
      <c r="H25" s="398" t="s">
        <v>150</v>
      </c>
      <c r="I25" s="398"/>
      <c r="J25" s="398" t="s">
        <v>192</v>
      </c>
      <c r="K25" s="398"/>
      <c r="L25" s="398" t="s">
        <v>192</v>
      </c>
      <c r="M25" s="398"/>
      <c r="N25" s="398" t="s">
        <v>151</v>
      </c>
      <c r="O25" s="398"/>
      <c r="P25" s="398" t="s">
        <v>151</v>
      </c>
      <c r="Q25" s="398"/>
      <c r="R25" s="273"/>
      <c r="S25" s="274"/>
      <c r="T25" s="274"/>
      <c r="U25" s="275"/>
      <c r="V25" s="5"/>
    </row>
    <row r="26" spans="1:22" ht="15.6" x14ac:dyDescent="0.3">
      <c r="A26" s="276"/>
      <c r="B26" s="277" t="s">
        <v>10</v>
      </c>
      <c r="C26" s="398"/>
      <c r="D26" s="398" t="s">
        <v>312</v>
      </c>
      <c r="E26" s="398"/>
      <c r="F26" s="398" t="s">
        <v>312</v>
      </c>
      <c r="G26" s="398"/>
      <c r="H26" s="398" t="s">
        <v>312</v>
      </c>
      <c r="I26" s="398"/>
      <c r="J26" s="398" t="s">
        <v>312</v>
      </c>
      <c r="K26" s="398"/>
      <c r="L26" s="398" t="s">
        <v>312</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134325.43479999999</v>
      </c>
      <c r="E30" s="280"/>
      <c r="F30" s="282">
        <f>F29*F36</f>
        <v>137819.44899999999</v>
      </c>
      <c r="G30" s="281"/>
      <c r="H30" s="283">
        <f>H29*H36</f>
        <v>23293.361999999997</v>
      </c>
      <c r="I30" s="281"/>
      <c r="J30" s="281">
        <f>J29*J36</f>
        <v>6183.8420000000006</v>
      </c>
      <c r="K30" s="281"/>
      <c r="L30" s="282">
        <f>L29*L36</f>
        <v>26060.476999999999</v>
      </c>
      <c r="M30" s="281"/>
      <c r="N30" s="284">
        <f>N29*N36</f>
        <v>2650.2179999999998</v>
      </c>
      <c r="O30" s="281"/>
      <c r="P30" s="282">
        <f>P29*P36</f>
        <v>58304.796000000002</v>
      </c>
      <c r="Q30" s="281"/>
      <c r="R30" s="281"/>
      <c r="S30" s="285"/>
      <c r="T30" s="281"/>
      <c r="U30" s="286"/>
      <c r="V30" s="5"/>
    </row>
    <row r="31" spans="1:22" ht="15.6" x14ac:dyDescent="0.3">
      <c r="A31" s="276"/>
      <c r="B31" s="277" t="s">
        <v>143</v>
      </c>
      <c r="C31" s="287"/>
      <c r="D31" s="288">
        <f>D35*D29</f>
        <v>133528.25079999998</v>
      </c>
      <c r="E31" s="287"/>
      <c r="F31" s="289">
        <f>F35*F29</f>
        <v>137001.52899999998</v>
      </c>
      <c r="G31" s="288"/>
      <c r="H31" s="290">
        <f>H35*H29</f>
        <v>23155.121999999999</v>
      </c>
      <c r="I31" s="288"/>
      <c r="J31" s="288">
        <f>J35*J29</f>
        <v>6147.1424000000006</v>
      </c>
      <c r="K31" s="288"/>
      <c r="L31" s="289">
        <f>L35*L29</f>
        <v>25905.814399999999</v>
      </c>
      <c r="M31" s="288"/>
      <c r="N31" s="291">
        <f>N35*N29</f>
        <v>2634.4895999999999</v>
      </c>
      <c r="O31" s="288"/>
      <c r="P31" s="289">
        <f>P35*P29</f>
        <v>57958.771200000003</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134325.43479999999</v>
      </c>
      <c r="E33" s="280"/>
      <c r="F33" s="281">
        <f>F32*F36</f>
        <v>94920.719100000002</v>
      </c>
      <c r="G33" s="281"/>
      <c r="H33" s="281">
        <f>H32*H36</f>
        <v>13160.749529999999</v>
      </c>
      <c r="I33" s="281"/>
      <c r="J33" s="281">
        <f>J32*J36</f>
        <v>6183.8420000000006</v>
      </c>
      <c r="K33" s="281"/>
      <c r="L33" s="281">
        <f>L32*L36</f>
        <v>17933.141800000001</v>
      </c>
      <c r="M33" s="281"/>
      <c r="N33" s="281">
        <f>N32*N36</f>
        <v>2650.2179999999998</v>
      </c>
      <c r="O33" s="281"/>
      <c r="P33" s="281">
        <f>P32*P36</f>
        <v>40018.291799999999</v>
      </c>
      <c r="Q33" s="281"/>
      <c r="R33" s="281"/>
      <c r="S33" s="285"/>
      <c r="T33" s="281">
        <f>SUM(C33:P33)</f>
        <v>309192.39702999999</v>
      </c>
      <c r="U33" s="286"/>
      <c r="V33" s="5"/>
    </row>
    <row r="34" spans="1:22" ht="15.6" x14ac:dyDescent="0.3">
      <c r="A34" s="276"/>
      <c r="B34" s="277" t="s">
        <v>291</v>
      </c>
      <c r="C34" s="287"/>
      <c r="D34" s="288">
        <f>D35*D32</f>
        <v>133528.25079999998</v>
      </c>
      <c r="E34" s="287"/>
      <c r="F34" s="288">
        <f>F35*F32</f>
        <v>94357.391099999993</v>
      </c>
      <c r="G34" s="288"/>
      <c r="H34" s="288">
        <f>H35*H32</f>
        <v>13082.64393</v>
      </c>
      <c r="I34" s="288"/>
      <c r="J34" s="288">
        <f>J35*J32</f>
        <v>6147.1424000000006</v>
      </c>
      <c r="K34" s="288"/>
      <c r="L34" s="288">
        <f>L35*L32</f>
        <v>17826.712960000001</v>
      </c>
      <c r="M34" s="288"/>
      <c r="N34" s="288">
        <f>N35*N32</f>
        <v>2634.4895999999999</v>
      </c>
      <c r="O34" s="288"/>
      <c r="P34" s="288">
        <f>P35*P32</f>
        <v>39780.792959999999</v>
      </c>
      <c r="Q34" s="288"/>
      <c r="R34" s="288"/>
      <c r="S34" s="292"/>
      <c r="T34" s="288">
        <f>SUM(C34:P34)</f>
        <v>307357.42374999996</v>
      </c>
      <c r="U34" s="286"/>
      <c r="V34" s="5"/>
    </row>
    <row r="35" spans="1:22" ht="15.6" x14ac:dyDescent="0.3">
      <c r="A35" s="276"/>
      <c r="B35" s="293" t="s">
        <v>139</v>
      </c>
      <c r="C35" s="294"/>
      <c r="D35" s="295">
        <v>0.38591979999999998</v>
      </c>
      <c r="E35" s="296"/>
      <c r="F35" s="295">
        <v>0.38591979999999998</v>
      </c>
      <c r="G35" s="295"/>
      <c r="H35" s="295">
        <v>0.3859187</v>
      </c>
      <c r="I35" s="297"/>
      <c r="J35" s="295">
        <v>0.87816320000000003</v>
      </c>
      <c r="K35" s="297"/>
      <c r="L35" s="295">
        <v>0.87816320000000003</v>
      </c>
      <c r="M35" s="297"/>
      <c r="N35" s="295">
        <v>0.87816320000000003</v>
      </c>
      <c r="O35" s="297"/>
      <c r="P35" s="295">
        <v>0.87816320000000003</v>
      </c>
      <c r="Q35" s="298"/>
      <c r="R35" s="298"/>
      <c r="S35" s="299"/>
      <c r="T35" s="298"/>
      <c r="U35" s="300"/>
      <c r="V35" s="5"/>
    </row>
    <row r="36" spans="1:22" ht="15.6" x14ac:dyDescent="0.3">
      <c r="A36" s="276"/>
      <c r="B36" s="293" t="s">
        <v>140</v>
      </c>
      <c r="C36" s="294"/>
      <c r="D36" s="295">
        <v>0.38822380000000001</v>
      </c>
      <c r="E36" s="296"/>
      <c r="F36" s="295">
        <v>0.38822380000000001</v>
      </c>
      <c r="G36" s="295"/>
      <c r="H36" s="295">
        <v>0.38822269999999998</v>
      </c>
      <c r="I36" s="297"/>
      <c r="J36" s="295">
        <v>0.88340600000000002</v>
      </c>
      <c r="K36" s="297"/>
      <c r="L36" s="295">
        <v>0.88340600000000002</v>
      </c>
      <c r="M36" s="297"/>
      <c r="N36" s="295">
        <v>0.88340600000000002</v>
      </c>
      <c r="O36" s="297"/>
      <c r="P36" s="295">
        <v>0.88340600000000002</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1.3675E-2</v>
      </c>
      <c r="E38" s="272"/>
      <c r="F38" s="303">
        <v>1.0500000000000001E-2</v>
      </c>
      <c r="G38" s="304"/>
      <c r="H38" s="303">
        <v>8.2684999999999998E-3</v>
      </c>
      <c r="I38" s="304"/>
      <c r="J38" s="303">
        <v>1.5875E-2</v>
      </c>
      <c r="K38" s="304"/>
      <c r="L38" s="303">
        <v>1.2699999999999999E-2</v>
      </c>
      <c r="M38" s="304"/>
      <c r="N38" s="303">
        <v>2.0475E-2</v>
      </c>
      <c r="O38" s="304"/>
      <c r="P38" s="303">
        <v>1.7299999999999999E-2</v>
      </c>
      <c r="Q38" s="304"/>
      <c r="R38" s="303"/>
      <c r="S38" s="274"/>
      <c r="T38" s="304"/>
      <c r="U38" s="275"/>
      <c r="V38" s="5"/>
    </row>
    <row r="39" spans="1:22" ht="15.6" x14ac:dyDescent="0.3">
      <c r="A39" s="302"/>
      <c r="B39" s="272" t="s">
        <v>14</v>
      </c>
      <c r="C39" s="272"/>
      <c r="D39" s="303">
        <v>1.43581E-2</v>
      </c>
      <c r="E39" s="272"/>
      <c r="F39" s="303">
        <v>1.417E-2</v>
      </c>
      <c r="G39" s="304"/>
      <c r="H39" s="303">
        <v>8.626E-3</v>
      </c>
      <c r="I39" s="304"/>
      <c r="J39" s="303">
        <v>1.6558099999999999E-2</v>
      </c>
      <c r="K39" s="304"/>
      <c r="L39" s="303">
        <v>1.6369999999999999E-2</v>
      </c>
      <c r="M39" s="304"/>
      <c r="N39" s="303">
        <v>2.1158099999999999E-2</v>
      </c>
      <c r="O39" s="304"/>
      <c r="P39" s="303">
        <v>2.0969999999999999E-2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1.3675E-2</v>
      </c>
      <c r="E41" s="272"/>
      <c r="F41" s="303">
        <v>1.3875E-2</v>
      </c>
      <c r="G41" s="304"/>
      <c r="H41" s="303">
        <v>1.4135E-2</v>
      </c>
      <c r="I41" s="304"/>
      <c r="J41" s="303">
        <f>+J38</f>
        <v>1.5875E-2</v>
      </c>
      <c r="K41" s="304"/>
      <c r="L41" s="303">
        <v>1.6465E-2</v>
      </c>
      <c r="M41" s="304"/>
      <c r="N41" s="303">
        <f>+N38</f>
        <v>2.0475E-2</v>
      </c>
      <c r="O41" s="304"/>
      <c r="P41" s="303">
        <v>2.1354999999999999E-2</v>
      </c>
      <c r="Q41" s="304"/>
      <c r="R41" s="303"/>
      <c r="S41" s="274"/>
      <c r="T41" s="304">
        <f>SUMPRODUCT(D41:P41,D33:P33)/T33</f>
        <v>1.5014094926094276E-2</v>
      </c>
      <c r="U41" s="275"/>
      <c r="V41" s="5"/>
    </row>
    <row r="42" spans="1:22" ht="15.6" x14ac:dyDescent="0.3">
      <c r="A42" s="302"/>
      <c r="B42" s="272" t="s">
        <v>294</v>
      </c>
      <c r="C42" s="272"/>
      <c r="D42" s="303">
        <f>+D39</f>
        <v>1.43581E-2</v>
      </c>
      <c r="E42" s="272"/>
      <c r="F42" s="303">
        <v>1.4558099999999999E-2</v>
      </c>
      <c r="G42" s="304"/>
      <c r="H42" s="303">
        <v>1.4818100000000001E-2</v>
      </c>
      <c r="I42" s="304"/>
      <c r="J42" s="303">
        <f>+J39</f>
        <v>1.6558099999999999E-2</v>
      </c>
      <c r="K42" s="304"/>
      <c r="L42" s="303">
        <v>1.7148099999999999E-2</v>
      </c>
      <c r="M42" s="304"/>
      <c r="N42" s="303">
        <f>+N39</f>
        <v>2.1158099999999999E-2</v>
      </c>
      <c r="O42" s="304"/>
      <c r="P42" s="303">
        <v>2.2038100000000001E-2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0.27550985679018647</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41136</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90</v>
      </c>
      <c r="Q54" s="272"/>
      <c r="R54" s="312">
        <v>40954</v>
      </c>
      <c r="S54" s="313"/>
      <c r="T54" s="312">
        <v>41043</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92</v>
      </c>
      <c r="Q55" s="272"/>
      <c r="R55" s="312">
        <v>41044</v>
      </c>
      <c r="S55" s="313"/>
      <c r="T55" s="312">
        <v>41135</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41122</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313</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309192</v>
      </c>
      <c r="M65" s="317"/>
      <c r="N65" s="317">
        <f>1835+20</f>
        <v>1855</v>
      </c>
      <c r="O65" s="317"/>
      <c r="P65" s="317">
        <v>20</v>
      </c>
      <c r="Q65" s="317"/>
      <c r="R65" s="317">
        <v>0</v>
      </c>
      <c r="S65" s="317"/>
      <c r="T65" s="318">
        <f>+L65-N65+P65-R65</f>
        <v>307357</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309192</v>
      </c>
      <c r="M68" s="317"/>
      <c r="N68" s="317">
        <f>SUM(N65:N67)</f>
        <v>1855</v>
      </c>
      <c r="O68" s="317"/>
      <c r="P68" s="317">
        <f>SUM(P65:P67)</f>
        <v>20</v>
      </c>
      <c r="Q68" s="317"/>
      <c r="R68" s="317">
        <f>SUM(R65:R67)</f>
        <v>0</v>
      </c>
      <c r="S68" s="317"/>
      <c r="T68" s="317">
        <f>SUM(T65:T67)</f>
        <v>307357</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309192</v>
      </c>
      <c r="M81" s="317"/>
      <c r="N81" s="317"/>
      <c r="O81" s="317"/>
      <c r="P81" s="317"/>
      <c r="Q81" s="317"/>
      <c r="R81" s="317"/>
      <c r="S81" s="317"/>
      <c r="T81" s="317">
        <f>SUM(T68:T80)</f>
        <v>307357</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+R195</f>
        <v>41121</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1855-20</f>
        <v>1835</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1876+748-371-138</f>
        <v>2115</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13+4</f>
        <v>17</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27</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198</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1835</v>
      </c>
      <c r="S93" s="272"/>
      <c r="T93" s="317">
        <f>SUM(T85:T92)</f>
        <v>2357</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-1</v>
      </c>
      <c r="S94" s="272"/>
      <c r="T94" s="317">
        <f>-R94</f>
        <v>1</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-20</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1834</v>
      </c>
      <c r="S97" s="272"/>
      <c r="T97" s="317">
        <f>T93+T95+T94+T96</f>
        <v>2338</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160</v>
      </c>
      <c r="C101" s="272"/>
      <c r="D101" s="272"/>
      <c r="E101" s="272"/>
      <c r="F101" s="272"/>
      <c r="G101" s="272"/>
      <c r="H101" s="272"/>
      <c r="I101" s="272"/>
      <c r="J101" s="272"/>
      <c r="K101" s="272"/>
      <c r="L101" s="272"/>
      <c r="M101" s="272"/>
      <c r="N101" s="272"/>
      <c r="O101" s="272"/>
      <c r="P101" s="272"/>
      <c r="Q101" s="272"/>
      <c r="R101" s="272"/>
      <c r="S101" s="272"/>
      <c r="T101" s="318">
        <f>-119-125-4</f>
        <v>-248</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-44</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-1</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-463</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-332</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-47</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-25</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-74</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-14</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-215</v>
      </c>
      <c r="U110" s="340"/>
      <c r="V110" s="5"/>
      <c r="W110" s="110"/>
    </row>
    <row r="111" spans="1:23" ht="15.6" x14ac:dyDescent="0.3">
      <c r="A111" s="302">
        <v>7</v>
      </c>
      <c r="B111" s="272" t="s">
        <v>38</v>
      </c>
      <c r="C111" s="272"/>
      <c r="D111" s="272"/>
      <c r="E111" s="272"/>
      <c r="F111" s="272"/>
      <c r="G111" s="272"/>
      <c r="H111" s="272"/>
      <c r="I111" s="272"/>
      <c r="J111" s="272"/>
      <c r="K111" s="272"/>
      <c r="L111" s="272"/>
      <c r="M111" s="272"/>
      <c r="N111" s="272"/>
      <c r="O111" s="272"/>
      <c r="P111" s="272"/>
      <c r="Q111" s="272"/>
      <c r="R111" s="272"/>
      <c r="S111" s="272"/>
      <c r="T111" s="318">
        <v>-6</v>
      </c>
      <c r="U111" s="340"/>
      <c r="V111" s="5"/>
    </row>
    <row r="112" spans="1:23" ht="15.6" x14ac:dyDescent="0.3">
      <c r="A112" s="302">
        <f t="shared" ref="A112:A117" si="0">+A111+1</f>
        <v>8</v>
      </c>
      <c r="B112" s="272" t="s">
        <v>49</v>
      </c>
      <c r="C112" s="272"/>
      <c r="D112" s="272"/>
      <c r="E112" s="272"/>
      <c r="F112" s="272"/>
      <c r="G112" s="272"/>
      <c r="H112" s="272"/>
      <c r="I112" s="272"/>
      <c r="J112" s="272"/>
      <c r="K112" s="272"/>
      <c r="L112" s="272"/>
      <c r="M112" s="272"/>
      <c r="N112" s="272"/>
      <c r="O112" s="272"/>
      <c r="P112" s="272"/>
      <c r="Q112" s="272"/>
      <c r="R112" s="317">
        <f>-T112</f>
        <v>20</v>
      </c>
      <c r="S112" s="272"/>
      <c r="T112" s="318">
        <v>-20</v>
      </c>
      <c r="U112" s="340"/>
      <c r="V112" s="5"/>
    </row>
    <row r="113" spans="1:22" ht="15.6" x14ac:dyDescent="0.3">
      <c r="A113" s="302">
        <f t="shared" si="0"/>
        <v>9</v>
      </c>
      <c r="B113" s="272" t="s">
        <v>134</v>
      </c>
      <c r="C113" s="272"/>
      <c r="D113" s="272"/>
      <c r="E113" s="272"/>
      <c r="F113" s="272"/>
      <c r="G113" s="272"/>
      <c r="H113" s="272"/>
      <c r="I113" s="272"/>
      <c r="J113" s="272"/>
      <c r="K113" s="272"/>
      <c r="L113" s="272"/>
      <c r="M113" s="272"/>
      <c r="N113" s="272"/>
      <c r="O113" s="272"/>
      <c r="P113" s="272"/>
      <c r="Q113" s="272"/>
      <c r="R113" s="272"/>
      <c r="S113" s="272"/>
      <c r="T113" s="318">
        <v>0</v>
      </c>
      <c r="U113" s="340"/>
      <c r="V113" s="5"/>
    </row>
    <row r="114" spans="1:22" ht="15.6" x14ac:dyDescent="0.3">
      <c r="A114" s="302">
        <f t="shared" si="0"/>
        <v>10</v>
      </c>
      <c r="B114" s="272" t="s">
        <v>39</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40</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161</v>
      </c>
      <c r="C116" s="272"/>
      <c r="D116" s="272"/>
      <c r="E116" s="272"/>
      <c r="F116" s="272"/>
      <c r="G116" s="272"/>
      <c r="H116" s="272"/>
      <c r="I116" s="272"/>
      <c r="J116" s="272"/>
      <c r="K116" s="272"/>
      <c r="L116" s="272"/>
      <c r="M116" s="272"/>
      <c r="N116" s="272"/>
      <c r="O116" s="272"/>
      <c r="P116" s="272"/>
      <c r="Q116" s="272"/>
      <c r="R116" s="272"/>
      <c r="S116" s="272"/>
      <c r="T116" s="318">
        <v>-118</v>
      </c>
      <c r="U116" s="340"/>
      <c r="V116" s="5"/>
    </row>
    <row r="117" spans="1:22" ht="15.6" x14ac:dyDescent="0.3">
      <c r="A117" s="302">
        <f t="shared" si="0"/>
        <v>13</v>
      </c>
      <c r="B117" s="272" t="s">
        <v>135</v>
      </c>
      <c r="C117" s="272"/>
      <c r="D117" s="272"/>
      <c r="E117" s="272"/>
      <c r="F117" s="272"/>
      <c r="G117" s="272"/>
      <c r="H117" s="272"/>
      <c r="I117" s="272"/>
      <c r="J117" s="272"/>
      <c r="K117" s="272"/>
      <c r="L117" s="272"/>
      <c r="M117" s="272"/>
      <c r="N117" s="272"/>
      <c r="O117" s="272"/>
      <c r="P117" s="272"/>
      <c r="Q117" s="272"/>
      <c r="R117" s="272"/>
      <c r="S117" s="272"/>
      <c r="T117" s="318">
        <f>-T97-SUM(T99:T116)</f>
        <v>-729</v>
      </c>
      <c r="U117" s="340"/>
      <c r="V117" s="5"/>
    </row>
    <row r="118" spans="1:22" ht="15.6" x14ac:dyDescent="0.3">
      <c r="A118" s="271"/>
      <c r="B118" s="336" t="s">
        <v>41</v>
      </c>
      <c r="C118" s="337"/>
      <c r="D118" s="337"/>
      <c r="E118" s="337"/>
      <c r="F118" s="337"/>
      <c r="G118" s="337"/>
      <c r="H118" s="337"/>
      <c r="I118" s="337"/>
      <c r="J118" s="337"/>
      <c r="K118" s="337"/>
      <c r="L118" s="337"/>
      <c r="M118" s="337"/>
      <c r="N118" s="337"/>
      <c r="O118" s="337"/>
      <c r="P118" s="337"/>
      <c r="Q118" s="337"/>
      <c r="R118" s="337"/>
      <c r="S118" s="337"/>
      <c r="T118" s="341"/>
      <c r="U118" s="340"/>
      <c r="V118" s="5"/>
    </row>
    <row r="119" spans="1:22" ht="15.6" x14ac:dyDescent="0.3">
      <c r="A119" s="302"/>
      <c r="B119" s="272" t="s">
        <v>229</v>
      </c>
      <c r="C119" s="272"/>
      <c r="D119" s="272"/>
      <c r="E119" s="272"/>
      <c r="F119" s="272"/>
      <c r="G119" s="272"/>
      <c r="H119" s="272"/>
      <c r="I119" s="272"/>
      <c r="J119" s="272"/>
      <c r="K119" s="272"/>
      <c r="L119" s="272"/>
      <c r="M119" s="272"/>
      <c r="N119" s="272"/>
      <c r="O119" s="272"/>
      <c r="P119" s="272"/>
      <c r="Q119" s="272"/>
      <c r="R119" s="317">
        <f>-R179</f>
        <v>0</v>
      </c>
      <c r="S119" s="317"/>
      <c r="T119" s="318"/>
      <c r="U119" s="275"/>
      <c r="V119" s="5"/>
    </row>
    <row r="120" spans="1:22" ht="15.6" x14ac:dyDescent="0.3">
      <c r="A120" s="302"/>
      <c r="B120" s="272" t="s">
        <v>230</v>
      </c>
      <c r="C120" s="272"/>
      <c r="D120" s="272"/>
      <c r="E120" s="272"/>
      <c r="F120" s="272"/>
      <c r="G120" s="272"/>
      <c r="H120" s="272"/>
      <c r="I120" s="272"/>
      <c r="J120" s="272"/>
      <c r="K120" s="272"/>
      <c r="L120" s="272"/>
      <c r="M120" s="272"/>
      <c r="N120" s="272"/>
      <c r="O120" s="272"/>
      <c r="P120" s="272"/>
      <c r="Q120" s="272"/>
      <c r="R120" s="317">
        <v>-19</v>
      </c>
      <c r="S120" s="317"/>
      <c r="T120" s="318"/>
      <c r="U120" s="275"/>
      <c r="V120" s="5"/>
    </row>
    <row r="121" spans="1:22" ht="15.6" x14ac:dyDescent="0.3">
      <c r="A121" s="302"/>
      <c r="B121" s="272" t="s">
        <v>42</v>
      </c>
      <c r="C121" s="272"/>
      <c r="D121" s="272"/>
      <c r="E121" s="272"/>
      <c r="F121" s="272"/>
      <c r="G121" s="272"/>
      <c r="H121" s="272"/>
      <c r="I121" s="272"/>
      <c r="J121" s="272"/>
      <c r="K121" s="272"/>
      <c r="L121" s="272"/>
      <c r="M121" s="272"/>
      <c r="N121" s="272"/>
      <c r="O121" s="272"/>
      <c r="P121" s="272"/>
      <c r="Q121" s="272"/>
      <c r="R121" s="317">
        <f>-Q179</f>
        <v>0</v>
      </c>
      <c r="S121" s="317"/>
      <c r="T121" s="318"/>
      <c r="U121" s="275"/>
      <c r="V121" s="5"/>
    </row>
    <row r="122" spans="1:22" ht="15.6" x14ac:dyDescent="0.3">
      <c r="A122" s="302"/>
      <c r="B122" s="272" t="s">
        <v>235</v>
      </c>
      <c r="C122" s="272"/>
      <c r="D122" s="272"/>
      <c r="E122" s="272"/>
      <c r="F122" s="272"/>
      <c r="G122" s="272"/>
      <c r="H122" s="272"/>
      <c r="I122" s="272"/>
      <c r="J122" s="272"/>
      <c r="K122" s="272"/>
      <c r="L122" s="272"/>
      <c r="M122" s="272"/>
      <c r="N122" s="272"/>
      <c r="O122" s="272"/>
      <c r="P122" s="272"/>
      <c r="Q122" s="272"/>
      <c r="R122" s="317">
        <v>-797</v>
      </c>
      <c r="S122" s="317"/>
      <c r="T122" s="318"/>
      <c r="U122" s="275"/>
      <c r="V122" s="5"/>
    </row>
    <row r="123" spans="1:22" ht="15.6" x14ac:dyDescent="0.3">
      <c r="A123" s="302"/>
      <c r="B123" s="272" t="s">
        <v>236</v>
      </c>
      <c r="C123" s="272"/>
      <c r="D123" s="272"/>
      <c r="E123" s="272"/>
      <c r="F123" s="272"/>
      <c r="G123" s="272"/>
      <c r="H123" s="272"/>
      <c r="I123" s="272"/>
      <c r="J123" s="272"/>
      <c r="K123" s="272"/>
      <c r="L123" s="272"/>
      <c r="M123" s="272"/>
      <c r="N123" s="272"/>
      <c r="O123" s="272"/>
      <c r="P123" s="272"/>
      <c r="Q123" s="272"/>
      <c r="R123" s="317">
        <v>-563</v>
      </c>
      <c r="S123" s="317"/>
      <c r="T123" s="318"/>
      <c r="U123" s="275"/>
      <c r="V123" s="5"/>
    </row>
    <row r="124" spans="1:22" ht="15.6" x14ac:dyDescent="0.3">
      <c r="A124" s="302"/>
      <c r="B124" s="272" t="s">
        <v>241</v>
      </c>
      <c r="C124" s="272"/>
      <c r="D124" s="272"/>
      <c r="E124" s="272"/>
      <c r="F124" s="272"/>
      <c r="G124" s="272"/>
      <c r="H124" s="272"/>
      <c r="I124" s="272"/>
      <c r="J124" s="272"/>
      <c r="K124" s="272"/>
      <c r="L124" s="272"/>
      <c r="M124" s="272"/>
      <c r="N124" s="272"/>
      <c r="O124" s="272"/>
      <c r="P124" s="272"/>
      <c r="Q124" s="272"/>
      <c r="R124" s="317">
        <v>-78</v>
      </c>
      <c r="S124" s="317"/>
      <c r="T124" s="318"/>
      <c r="U124" s="275"/>
      <c r="V124" s="5"/>
    </row>
    <row r="125" spans="1:22" ht="15.6" x14ac:dyDescent="0.3">
      <c r="A125" s="302"/>
      <c r="B125" s="272" t="s">
        <v>237</v>
      </c>
      <c r="C125" s="272"/>
      <c r="D125" s="272"/>
      <c r="E125" s="272"/>
      <c r="F125" s="272"/>
      <c r="G125" s="272"/>
      <c r="H125" s="272"/>
      <c r="I125" s="272"/>
      <c r="J125" s="272"/>
      <c r="K125" s="272"/>
      <c r="L125" s="272"/>
      <c r="M125" s="272"/>
      <c r="N125" s="272"/>
      <c r="O125" s="272"/>
      <c r="P125" s="272"/>
      <c r="Q125" s="272"/>
      <c r="R125" s="317">
        <v>-37</v>
      </c>
      <c r="S125" s="317"/>
      <c r="T125" s="318"/>
      <c r="U125" s="275"/>
      <c r="V125" s="5"/>
    </row>
    <row r="126" spans="1:22" ht="15.6" x14ac:dyDescent="0.3">
      <c r="A126" s="302"/>
      <c r="B126" s="272" t="s">
        <v>238</v>
      </c>
      <c r="C126" s="272"/>
      <c r="D126" s="272"/>
      <c r="E126" s="272"/>
      <c r="F126" s="272"/>
      <c r="G126" s="272"/>
      <c r="H126" s="272"/>
      <c r="I126" s="272"/>
      <c r="J126" s="272"/>
      <c r="K126" s="272"/>
      <c r="L126" s="272"/>
      <c r="M126" s="272"/>
      <c r="N126" s="272"/>
      <c r="O126" s="272"/>
      <c r="P126" s="272"/>
      <c r="Q126" s="272"/>
      <c r="R126" s="317">
        <v>-106</v>
      </c>
      <c r="S126" s="317"/>
      <c r="T126" s="318"/>
      <c r="U126" s="275"/>
      <c r="V126" s="5"/>
    </row>
    <row r="127" spans="1:22" ht="15.6" x14ac:dyDescent="0.3">
      <c r="A127" s="302"/>
      <c r="B127" s="272" t="s">
        <v>239</v>
      </c>
      <c r="C127" s="272"/>
      <c r="D127" s="272"/>
      <c r="E127" s="272"/>
      <c r="F127" s="272"/>
      <c r="G127" s="272"/>
      <c r="H127" s="272"/>
      <c r="I127" s="272"/>
      <c r="J127" s="272"/>
      <c r="K127" s="272"/>
      <c r="L127" s="272"/>
      <c r="M127" s="272"/>
      <c r="N127" s="272"/>
      <c r="O127" s="272"/>
      <c r="P127" s="272"/>
      <c r="Q127" s="272"/>
      <c r="R127" s="317">
        <v>-16</v>
      </c>
      <c r="S127" s="317"/>
      <c r="T127" s="318"/>
      <c r="U127" s="275"/>
      <c r="V127" s="5"/>
    </row>
    <row r="128" spans="1:22" ht="15.6" x14ac:dyDescent="0.3">
      <c r="A128" s="302"/>
      <c r="B128" s="272" t="s">
        <v>240</v>
      </c>
      <c r="C128" s="272"/>
      <c r="D128" s="272"/>
      <c r="E128" s="272"/>
      <c r="F128" s="272"/>
      <c r="G128" s="272"/>
      <c r="H128" s="272"/>
      <c r="I128" s="272"/>
      <c r="J128" s="272"/>
      <c r="K128" s="272"/>
      <c r="L128" s="272"/>
      <c r="M128" s="272"/>
      <c r="N128" s="272"/>
      <c r="O128" s="272"/>
      <c r="P128" s="272"/>
      <c r="Q128" s="272"/>
      <c r="R128" s="317">
        <v>-238</v>
      </c>
      <c r="S128" s="317"/>
      <c r="T128" s="318"/>
      <c r="U128" s="275"/>
      <c r="V128" s="5"/>
    </row>
    <row r="129" spans="1:22" ht="15.6" x14ac:dyDescent="0.3">
      <c r="A129" s="302"/>
      <c r="B129" s="272" t="s">
        <v>43</v>
      </c>
      <c r="C129" s="272"/>
      <c r="D129" s="272"/>
      <c r="E129" s="272"/>
      <c r="F129" s="272"/>
      <c r="G129" s="272"/>
      <c r="H129" s="272"/>
      <c r="I129" s="272"/>
      <c r="J129" s="272"/>
      <c r="K129" s="272"/>
      <c r="L129" s="272"/>
      <c r="M129" s="272"/>
      <c r="N129" s="272"/>
      <c r="O129" s="272"/>
      <c r="P129" s="272"/>
      <c r="Q129" s="272"/>
      <c r="R129" s="317">
        <f>SUM(R119:R128)</f>
        <v>-1854</v>
      </c>
      <c r="S129" s="317"/>
      <c r="T129" s="317">
        <f>SUM(T98:T127)</f>
        <v>-2338</v>
      </c>
      <c r="U129" s="275"/>
      <c r="V129" s="5"/>
    </row>
    <row r="130" spans="1:22" ht="15.6" x14ac:dyDescent="0.3">
      <c r="A130" s="302"/>
      <c r="B130" s="272" t="s">
        <v>44</v>
      </c>
      <c r="C130" s="272"/>
      <c r="D130" s="272"/>
      <c r="E130" s="272"/>
      <c r="F130" s="272"/>
      <c r="G130" s="272"/>
      <c r="H130" s="272"/>
      <c r="I130" s="272"/>
      <c r="J130" s="272"/>
      <c r="K130" s="272"/>
      <c r="L130" s="272"/>
      <c r="M130" s="272"/>
      <c r="N130" s="272"/>
      <c r="O130" s="272"/>
      <c r="P130" s="272"/>
      <c r="Q130" s="272"/>
      <c r="R130" s="317">
        <f>R97+R129+R112</f>
        <v>0</v>
      </c>
      <c r="S130" s="317"/>
      <c r="T130" s="317">
        <f>T97+T129</f>
        <v>0</v>
      </c>
      <c r="U130" s="275"/>
      <c r="V130" s="5"/>
    </row>
    <row r="131" spans="1:22" ht="15.6" x14ac:dyDescent="0.3">
      <c r="A131" s="233"/>
      <c r="B131" s="268"/>
      <c r="C131" s="268"/>
      <c r="D131" s="268"/>
      <c r="E131" s="268"/>
      <c r="F131" s="268"/>
      <c r="G131" s="268"/>
      <c r="H131" s="268"/>
      <c r="I131" s="268"/>
      <c r="J131" s="268"/>
      <c r="K131" s="268"/>
      <c r="L131" s="268"/>
      <c r="M131" s="268"/>
      <c r="N131" s="268"/>
      <c r="O131" s="268"/>
      <c r="P131" s="268"/>
      <c r="Q131" s="268"/>
      <c r="R131" s="333"/>
      <c r="S131" s="333"/>
      <c r="T131" s="333"/>
      <c r="U131" s="268"/>
      <c r="V131" s="5"/>
    </row>
    <row r="132" spans="1:22" ht="15.6" x14ac:dyDescent="0.3">
      <c r="A132" s="233"/>
      <c r="B132" s="234"/>
      <c r="C132" s="234"/>
      <c r="D132" s="234"/>
      <c r="E132" s="234"/>
      <c r="F132" s="234"/>
      <c r="G132" s="234"/>
      <c r="H132" s="234"/>
      <c r="I132" s="234"/>
      <c r="J132" s="234"/>
      <c r="K132" s="234"/>
      <c r="L132" s="234"/>
      <c r="M132" s="234"/>
      <c r="N132" s="234"/>
      <c r="O132" s="234"/>
      <c r="P132" s="234"/>
      <c r="Q132" s="234"/>
      <c r="R132" s="234"/>
      <c r="S132" s="234"/>
      <c r="T132" s="243"/>
      <c r="U132" s="234"/>
      <c r="V132" s="5"/>
    </row>
    <row r="133" spans="1:22" ht="18" thickBot="1" x14ac:dyDescent="0.35">
      <c r="A133" s="237"/>
      <c r="B133" s="238" t="str">
        <f>B61</f>
        <v>PM9 INVESTOR REPORT QUARTER ENDING JULY 2012</v>
      </c>
      <c r="C133" s="239"/>
      <c r="D133" s="239"/>
      <c r="E133" s="239"/>
      <c r="F133" s="239"/>
      <c r="G133" s="239"/>
      <c r="H133" s="239"/>
      <c r="I133" s="239"/>
      <c r="J133" s="239"/>
      <c r="K133" s="239"/>
      <c r="L133" s="239"/>
      <c r="M133" s="239"/>
      <c r="N133" s="239"/>
      <c r="O133" s="239"/>
      <c r="P133" s="239"/>
      <c r="Q133" s="239"/>
      <c r="R133" s="239"/>
      <c r="S133" s="239"/>
      <c r="T133" s="244"/>
      <c r="U133" s="241"/>
      <c r="V133" s="5"/>
    </row>
    <row r="134" spans="1:22" ht="15.6" x14ac:dyDescent="0.3">
      <c r="A134" s="321"/>
      <c r="B134" s="324" t="s">
        <v>45</v>
      </c>
      <c r="C134" s="322"/>
      <c r="D134" s="322"/>
      <c r="E134" s="322"/>
      <c r="F134" s="322"/>
      <c r="G134" s="322"/>
      <c r="H134" s="322"/>
      <c r="I134" s="322"/>
      <c r="J134" s="322"/>
      <c r="K134" s="322"/>
      <c r="L134" s="322"/>
      <c r="M134" s="322"/>
      <c r="N134" s="322"/>
      <c r="O134" s="322"/>
      <c r="P134" s="322"/>
      <c r="Q134" s="322"/>
      <c r="R134" s="322"/>
      <c r="S134" s="322"/>
      <c r="T134" s="323"/>
      <c r="U134" s="322"/>
      <c r="V134" s="5"/>
    </row>
    <row r="135" spans="1:22" ht="15.6" x14ac:dyDescent="0.3">
      <c r="A135" s="177"/>
      <c r="B135" s="191"/>
      <c r="C135" s="179"/>
      <c r="D135" s="179"/>
      <c r="E135" s="179"/>
      <c r="F135" s="179"/>
      <c r="G135" s="179"/>
      <c r="H135" s="179"/>
      <c r="I135" s="179"/>
      <c r="J135" s="179"/>
      <c r="K135" s="179"/>
      <c r="L135" s="179"/>
      <c r="M135" s="179"/>
      <c r="N135" s="179"/>
      <c r="O135" s="179"/>
      <c r="P135" s="179"/>
      <c r="Q135" s="179"/>
      <c r="R135" s="179"/>
      <c r="S135" s="179"/>
      <c r="T135" s="197"/>
      <c r="U135" s="179"/>
      <c r="V135" s="5"/>
    </row>
    <row r="136" spans="1:22" ht="15.6" x14ac:dyDescent="0.3">
      <c r="A136" s="177"/>
      <c r="B136" s="204" t="s">
        <v>46</v>
      </c>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271"/>
      <c r="B137" s="272" t="s">
        <v>47</v>
      </c>
      <c r="C137" s="272"/>
      <c r="D137" s="272"/>
      <c r="E137" s="272"/>
      <c r="F137" s="272"/>
      <c r="G137" s="272"/>
      <c r="H137" s="272"/>
      <c r="I137" s="272"/>
      <c r="J137" s="272"/>
      <c r="K137" s="272"/>
      <c r="L137" s="272"/>
      <c r="M137" s="272"/>
      <c r="N137" s="272"/>
      <c r="O137" s="272"/>
      <c r="P137" s="272"/>
      <c r="Q137" s="272"/>
      <c r="R137" s="272"/>
      <c r="S137" s="272"/>
      <c r="T137" s="318">
        <f>+T32*0.0176</f>
        <v>12320</v>
      </c>
      <c r="U137" s="275"/>
      <c r="V137" s="5"/>
    </row>
    <row r="138" spans="1:22" ht="15.6" x14ac:dyDescent="0.3">
      <c r="A138" s="271"/>
      <c r="B138" s="272" t="s">
        <v>48</v>
      </c>
      <c r="C138" s="272"/>
      <c r="D138" s="272"/>
      <c r="E138" s="272"/>
      <c r="F138" s="272"/>
      <c r="G138" s="272"/>
      <c r="H138" s="272"/>
      <c r="I138" s="272"/>
      <c r="J138" s="272"/>
      <c r="K138" s="272"/>
      <c r="L138" s="272"/>
      <c r="M138" s="272"/>
      <c r="N138" s="272"/>
      <c r="O138" s="272"/>
      <c r="P138" s="272"/>
      <c r="Q138" s="272"/>
      <c r="R138" s="272"/>
      <c r="S138" s="272"/>
      <c r="T138" s="318">
        <v>12320</v>
      </c>
      <c r="U138" s="275"/>
      <c r="V138" s="5"/>
    </row>
    <row r="139" spans="1:22" ht="15.6" x14ac:dyDescent="0.3">
      <c r="A139" s="271"/>
      <c r="B139" s="272" t="s">
        <v>145</v>
      </c>
      <c r="C139" s="272"/>
      <c r="D139" s="272"/>
      <c r="E139" s="272"/>
      <c r="F139" s="272"/>
      <c r="G139" s="272"/>
      <c r="H139" s="272"/>
      <c r="I139" s="272"/>
      <c r="J139" s="272"/>
      <c r="K139" s="272"/>
      <c r="L139" s="272"/>
      <c r="M139" s="272"/>
      <c r="N139" s="272"/>
      <c r="O139" s="272"/>
      <c r="P139" s="272"/>
      <c r="Q139" s="272"/>
      <c r="R139" s="272"/>
      <c r="S139" s="272"/>
      <c r="T139" s="318">
        <v>0</v>
      </c>
      <c r="U139" s="275"/>
      <c r="V139" s="5"/>
    </row>
    <row r="140" spans="1:22" ht="15.6" x14ac:dyDescent="0.3">
      <c r="A140" s="271"/>
      <c r="B140" s="272" t="s">
        <v>132</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133</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232</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49</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138</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231</v>
      </c>
      <c r="C145" s="272"/>
      <c r="D145" s="272"/>
      <c r="E145" s="272"/>
      <c r="F145" s="272"/>
      <c r="G145" s="272"/>
      <c r="H145" s="272"/>
      <c r="I145" s="272"/>
      <c r="J145" s="272"/>
      <c r="K145" s="272"/>
      <c r="L145" s="272"/>
      <c r="M145" s="272"/>
      <c r="N145" s="272"/>
      <c r="O145" s="272"/>
      <c r="P145" s="272"/>
      <c r="Q145" s="272"/>
      <c r="R145" s="272"/>
      <c r="S145" s="272"/>
      <c r="T145" s="318">
        <v>0</v>
      </c>
      <c r="U145" s="275"/>
      <c r="V145" s="5"/>
      <c r="W145" s="110"/>
    </row>
    <row r="146" spans="1:23" ht="15.6" x14ac:dyDescent="0.3">
      <c r="A146" s="271"/>
      <c r="B146" s="272" t="s">
        <v>50</v>
      </c>
      <c r="C146" s="272"/>
      <c r="D146" s="272"/>
      <c r="E146" s="272"/>
      <c r="F146" s="272"/>
      <c r="G146" s="272"/>
      <c r="H146" s="272"/>
      <c r="I146" s="272"/>
      <c r="J146" s="272"/>
      <c r="K146" s="272"/>
      <c r="L146" s="272"/>
      <c r="M146" s="272"/>
      <c r="N146" s="272"/>
      <c r="O146" s="272"/>
      <c r="P146" s="272"/>
      <c r="Q146" s="272"/>
      <c r="R146" s="272"/>
      <c r="S146" s="272"/>
      <c r="T146" s="318">
        <f>SUM(T138:T145)</f>
        <v>12320</v>
      </c>
      <c r="U146" s="275"/>
      <c r="V146" s="5"/>
    </row>
    <row r="147" spans="1:23" ht="15.6" x14ac:dyDescent="0.3">
      <c r="A147" s="271"/>
      <c r="B147" s="337"/>
      <c r="C147" s="337"/>
      <c r="D147" s="337"/>
      <c r="E147" s="337"/>
      <c r="F147" s="337"/>
      <c r="G147" s="337"/>
      <c r="H147" s="337"/>
      <c r="I147" s="337"/>
      <c r="J147" s="337"/>
      <c r="K147" s="337"/>
      <c r="L147" s="337"/>
      <c r="M147" s="337"/>
      <c r="N147" s="337"/>
      <c r="O147" s="337"/>
      <c r="P147" s="337"/>
      <c r="Q147" s="337"/>
      <c r="R147" s="337"/>
      <c r="S147" s="337"/>
      <c r="T147" s="339"/>
      <c r="U147" s="340"/>
      <c r="V147" s="5"/>
    </row>
    <row r="148" spans="1:23" ht="15.6" x14ac:dyDescent="0.3">
      <c r="A148" s="271"/>
      <c r="B148" s="336" t="s">
        <v>264</v>
      </c>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272" t="s">
        <v>170</v>
      </c>
      <c r="C149" s="272"/>
      <c r="D149" s="272"/>
      <c r="E149" s="272"/>
      <c r="F149" s="272"/>
      <c r="G149" s="272"/>
      <c r="H149" s="272"/>
      <c r="I149" s="272"/>
      <c r="J149" s="272"/>
      <c r="K149" s="272"/>
      <c r="L149" s="272"/>
      <c r="M149" s="272"/>
      <c r="N149" s="272"/>
      <c r="O149" s="272"/>
      <c r="P149" s="272"/>
      <c r="Q149" s="272"/>
      <c r="R149" s="272"/>
      <c r="S149" s="272"/>
      <c r="T149" s="318">
        <v>10000</v>
      </c>
      <c r="U149" s="275"/>
      <c r="V149" s="5"/>
    </row>
    <row r="150" spans="1:23" ht="15.6" x14ac:dyDescent="0.3">
      <c r="A150" s="271"/>
      <c r="B150" s="272" t="s">
        <v>260</v>
      </c>
      <c r="C150" s="272"/>
      <c r="D150" s="272"/>
      <c r="E150" s="272"/>
      <c r="F150" s="272"/>
      <c r="G150" s="272"/>
      <c r="H150" s="272"/>
      <c r="I150" s="272"/>
      <c r="J150" s="272"/>
      <c r="K150" s="272"/>
      <c r="L150" s="272"/>
      <c r="M150" s="272"/>
      <c r="N150" s="272"/>
      <c r="O150" s="272"/>
      <c r="P150" s="272"/>
      <c r="Q150" s="272"/>
      <c r="R150" s="272"/>
      <c r="S150" s="272"/>
      <c r="T150" s="318">
        <v>1819</v>
      </c>
      <c r="U150" s="275"/>
      <c r="V150" s="5"/>
    </row>
    <row r="151" spans="1:23" ht="15.6" x14ac:dyDescent="0.3">
      <c r="A151" s="271"/>
      <c r="B151" s="272" t="s">
        <v>228</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300</v>
      </c>
      <c r="C152" s="272"/>
      <c r="D152" s="272"/>
      <c r="E152" s="272"/>
      <c r="F152" s="272"/>
      <c r="G152" s="272"/>
      <c r="H152" s="272"/>
      <c r="I152" s="272"/>
      <c r="J152" s="272"/>
      <c r="K152" s="272"/>
      <c r="L152" s="272"/>
      <c r="M152" s="272"/>
      <c r="N152" s="272"/>
      <c r="O152" s="272"/>
      <c r="P152" s="272"/>
      <c r="Q152" s="272"/>
      <c r="R152" s="272"/>
      <c r="S152" s="272"/>
      <c r="T152" s="318">
        <v>1819</v>
      </c>
      <c r="U152" s="275"/>
      <c r="V152" s="5"/>
    </row>
    <row r="153" spans="1:23" ht="15.6" x14ac:dyDescent="0.3">
      <c r="A153" s="271"/>
      <c r="B153" s="337"/>
      <c r="C153" s="337"/>
      <c r="D153" s="337"/>
      <c r="E153" s="337"/>
      <c r="F153" s="337"/>
      <c r="G153" s="337"/>
      <c r="H153" s="337"/>
      <c r="I153" s="337"/>
      <c r="J153" s="337"/>
      <c r="K153" s="337"/>
      <c r="L153" s="337"/>
      <c r="M153" s="337"/>
      <c r="N153" s="337"/>
      <c r="O153" s="337"/>
      <c r="P153" s="337"/>
      <c r="Q153" s="337"/>
      <c r="R153" s="337"/>
      <c r="S153" s="337"/>
      <c r="T153" s="339"/>
      <c r="U153" s="340"/>
      <c r="V153" s="5"/>
    </row>
    <row r="154" spans="1:23" ht="15.6" x14ac:dyDescent="0.3">
      <c r="A154" s="177"/>
      <c r="B154" s="314"/>
      <c r="C154" s="314"/>
      <c r="D154" s="314"/>
      <c r="E154" s="314"/>
      <c r="F154" s="314"/>
      <c r="G154" s="314"/>
      <c r="H154" s="314"/>
      <c r="I154" s="314"/>
      <c r="J154" s="314"/>
      <c r="K154" s="314"/>
      <c r="L154" s="314"/>
      <c r="M154" s="314"/>
      <c r="N154" s="314"/>
      <c r="O154" s="314"/>
      <c r="P154" s="314"/>
      <c r="Q154" s="314"/>
      <c r="R154" s="314"/>
      <c r="S154" s="314"/>
      <c r="T154" s="342"/>
      <c r="U154" s="314"/>
      <c r="V154" s="5"/>
    </row>
    <row r="155" spans="1:23" ht="15.6" x14ac:dyDescent="0.3">
      <c r="A155" s="177"/>
      <c r="B155" s="204" t="s">
        <v>25</v>
      </c>
      <c r="C155" s="179"/>
      <c r="D155" s="179"/>
      <c r="E155" s="179"/>
      <c r="F155" s="179"/>
      <c r="G155" s="179"/>
      <c r="H155" s="179"/>
      <c r="I155" s="179"/>
      <c r="J155" s="179"/>
      <c r="K155" s="179"/>
      <c r="L155" s="179"/>
      <c r="M155" s="179"/>
      <c r="N155" s="179"/>
      <c r="O155" s="179"/>
      <c r="P155" s="179"/>
      <c r="Q155" s="179"/>
      <c r="R155" s="179"/>
      <c r="S155" s="179"/>
      <c r="T155" s="197"/>
      <c r="U155" s="179"/>
      <c r="V155" s="5"/>
    </row>
    <row r="156" spans="1:23" ht="15.6" x14ac:dyDescent="0.3">
      <c r="A156" s="271"/>
      <c r="B156" s="272" t="s">
        <v>51</v>
      </c>
      <c r="C156" s="272"/>
      <c r="D156" s="272"/>
      <c r="E156" s="272"/>
      <c r="F156" s="272"/>
      <c r="G156" s="272"/>
      <c r="H156" s="272"/>
      <c r="I156" s="272"/>
      <c r="J156" s="272"/>
      <c r="K156" s="272"/>
      <c r="L156" s="272"/>
      <c r="M156" s="272"/>
      <c r="N156" s="272"/>
      <c r="O156" s="272"/>
      <c r="P156" s="272"/>
      <c r="Q156" s="272"/>
      <c r="R156" s="272"/>
      <c r="S156" s="272"/>
      <c r="T156" s="343" t="s">
        <v>127</v>
      </c>
      <c r="U156" s="340"/>
      <c r="V156" s="5"/>
    </row>
    <row r="157" spans="1:23" ht="15.6" x14ac:dyDescent="0.3">
      <c r="A157" s="271"/>
      <c r="B157" s="272" t="s">
        <v>52</v>
      </c>
      <c r="C157" s="274"/>
      <c r="D157" s="274"/>
      <c r="E157" s="274"/>
      <c r="F157" s="274"/>
      <c r="G157" s="274"/>
      <c r="H157" s="274"/>
      <c r="I157" s="274"/>
      <c r="J157" s="274"/>
      <c r="K157" s="274"/>
      <c r="L157" s="274"/>
      <c r="M157" s="274"/>
      <c r="N157" s="274"/>
      <c r="O157" s="274"/>
      <c r="P157" s="274"/>
      <c r="Q157" s="274"/>
      <c r="R157" s="274"/>
      <c r="S157" s="274"/>
      <c r="T157" s="343" t="s">
        <v>127</v>
      </c>
      <c r="U157" s="340"/>
      <c r="V157" s="5"/>
    </row>
    <row r="158" spans="1:23" ht="15.6" x14ac:dyDescent="0.3">
      <c r="A158" s="271"/>
      <c r="B158" s="272" t="s">
        <v>53</v>
      </c>
      <c r="C158" s="272"/>
      <c r="D158" s="272"/>
      <c r="E158" s="272"/>
      <c r="F158" s="272"/>
      <c r="G158" s="272"/>
      <c r="H158" s="272"/>
      <c r="I158" s="272"/>
      <c r="J158" s="272"/>
      <c r="K158" s="272"/>
      <c r="L158" s="272"/>
      <c r="M158" s="272"/>
      <c r="N158" s="272"/>
      <c r="O158" s="272"/>
      <c r="P158" s="272"/>
      <c r="Q158" s="272"/>
      <c r="R158" s="272"/>
      <c r="S158" s="272"/>
      <c r="T158" s="343" t="s">
        <v>127</v>
      </c>
      <c r="U158" s="340"/>
      <c r="V158" s="5"/>
    </row>
    <row r="159" spans="1:23" ht="15.6" x14ac:dyDescent="0.3">
      <c r="A159" s="271"/>
      <c r="B159" s="272" t="s">
        <v>54</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177"/>
      <c r="B160" s="314"/>
      <c r="C160" s="314"/>
      <c r="D160" s="314"/>
      <c r="E160" s="314"/>
      <c r="F160" s="314"/>
      <c r="G160" s="314"/>
      <c r="H160" s="314"/>
      <c r="I160" s="314"/>
      <c r="J160" s="314"/>
      <c r="K160" s="314"/>
      <c r="L160" s="314"/>
      <c r="M160" s="314"/>
      <c r="N160" s="314"/>
      <c r="O160" s="314"/>
      <c r="P160" s="314"/>
      <c r="Q160" s="314"/>
      <c r="R160" s="314"/>
      <c r="S160" s="314"/>
      <c r="T160" s="342"/>
      <c r="U160" s="314"/>
      <c r="V160" s="5"/>
    </row>
    <row r="161" spans="1:22" ht="15.6" x14ac:dyDescent="0.3">
      <c r="A161" s="177"/>
      <c r="B161" s="204" t="s">
        <v>55</v>
      </c>
      <c r="C161" s="179"/>
      <c r="D161" s="179"/>
      <c r="E161" s="179"/>
      <c r="F161" s="179"/>
      <c r="G161" s="179"/>
      <c r="H161" s="179"/>
      <c r="I161" s="179"/>
      <c r="J161" s="179"/>
      <c r="K161" s="179"/>
      <c r="L161" s="179"/>
      <c r="M161" s="179"/>
      <c r="N161" s="179"/>
      <c r="O161" s="179"/>
      <c r="P161" s="179"/>
      <c r="Q161" s="179"/>
      <c r="R161" s="179"/>
      <c r="S161" s="179"/>
      <c r="T161" s="205"/>
      <c r="U161" s="179"/>
      <c r="V161" s="5"/>
    </row>
    <row r="162" spans="1:22" ht="15.6" x14ac:dyDescent="0.3">
      <c r="A162" s="271"/>
      <c r="B162" s="272" t="s">
        <v>56</v>
      </c>
      <c r="C162" s="272"/>
      <c r="D162" s="272"/>
      <c r="E162" s="272"/>
      <c r="F162" s="272"/>
      <c r="G162" s="272"/>
      <c r="H162" s="272"/>
      <c r="I162" s="272"/>
      <c r="J162" s="272"/>
      <c r="K162" s="272"/>
      <c r="L162" s="272"/>
      <c r="M162" s="272"/>
      <c r="N162" s="272"/>
      <c r="O162" s="272"/>
      <c r="P162" s="272"/>
      <c r="Q162" s="272"/>
      <c r="R162" s="272"/>
      <c r="S162" s="272"/>
      <c r="T162" s="318">
        <v>0</v>
      </c>
      <c r="U162" s="340"/>
      <c r="V162" s="5"/>
    </row>
    <row r="163" spans="1:22" ht="15.6" x14ac:dyDescent="0.3">
      <c r="A163" s="271"/>
      <c r="B163" s="272" t="s">
        <v>57</v>
      </c>
      <c r="C163" s="272"/>
      <c r="D163" s="272"/>
      <c r="E163" s="272"/>
      <c r="F163" s="272"/>
      <c r="G163" s="272"/>
      <c r="H163" s="272"/>
      <c r="I163" s="272"/>
      <c r="J163" s="272"/>
      <c r="K163" s="272"/>
      <c r="L163" s="272"/>
      <c r="M163" s="272"/>
      <c r="N163" s="272"/>
      <c r="O163" s="272"/>
      <c r="P163" s="272"/>
      <c r="Q163" s="272"/>
      <c r="R163" s="272"/>
      <c r="S163" s="272"/>
      <c r="T163" s="318">
        <f>-T112</f>
        <v>20</v>
      </c>
      <c r="U163" s="340"/>
      <c r="V163" s="5"/>
    </row>
    <row r="164" spans="1:22" ht="15.6" x14ac:dyDescent="0.3">
      <c r="A164" s="271"/>
      <c r="B164" s="272" t="s">
        <v>58</v>
      </c>
      <c r="C164" s="272"/>
      <c r="D164" s="272"/>
      <c r="E164" s="272"/>
      <c r="F164" s="272"/>
      <c r="G164" s="272"/>
      <c r="H164" s="272"/>
      <c r="I164" s="272"/>
      <c r="J164" s="272"/>
      <c r="K164" s="272"/>
      <c r="L164" s="272"/>
      <c r="M164" s="272"/>
      <c r="N164" s="272"/>
      <c r="O164" s="272"/>
      <c r="P164" s="272"/>
      <c r="Q164" s="272"/>
      <c r="R164" s="272"/>
      <c r="S164" s="272"/>
      <c r="T164" s="318">
        <f>T163+T162</f>
        <v>20</v>
      </c>
      <c r="U164" s="340"/>
      <c r="V164" s="5"/>
    </row>
    <row r="165" spans="1:22" ht="15.6" x14ac:dyDescent="0.3">
      <c r="A165" s="271"/>
      <c r="B165" s="400" t="s">
        <v>309</v>
      </c>
      <c r="C165" s="272"/>
      <c r="D165" s="272"/>
      <c r="E165" s="272"/>
      <c r="F165" s="272"/>
      <c r="G165" s="272"/>
      <c r="H165" s="272"/>
      <c r="I165" s="272"/>
      <c r="J165" s="272"/>
      <c r="K165" s="272"/>
      <c r="L165" s="272"/>
      <c r="M165" s="272"/>
      <c r="N165" s="272"/>
      <c r="O165" s="272"/>
      <c r="P165" s="272"/>
      <c r="Q165" s="272"/>
      <c r="R165" s="272"/>
      <c r="S165" s="272"/>
      <c r="T165" s="318">
        <f>T112</f>
        <v>-20</v>
      </c>
      <c r="U165" s="340"/>
      <c r="V165" s="5"/>
    </row>
    <row r="166" spans="1:22" ht="15.6" x14ac:dyDescent="0.3">
      <c r="A166" s="271"/>
      <c r="B166" s="272" t="s">
        <v>59</v>
      </c>
      <c r="C166" s="272"/>
      <c r="D166" s="272"/>
      <c r="E166" s="272"/>
      <c r="F166" s="272"/>
      <c r="G166" s="272"/>
      <c r="H166" s="272"/>
      <c r="I166" s="272"/>
      <c r="J166" s="272"/>
      <c r="K166" s="272"/>
      <c r="L166" s="272"/>
      <c r="M166" s="272"/>
      <c r="N166" s="272"/>
      <c r="O166" s="272"/>
      <c r="P166" s="272"/>
      <c r="Q166" s="272"/>
      <c r="R166" s="272"/>
      <c r="S166" s="272"/>
      <c r="T166" s="318">
        <f>T164+T165</f>
        <v>0</v>
      </c>
      <c r="U166" s="340"/>
      <c r="V166" s="5"/>
    </row>
    <row r="167" spans="1:22" ht="15.6" x14ac:dyDescent="0.3">
      <c r="A167" s="271"/>
      <c r="B167" s="272" t="s">
        <v>278</v>
      </c>
      <c r="C167" s="272"/>
      <c r="D167" s="272"/>
      <c r="E167" s="272"/>
      <c r="F167" s="272"/>
      <c r="G167" s="272"/>
      <c r="H167" s="272"/>
      <c r="I167" s="272"/>
      <c r="J167" s="272"/>
      <c r="K167" s="272"/>
      <c r="L167" s="272"/>
      <c r="M167" s="272"/>
      <c r="N167" s="272"/>
      <c r="O167" s="272"/>
      <c r="P167" s="272"/>
      <c r="Q167" s="272"/>
      <c r="R167" s="272"/>
      <c r="S167" s="272"/>
      <c r="T167" s="318">
        <f>-T96</f>
        <v>20</v>
      </c>
      <c r="U167" s="340"/>
      <c r="V167" s="5"/>
    </row>
    <row r="168" spans="1:22" ht="16.2" thickBot="1" x14ac:dyDescent="0.35">
      <c r="A168" s="177"/>
      <c r="B168" s="268"/>
      <c r="C168" s="268"/>
      <c r="D168" s="268"/>
      <c r="E168" s="268"/>
      <c r="F168" s="268"/>
      <c r="G168" s="268"/>
      <c r="H168" s="268"/>
      <c r="I168" s="268"/>
      <c r="J168" s="268"/>
      <c r="K168" s="268"/>
      <c r="L168" s="268"/>
      <c r="M168" s="268"/>
      <c r="N168" s="268"/>
      <c r="O168" s="268"/>
      <c r="P168" s="268"/>
      <c r="Q168" s="268"/>
      <c r="R168" s="268"/>
      <c r="S168" s="268"/>
      <c r="T168" s="344"/>
      <c r="U168" s="314"/>
      <c r="V168" s="5"/>
    </row>
    <row r="169" spans="1:22" ht="15.6" x14ac:dyDescent="0.3">
      <c r="A169" s="175"/>
      <c r="B169" s="176"/>
      <c r="C169" s="176"/>
      <c r="D169" s="176"/>
      <c r="E169" s="176"/>
      <c r="F169" s="176"/>
      <c r="G169" s="176"/>
      <c r="H169" s="176"/>
      <c r="I169" s="176"/>
      <c r="J169" s="176"/>
      <c r="K169" s="176"/>
      <c r="L169" s="176"/>
      <c r="M169" s="176"/>
      <c r="N169" s="176"/>
      <c r="O169" s="176"/>
      <c r="P169" s="176"/>
      <c r="Q169" s="176"/>
      <c r="R169" s="176"/>
      <c r="S169" s="176"/>
      <c r="T169" s="196"/>
      <c r="U169" s="176"/>
      <c r="V169" s="5"/>
    </row>
    <row r="170" spans="1:22" ht="15.6" x14ac:dyDescent="0.3">
      <c r="A170" s="177"/>
      <c r="B170" s="204" t="s">
        <v>60</v>
      </c>
      <c r="C170" s="179"/>
      <c r="D170" s="179"/>
      <c r="E170" s="179"/>
      <c r="F170" s="179"/>
      <c r="G170" s="179"/>
      <c r="H170" s="179"/>
      <c r="I170" s="179"/>
      <c r="J170" s="179"/>
      <c r="K170" s="179"/>
      <c r="L170" s="179"/>
      <c r="M170" s="179"/>
      <c r="N170" s="179"/>
      <c r="O170" s="179"/>
      <c r="P170" s="179"/>
      <c r="Q170" s="179"/>
      <c r="R170" s="179"/>
      <c r="S170" s="179"/>
      <c r="T170" s="197"/>
      <c r="U170" s="179"/>
      <c r="V170" s="5"/>
    </row>
    <row r="171" spans="1:22" ht="15.6" x14ac:dyDescent="0.3">
      <c r="A171" s="177"/>
      <c r="B171" s="191"/>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271"/>
      <c r="B172" s="272" t="s">
        <v>61</v>
      </c>
      <c r="C172" s="272"/>
      <c r="D172" s="272"/>
      <c r="E172" s="272"/>
      <c r="F172" s="272"/>
      <c r="G172" s="272"/>
      <c r="H172" s="272"/>
      <c r="I172" s="272"/>
      <c r="J172" s="272"/>
      <c r="K172" s="272"/>
      <c r="L172" s="272"/>
      <c r="M172" s="272"/>
      <c r="N172" s="272"/>
      <c r="O172" s="272"/>
      <c r="P172" s="272"/>
      <c r="Q172" s="272"/>
      <c r="R172" s="272"/>
      <c r="S172" s="272"/>
      <c r="T172" s="318">
        <f>T68</f>
        <v>307357</v>
      </c>
      <c r="U172" s="340"/>
      <c r="V172" s="5"/>
    </row>
    <row r="173" spans="1:22" ht="15.6" x14ac:dyDescent="0.3">
      <c r="A173" s="271"/>
      <c r="B173" s="272" t="s">
        <v>62</v>
      </c>
      <c r="C173" s="272"/>
      <c r="D173" s="272"/>
      <c r="E173" s="272"/>
      <c r="F173" s="272"/>
      <c r="G173" s="272"/>
      <c r="H173" s="272"/>
      <c r="I173" s="272"/>
      <c r="J173" s="272"/>
      <c r="K173" s="272"/>
      <c r="L173" s="272"/>
      <c r="M173" s="272"/>
      <c r="N173" s="272"/>
      <c r="O173" s="272"/>
      <c r="P173" s="272"/>
      <c r="Q173" s="272"/>
      <c r="R173" s="272"/>
      <c r="S173" s="272"/>
      <c r="T173" s="318">
        <f>T81</f>
        <v>307357</v>
      </c>
      <c r="U173" s="340"/>
      <c r="V173" s="5"/>
    </row>
    <row r="174" spans="1:22" ht="16.2" thickBot="1" x14ac:dyDescent="0.35">
      <c r="A174" s="177"/>
      <c r="B174" s="314"/>
      <c r="C174" s="314"/>
      <c r="D174" s="314"/>
      <c r="E174" s="314"/>
      <c r="F174" s="314"/>
      <c r="G174" s="314"/>
      <c r="H174" s="314"/>
      <c r="I174" s="314"/>
      <c r="J174" s="314"/>
      <c r="K174" s="314"/>
      <c r="L174" s="314"/>
      <c r="M174" s="314"/>
      <c r="N174" s="314"/>
      <c r="O174" s="314"/>
      <c r="P174" s="314"/>
      <c r="Q174" s="314"/>
      <c r="R174" s="314"/>
      <c r="S174" s="314"/>
      <c r="T174" s="342"/>
      <c r="U174" s="314"/>
      <c r="V174" s="5"/>
    </row>
    <row r="175" spans="1:22" ht="15.6" x14ac:dyDescent="0.3">
      <c r="A175" s="175"/>
      <c r="B175" s="176"/>
      <c r="C175" s="176"/>
      <c r="D175" s="176"/>
      <c r="E175" s="176"/>
      <c r="F175" s="176"/>
      <c r="G175" s="176"/>
      <c r="H175" s="176"/>
      <c r="I175" s="176"/>
      <c r="J175" s="176"/>
      <c r="K175" s="176"/>
      <c r="L175" s="176"/>
      <c r="M175" s="176"/>
      <c r="N175" s="176"/>
      <c r="O175" s="176"/>
      <c r="P175" s="176"/>
      <c r="Q175" s="176"/>
      <c r="R175" s="176"/>
      <c r="S175" s="176"/>
      <c r="T175" s="196"/>
      <c r="U175" s="176"/>
      <c r="V175" s="5"/>
    </row>
    <row r="176" spans="1:22" ht="15.6" x14ac:dyDescent="0.3">
      <c r="A176" s="177"/>
      <c r="B176" s="204" t="s">
        <v>63</v>
      </c>
      <c r="C176" s="201"/>
      <c r="D176" s="201"/>
      <c r="E176" s="201"/>
      <c r="F176" s="201"/>
      <c r="G176" s="201"/>
      <c r="H176" s="206"/>
      <c r="I176" s="206"/>
      <c r="J176" s="206"/>
      <c r="K176" s="206"/>
      <c r="L176" s="206"/>
      <c r="M176" s="206"/>
      <c r="N176" s="206"/>
      <c r="O176" s="206"/>
      <c r="P176" s="206"/>
      <c r="Q176" s="206" t="s">
        <v>107</v>
      </c>
      <c r="R176" s="206" t="s">
        <v>234</v>
      </c>
      <c r="S176" s="181"/>
      <c r="T176" s="207" t="s">
        <v>123</v>
      </c>
      <c r="U176" s="208"/>
      <c r="V176" s="5"/>
    </row>
    <row r="177" spans="1:22" ht="15.6" x14ac:dyDescent="0.3">
      <c r="A177" s="271"/>
      <c r="B177" s="272" t="s">
        <v>64</v>
      </c>
      <c r="C177" s="272"/>
      <c r="D177" s="272"/>
      <c r="E177" s="272"/>
      <c r="F177" s="272"/>
      <c r="G177" s="272"/>
      <c r="H177" s="272"/>
      <c r="I177" s="272"/>
      <c r="J177" s="272"/>
      <c r="K177" s="272"/>
      <c r="L177" s="272"/>
      <c r="M177" s="272"/>
      <c r="N177" s="272"/>
      <c r="O177" s="272"/>
      <c r="P177" s="272"/>
      <c r="Q177" s="318">
        <v>112000</v>
      </c>
      <c r="R177" s="306"/>
      <c r="S177" s="272"/>
      <c r="T177" s="318"/>
      <c r="U177" s="275"/>
      <c r="V177" s="5"/>
    </row>
    <row r="178" spans="1:22" ht="15.6" x14ac:dyDescent="0.3">
      <c r="A178" s="271"/>
      <c r="B178" s="272" t="s">
        <v>65</v>
      </c>
      <c r="C178" s="272"/>
      <c r="D178" s="272"/>
      <c r="E178" s="272"/>
      <c r="F178" s="272"/>
      <c r="G178" s="272"/>
      <c r="H178" s="272"/>
      <c r="I178" s="272"/>
      <c r="J178" s="272"/>
      <c r="K178" s="272"/>
      <c r="L178" s="272"/>
      <c r="M178" s="272"/>
      <c r="N178" s="272"/>
      <c r="O178" s="272"/>
      <c r="P178" s="272"/>
      <c r="Q178" s="318">
        <f>+'April 12'!Q180</f>
        <v>46733</v>
      </c>
      <c r="R178" s="318">
        <f>+'April 12'!R180</f>
        <v>2435</v>
      </c>
      <c r="S178" s="272"/>
      <c r="T178" s="318">
        <f>Q178+R178</f>
        <v>49168</v>
      </c>
      <c r="U178" s="275"/>
      <c r="V178" s="5"/>
    </row>
    <row r="179" spans="1:22" ht="15.6" x14ac:dyDescent="0.3">
      <c r="A179" s="271"/>
      <c r="B179" s="272" t="s">
        <v>66</v>
      </c>
      <c r="C179" s="272"/>
      <c r="D179" s="272"/>
      <c r="E179" s="272"/>
      <c r="F179" s="272"/>
      <c r="G179" s="272"/>
      <c r="H179" s="272"/>
      <c r="I179" s="272"/>
      <c r="J179" s="272"/>
      <c r="K179" s="272"/>
      <c r="L179" s="272"/>
      <c r="M179" s="272"/>
      <c r="N179" s="272"/>
      <c r="O179" s="272"/>
      <c r="P179" s="272"/>
      <c r="Q179" s="317">
        <v>0</v>
      </c>
      <c r="R179" s="317">
        <v>0</v>
      </c>
      <c r="S179" s="272"/>
      <c r="T179" s="318">
        <f>Q179+R179</f>
        <v>0</v>
      </c>
      <c r="U179" s="275"/>
      <c r="V179" s="5"/>
    </row>
    <row r="180" spans="1:22" ht="15.6" x14ac:dyDescent="0.3">
      <c r="A180" s="271"/>
      <c r="B180" s="272" t="s">
        <v>67</v>
      </c>
      <c r="C180" s="272"/>
      <c r="D180" s="272"/>
      <c r="E180" s="272"/>
      <c r="F180" s="272"/>
      <c r="G180" s="272"/>
      <c r="H180" s="272"/>
      <c r="I180" s="272"/>
      <c r="J180" s="272"/>
      <c r="K180" s="272"/>
      <c r="L180" s="272"/>
      <c r="M180" s="272"/>
      <c r="N180" s="272"/>
      <c r="O180" s="272"/>
      <c r="P180" s="272"/>
      <c r="Q180" s="318">
        <f>Q178+Q179</f>
        <v>46733</v>
      </c>
      <c r="R180" s="318">
        <f>R179+R178</f>
        <v>2435</v>
      </c>
      <c r="S180" s="272"/>
      <c r="T180" s="318">
        <f>Q180+R180</f>
        <v>49168</v>
      </c>
      <c r="U180" s="275"/>
      <c r="V180" s="5"/>
    </row>
    <row r="181" spans="1:22" ht="15.6" x14ac:dyDescent="0.3">
      <c r="A181" s="271"/>
      <c r="B181" s="272" t="s">
        <v>68</v>
      </c>
      <c r="C181" s="272"/>
      <c r="D181" s="272"/>
      <c r="E181" s="272"/>
      <c r="F181" s="272"/>
      <c r="G181" s="272"/>
      <c r="H181" s="272"/>
      <c r="I181" s="272"/>
      <c r="J181" s="272"/>
      <c r="K181" s="272"/>
      <c r="L181" s="272"/>
      <c r="M181" s="272"/>
      <c r="N181" s="272"/>
      <c r="O181" s="272"/>
      <c r="P181" s="272"/>
      <c r="Q181" s="318">
        <f>Q177-Q180-R180</f>
        <v>62832</v>
      </c>
      <c r="R181" s="306"/>
      <c r="S181" s="272"/>
      <c r="T181" s="318"/>
      <c r="U181" s="275"/>
      <c r="V181" s="5"/>
    </row>
    <row r="182" spans="1:22" ht="16.2" thickBot="1" x14ac:dyDescent="0.35">
      <c r="A182" s="177"/>
      <c r="B182" s="314"/>
      <c r="C182" s="314"/>
      <c r="D182" s="314"/>
      <c r="E182" s="314"/>
      <c r="F182" s="314"/>
      <c r="G182" s="314"/>
      <c r="H182" s="314"/>
      <c r="I182" s="314"/>
      <c r="J182" s="314"/>
      <c r="K182" s="314"/>
      <c r="L182" s="314"/>
      <c r="M182" s="314"/>
      <c r="N182" s="314"/>
      <c r="O182" s="314"/>
      <c r="P182" s="314"/>
      <c r="Q182" s="314"/>
      <c r="R182" s="314"/>
      <c r="S182" s="314"/>
      <c r="T182" s="342"/>
      <c r="U182" s="314"/>
      <c r="V182" s="5"/>
    </row>
    <row r="183" spans="1:22" ht="15.6" x14ac:dyDescent="0.3">
      <c r="A183" s="175"/>
      <c r="B183" s="176"/>
      <c r="C183" s="176"/>
      <c r="D183" s="176"/>
      <c r="E183" s="176"/>
      <c r="F183" s="176"/>
      <c r="G183" s="176"/>
      <c r="H183" s="176"/>
      <c r="I183" s="176"/>
      <c r="J183" s="176"/>
      <c r="K183" s="176"/>
      <c r="L183" s="176"/>
      <c r="M183" s="176"/>
      <c r="N183" s="176"/>
      <c r="O183" s="176"/>
      <c r="P183" s="176"/>
      <c r="Q183" s="176"/>
      <c r="R183" s="176"/>
      <c r="S183" s="176"/>
      <c r="T183" s="196"/>
      <c r="U183" s="176"/>
      <c r="V183" s="5"/>
    </row>
    <row r="184" spans="1:22" ht="15.6" x14ac:dyDescent="0.3">
      <c r="A184" s="177"/>
      <c r="B184" s="204" t="s">
        <v>69</v>
      </c>
      <c r="C184" s="179"/>
      <c r="D184" s="179"/>
      <c r="E184" s="179"/>
      <c r="F184" s="179"/>
      <c r="G184" s="179"/>
      <c r="H184" s="179"/>
      <c r="I184" s="179"/>
      <c r="J184" s="179"/>
      <c r="K184" s="179"/>
      <c r="L184" s="179"/>
      <c r="M184" s="179"/>
      <c r="N184" s="179"/>
      <c r="O184" s="179"/>
      <c r="P184" s="179"/>
      <c r="Q184" s="179"/>
      <c r="R184" s="179"/>
      <c r="S184" s="179"/>
      <c r="T184" s="209"/>
      <c r="U184" s="179"/>
      <c r="V184" s="5"/>
    </row>
    <row r="185" spans="1:22" ht="15.6" x14ac:dyDescent="0.3">
      <c r="A185" s="271"/>
      <c r="B185" s="272" t="s">
        <v>70</v>
      </c>
      <c r="C185" s="272"/>
      <c r="D185" s="272"/>
      <c r="E185" s="272"/>
      <c r="F185" s="272"/>
      <c r="G185" s="272"/>
      <c r="H185" s="272"/>
      <c r="I185" s="272"/>
      <c r="J185" s="272"/>
      <c r="K185" s="272"/>
      <c r="L185" s="272"/>
      <c r="M185" s="272"/>
      <c r="N185" s="272"/>
      <c r="O185" s="272"/>
      <c r="P185" s="272"/>
      <c r="Q185" s="272"/>
      <c r="R185" s="272"/>
      <c r="S185" s="272"/>
      <c r="T185" s="343">
        <f>(T97+T99+T100+T101+T102+T103)/-(T104+T105+T106)</f>
        <v>2.4263657957244655</v>
      </c>
      <c r="U185" s="275" t="s">
        <v>124</v>
      </c>
      <c r="V185" s="5"/>
    </row>
    <row r="186" spans="1:22" ht="15.6" x14ac:dyDescent="0.3">
      <c r="A186" s="271"/>
      <c r="B186" s="272" t="s">
        <v>71</v>
      </c>
      <c r="C186" s="272"/>
      <c r="D186" s="272"/>
      <c r="E186" s="272"/>
      <c r="F186" s="272"/>
      <c r="G186" s="272"/>
      <c r="H186" s="272"/>
      <c r="I186" s="272"/>
      <c r="J186" s="272"/>
      <c r="K186" s="272"/>
      <c r="L186" s="272"/>
      <c r="M186" s="272"/>
      <c r="N186" s="272"/>
      <c r="O186" s="272"/>
      <c r="P186" s="272"/>
      <c r="Q186" s="272"/>
      <c r="R186" s="272"/>
      <c r="S186" s="272"/>
      <c r="T186" s="345">
        <v>1.55</v>
      </c>
      <c r="U186" s="275" t="s">
        <v>124</v>
      </c>
      <c r="V186" s="5"/>
    </row>
    <row r="187" spans="1:22" ht="15.6" x14ac:dyDescent="0.3">
      <c r="A187" s="271"/>
      <c r="B187" s="272" t="s">
        <v>72</v>
      </c>
      <c r="C187" s="272"/>
      <c r="D187" s="272"/>
      <c r="E187" s="272"/>
      <c r="F187" s="272"/>
      <c r="G187" s="272"/>
      <c r="H187" s="272"/>
      <c r="I187" s="272"/>
      <c r="J187" s="272"/>
      <c r="K187" s="272"/>
      <c r="L187" s="272"/>
      <c r="M187" s="272"/>
      <c r="N187" s="272"/>
      <c r="O187" s="272"/>
      <c r="P187" s="272"/>
      <c r="Q187" s="272"/>
      <c r="R187" s="272"/>
      <c r="S187" s="272"/>
      <c r="T187" s="343">
        <f>(T97+T99+T100+T101+T102+T103+T104+T105+T106)/-(T107+T108)</f>
        <v>12.131313131313131</v>
      </c>
      <c r="U187" s="275" t="s">
        <v>124</v>
      </c>
      <c r="V187" s="5"/>
    </row>
    <row r="188" spans="1:22" ht="15.6" x14ac:dyDescent="0.3">
      <c r="A188" s="271"/>
      <c r="B188" s="272" t="s">
        <v>73</v>
      </c>
      <c r="C188" s="272"/>
      <c r="D188" s="272"/>
      <c r="E188" s="272"/>
      <c r="F188" s="272"/>
      <c r="G188" s="272"/>
      <c r="H188" s="272"/>
      <c r="I188" s="272"/>
      <c r="J188" s="272"/>
      <c r="K188" s="272"/>
      <c r="L188" s="272"/>
      <c r="M188" s="272"/>
      <c r="N188" s="272"/>
      <c r="O188" s="272"/>
      <c r="P188" s="272"/>
      <c r="Q188" s="272"/>
      <c r="R188" s="272"/>
      <c r="S188" s="272"/>
      <c r="T188" s="346">
        <v>8.18</v>
      </c>
      <c r="U188" s="275" t="s">
        <v>124</v>
      </c>
      <c r="V188" s="5"/>
    </row>
    <row r="189" spans="1:22" ht="15.6" x14ac:dyDescent="0.3">
      <c r="A189" s="271"/>
      <c r="B189" s="272" t="s">
        <v>243</v>
      </c>
      <c r="C189" s="272"/>
      <c r="D189" s="272"/>
      <c r="E189" s="272"/>
      <c r="F189" s="272"/>
      <c r="G189" s="272"/>
      <c r="H189" s="272"/>
      <c r="I189" s="272"/>
      <c r="J189" s="272"/>
      <c r="K189" s="272"/>
      <c r="L189" s="272"/>
      <c r="M189" s="272"/>
      <c r="N189" s="272"/>
      <c r="O189" s="272"/>
      <c r="P189" s="272"/>
      <c r="Q189" s="272"/>
      <c r="R189" s="272"/>
      <c r="S189" s="272"/>
      <c r="T189" s="343">
        <f>(T97+T99+T100+T101+T102+T103+T104+T105+T106+T107+T108)/-(T109+T110)</f>
        <v>4.8122270742358078</v>
      </c>
      <c r="U189" s="275" t="s">
        <v>124</v>
      </c>
      <c r="V189" s="5"/>
    </row>
    <row r="190" spans="1:22" ht="15.6" x14ac:dyDescent="0.3">
      <c r="A190" s="271"/>
      <c r="B190" s="272" t="s">
        <v>244</v>
      </c>
      <c r="C190" s="272"/>
      <c r="D190" s="272"/>
      <c r="E190" s="272"/>
      <c r="F190" s="272"/>
      <c r="G190" s="272"/>
      <c r="H190" s="272"/>
      <c r="I190" s="272"/>
      <c r="J190" s="272"/>
      <c r="K190" s="272"/>
      <c r="L190" s="272"/>
      <c r="M190" s="272"/>
      <c r="N190" s="272"/>
      <c r="O190" s="272"/>
      <c r="P190" s="272"/>
      <c r="Q190" s="272"/>
      <c r="R190" s="272"/>
      <c r="S190" s="272"/>
      <c r="T190" s="346">
        <v>3.72</v>
      </c>
      <c r="U190" s="275" t="s">
        <v>124</v>
      </c>
      <c r="V190" s="5"/>
    </row>
    <row r="191" spans="1:22" ht="15.6" x14ac:dyDescent="0.3">
      <c r="A191" s="271"/>
      <c r="B191" s="272"/>
      <c r="C191" s="272"/>
      <c r="D191" s="272"/>
      <c r="E191" s="272"/>
      <c r="F191" s="272"/>
      <c r="G191" s="272"/>
      <c r="H191" s="272"/>
      <c r="I191" s="272"/>
      <c r="J191" s="272"/>
      <c r="K191" s="272"/>
      <c r="L191" s="272"/>
      <c r="M191" s="272"/>
      <c r="N191" s="272"/>
      <c r="O191" s="272"/>
      <c r="P191" s="272"/>
      <c r="Q191" s="272"/>
      <c r="R191" s="272"/>
      <c r="S191" s="272"/>
      <c r="T191" s="272"/>
      <c r="U191" s="275"/>
      <c r="V191" s="5"/>
    </row>
    <row r="192" spans="1:22" ht="15.6" x14ac:dyDescent="0.3">
      <c r="A192" s="177"/>
      <c r="B192" s="268"/>
      <c r="C192" s="268"/>
      <c r="D192" s="268"/>
      <c r="E192" s="268"/>
      <c r="F192" s="268"/>
      <c r="G192" s="268"/>
      <c r="H192" s="268"/>
      <c r="I192" s="268"/>
      <c r="J192" s="268"/>
      <c r="K192" s="268"/>
      <c r="L192" s="268"/>
      <c r="M192" s="268"/>
      <c r="N192" s="268"/>
      <c r="O192" s="268"/>
      <c r="P192" s="268"/>
      <c r="Q192" s="268"/>
      <c r="R192" s="268"/>
      <c r="S192" s="268"/>
      <c r="T192" s="268"/>
      <c r="U192" s="268"/>
      <c r="V192" s="5"/>
    </row>
    <row r="193" spans="1:22" ht="15.6" x14ac:dyDescent="0.3">
      <c r="A193" s="177"/>
      <c r="B193" s="234"/>
      <c r="C193" s="234"/>
      <c r="D193" s="234"/>
      <c r="E193" s="234"/>
      <c r="F193" s="234"/>
      <c r="G193" s="234"/>
      <c r="H193" s="234"/>
      <c r="I193" s="234"/>
      <c r="J193" s="234"/>
      <c r="K193" s="234"/>
      <c r="L193" s="234"/>
      <c r="M193" s="234"/>
      <c r="N193" s="234"/>
      <c r="O193" s="234"/>
      <c r="P193" s="234"/>
      <c r="Q193" s="234"/>
      <c r="R193" s="234"/>
      <c r="S193" s="234"/>
      <c r="T193" s="234"/>
      <c r="U193" s="234"/>
      <c r="V193" s="5"/>
    </row>
    <row r="194" spans="1:22" ht="18" thickBot="1" x14ac:dyDescent="0.35">
      <c r="A194" s="195"/>
      <c r="B194" s="238" t="str">
        <f>B133</f>
        <v>PM9 INVESTOR REPORT QUARTER ENDING JULY 2012</v>
      </c>
      <c r="C194" s="245"/>
      <c r="D194" s="245"/>
      <c r="E194" s="245"/>
      <c r="F194" s="245"/>
      <c r="G194" s="245"/>
      <c r="H194" s="245"/>
      <c r="I194" s="245"/>
      <c r="J194" s="245"/>
      <c r="K194" s="245"/>
      <c r="L194" s="245"/>
      <c r="M194" s="245"/>
      <c r="N194" s="245"/>
      <c r="O194" s="245"/>
      <c r="P194" s="245"/>
      <c r="Q194" s="245"/>
      <c r="R194" s="245"/>
      <c r="S194" s="245"/>
      <c r="T194" s="245"/>
      <c r="U194" s="246"/>
      <c r="V194" s="5"/>
    </row>
    <row r="195" spans="1:22" ht="15.6" x14ac:dyDescent="0.3">
      <c r="A195" s="321"/>
      <c r="B195" s="324" t="s">
        <v>74</v>
      </c>
      <c r="C195" s="325"/>
      <c r="D195" s="325"/>
      <c r="E195" s="325"/>
      <c r="F195" s="325"/>
      <c r="G195" s="326"/>
      <c r="H195" s="326"/>
      <c r="I195" s="326"/>
      <c r="J195" s="326"/>
      <c r="K195" s="326"/>
      <c r="L195" s="326"/>
      <c r="M195" s="326"/>
      <c r="N195" s="326"/>
      <c r="O195" s="326"/>
      <c r="P195" s="326"/>
      <c r="Q195" s="326"/>
      <c r="R195" s="326">
        <v>41121</v>
      </c>
      <c r="S195" s="322"/>
      <c r="T195" s="322"/>
      <c r="U195" s="322"/>
      <c r="V195" s="5"/>
    </row>
    <row r="196" spans="1:22" ht="15.6" x14ac:dyDescent="0.3">
      <c r="A196" s="210"/>
      <c r="B196" s="211"/>
      <c r="C196" s="212"/>
      <c r="D196" s="212"/>
      <c r="E196" s="212"/>
      <c r="F196" s="212"/>
      <c r="G196" s="213"/>
      <c r="H196" s="213"/>
      <c r="I196" s="213"/>
      <c r="J196" s="213"/>
      <c r="K196" s="213"/>
      <c r="L196" s="213"/>
      <c r="M196" s="213"/>
      <c r="N196" s="213"/>
      <c r="O196" s="213"/>
      <c r="P196" s="213"/>
      <c r="Q196" s="213"/>
      <c r="R196" s="213"/>
      <c r="S196" s="179"/>
      <c r="T196" s="179"/>
      <c r="U196" s="179"/>
      <c r="V196" s="5"/>
    </row>
    <row r="197" spans="1:22" ht="15.6" x14ac:dyDescent="0.3">
      <c r="A197" s="348"/>
      <c r="B197" s="272" t="s">
        <v>75</v>
      </c>
      <c r="C197" s="349"/>
      <c r="D197" s="349"/>
      <c r="E197" s="349"/>
      <c r="F197" s="349"/>
      <c r="G197" s="309"/>
      <c r="H197" s="309"/>
      <c r="I197" s="309"/>
      <c r="J197" s="309"/>
      <c r="K197" s="309"/>
      <c r="L197" s="309"/>
      <c r="M197" s="309"/>
      <c r="N197" s="309"/>
      <c r="O197" s="309"/>
      <c r="P197" s="309"/>
      <c r="Q197" s="309"/>
      <c r="R197" s="304">
        <v>5.8209999999999998E-2</v>
      </c>
      <c r="S197" s="272"/>
      <c r="T197" s="272"/>
      <c r="U197" s="340"/>
      <c r="V197" s="5"/>
    </row>
    <row r="198" spans="1:22" ht="15.6" x14ac:dyDescent="0.3">
      <c r="A198" s="348"/>
      <c r="B198" s="272" t="s">
        <v>164</v>
      </c>
      <c r="C198" s="349"/>
      <c r="D198" s="349"/>
      <c r="E198" s="349"/>
      <c r="F198" s="349"/>
      <c r="G198" s="309"/>
      <c r="H198" s="309"/>
      <c r="I198" s="309"/>
      <c r="J198" s="309"/>
      <c r="K198" s="309"/>
      <c r="L198" s="309"/>
      <c r="M198" s="309"/>
      <c r="N198" s="309"/>
      <c r="O198" s="309"/>
      <c r="P198" s="309"/>
      <c r="Q198" s="309"/>
      <c r="R198" s="304">
        <f>'Oct 05'!R193</f>
        <v>4.8438496428571419E-2</v>
      </c>
      <c r="S198" s="272"/>
      <c r="T198" s="272"/>
      <c r="U198" s="340"/>
      <c r="V198" s="5"/>
    </row>
    <row r="199" spans="1:22" ht="15.6" x14ac:dyDescent="0.3">
      <c r="A199" s="348"/>
      <c r="B199" s="272" t="s">
        <v>76</v>
      </c>
      <c r="C199" s="349"/>
      <c r="D199" s="349"/>
      <c r="E199" s="349"/>
      <c r="F199" s="349"/>
      <c r="G199" s="309"/>
      <c r="H199" s="309"/>
      <c r="I199" s="309"/>
      <c r="J199" s="309"/>
      <c r="K199" s="309"/>
      <c r="L199" s="309"/>
      <c r="M199" s="309"/>
      <c r="N199" s="309"/>
      <c r="O199" s="309"/>
      <c r="P199" s="309"/>
      <c r="Q199" s="309"/>
      <c r="R199" s="304">
        <f>R197-R198</f>
        <v>9.7715035714285789E-3</v>
      </c>
      <c r="S199" s="272"/>
      <c r="T199" s="272"/>
      <c r="U199" s="340"/>
      <c r="V199" s="5"/>
    </row>
    <row r="200" spans="1:22" ht="15.6" x14ac:dyDescent="0.3">
      <c r="A200" s="348"/>
      <c r="B200" s="272" t="s">
        <v>77</v>
      </c>
      <c r="C200" s="349"/>
      <c r="D200" s="349"/>
      <c r="E200" s="349"/>
      <c r="F200" s="349"/>
      <c r="G200" s="309"/>
      <c r="H200" s="309"/>
      <c r="I200" s="309"/>
      <c r="J200" s="309"/>
      <c r="K200" s="309"/>
      <c r="L200" s="309"/>
      <c r="M200" s="309"/>
      <c r="N200" s="309"/>
      <c r="O200" s="309"/>
      <c r="P200" s="309"/>
      <c r="Q200" s="309"/>
      <c r="R200" s="304">
        <v>2.664E-2</v>
      </c>
      <c r="S200" s="272"/>
      <c r="T200" s="272"/>
      <c r="U200" s="340"/>
      <c r="V200" s="5"/>
    </row>
    <row r="201" spans="1:22" ht="15.6" x14ac:dyDescent="0.3">
      <c r="A201" s="348"/>
      <c r="B201" s="272" t="s">
        <v>257</v>
      </c>
      <c r="C201" s="349"/>
      <c r="D201" s="349"/>
      <c r="E201" s="349"/>
      <c r="F201" s="349"/>
      <c r="G201" s="309"/>
      <c r="H201" s="309"/>
      <c r="I201" s="309"/>
      <c r="J201" s="309"/>
      <c r="K201" s="309"/>
      <c r="L201" s="309"/>
      <c r="M201" s="309"/>
      <c r="N201" s="309"/>
      <c r="O201" s="309"/>
      <c r="P201" s="309"/>
      <c r="Q201" s="309"/>
      <c r="R201" s="304">
        <f>+T41</f>
        <v>1.5014094926094276E-2</v>
      </c>
      <c r="S201" s="272"/>
      <c r="T201" s="272"/>
      <c r="U201" s="340"/>
      <c r="V201" s="5"/>
    </row>
    <row r="202" spans="1:22" ht="15.6" x14ac:dyDescent="0.3">
      <c r="A202" s="348"/>
      <c r="B202" s="272" t="s">
        <v>78</v>
      </c>
      <c r="C202" s="349"/>
      <c r="D202" s="349"/>
      <c r="E202" s="349"/>
      <c r="F202" s="349"/>
      <c r="G202" s="309"/>
      <c r="H202" s="309"/>
      <c r="I202" s="309"/>
      <c r="J202" s="309"/>
      <c r="K202" s="309"/>
      <c r="L202" s="309"/>
      <c r="M202" s="309"/>
      <c r="N202" s="309"/>
      <c r="O202" s="309"/>
      <c r="P202" s="309"/>
      <c r="Q202" s="309"/>
      <c r="R202" s="304">
        <f>R200-R201</f>
        <v>1.1625905073905724E-2</v>
      </c>
      <c r="S202" s="272"/>
      <c r="T202" s="272"/>
      <c r="U202" s="340"/>
      <c r="V202" s="5"/>
    </row>
    <row r="203" spans="1:22" ht="15.6" x14ac:dyDescent="0.3">
      <c r="A203" s="348"/>
      <c r="B203" s="272" t="s">
        <v>268</v>
      </c>
      <c r="C203" s="349"/>
      <c r="D203" s="349"/>
      <c r="E203" s="349"/>
      <c r="F203" s="349"/>
      <c r="G203" s="309"/>
      <c r="H203" s="309"/>
      <c r="I203" s="309"/>
      <c r="J203" s="309"/>
      <c r="K203" s="309"/>
      <c r="L203" s="309"/>
      <c r="M203" s="309"/>
      <c r="N203" s="309"/>
      <c r="O203" s="309"/>
      <c r="P203" s="309"/>
      <c r="Q203" s="309"/>
      <c r="R203" s="304">
        <f>+T97/L68</f>
        <v>7.5616445444901554E-3</v>
      </c>
      <c r="S203" s="272"/>
      <c r="T203" s="272"/>
      <c r="U203" s="340"/>
      <c r="V203" s="5"/>
    </row>
    <row r="204" spans="1:22" ht="15.6" x14ac:dyDescent="0.3">
      <c r="A204" s="348"/>
      <c r="B204" s="272" t="s">
        <v>249</v>
      </c>
      <c r="C204" s="349"/>
      <c r="D204" s="349"/>
      <c r="E204" s="349"/>
      <c r="F204" s="349"/>
      <c r="G204" s="309"/>
      <c r="H204" s="309"/>
      <c r="I204" s="309"/>
      <c r="J204" s="309"/>
      <c r="K204" s="309"/>
      <c r="L204" s="309"/>
      <c r="M204" s="309"/>
      <c r="N204" s="309"/>
      <c r="O204" s="309"/>
      <c r="P204" s="309"/>
      <c r="Q204" s="309"/>
      <c r="R204" s="350">
        <v>51622</v>
      </c>
      <c r="S204" s="272"/>
      <c r="T204" s="272"/>
      <c r="U204" s="340"/>
      <c r="V204" s="5"/>
    </row>
    <row r="205" spans="1:22" ht="15.6" x14ac:dyDescent="0.3">
      <c r="A205" s="348"/>
      <c r="B205" s="272" t="s">
        <v>250</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251</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79</v>
      </c>
      <c r="C207" s="349"/>
      <c r="D207" s="349"/>
      <c r="E207" s="349"/>
      <c r="F207" s="349"/>
      <c r="G207" s="309"/>
      <c r="H207" s="309"/>
      <c r="I207" s="309"/>
      <c r="J207" s="309"/>
      <c r="K207" s="309"/>
      <c r="L207" s="309"/>
      <c r="M207" s="309"/>
      <c r="N207" s="309"/>
      <c r="O207" s="309"/>
      <c r="P207" s="309"/>
      <c r="Q207" s="309"/>
      <c r="R207" s="308">
        <v>20.95</v>
      </c>
      <c r="S207" s="272" t="s">
        <v>119</v>
      </c>
      <c r="T207" s="272"/>
      <c r="U207" s="340"/>
      <c r="V207" s="5"/>
    </row>
    <row r="208" spans="1:22" ht="15.6" x14ac:dyDescent="0.3">
      <c r="A208" s="348"/>
      <c r="B208" s="272" t="s">
        <v>80</v>
      </c>
      <c r="C208" s="349"/>
      <c r="D208" s="349"/>
      <c r="E208" s="349"/>
      <c r="F208" s="349"/>
      <c r="G208" s="309"/>
      <c r="H208" s="309"/>
      <c r="I208" s="309"/>
      <c r="J208" s="309"/>
      <c r="K208" s="309"/>
      <c r="L208" s="309"/>
      <c r="M208" s="309"/>
      <c r="N208" s="309"/>
      <c r="O208" s="309"/>
      <c r="P208" s="309"/>
      <c r="Q208" s="309"/>
      <c r="R208" s="308">
        <v>14.3</v>
      </c>
      <c r="S208" s="272" t="s">
        <v>119</v>
      </c>
      <c r="T208" s="272"/>
      <c r="U208" s="340"/>
      <c r="V208" s="5"/>
    </row>
    <row r="209" spans="1:22" ht="15.6" x14ac:dyDescent="0.3">
      <c r="A209" s="348"/>
      <c r="B209" s="272" t="s">
        <v>81</v>
      </c>
      <c r="C209" s="349"/>
      <c r="D209" s="349"/>
      <c r="E209" s="349"/>
      <c r="F209" s="349"/>
      <c r="G209" s="309"/>
      <c r="H209" s="309"/>
      <c r="I209" s="309"/>
      <c r="J209" s="309"/>
      <c r="K209" s="309"/>
      <c r="L209" s="309"/>
      <c r="M209" s="309"/>
      <c r="N209" s="309"/>
      <c r="O209" s="309"/>
      <c r="P209" s="309"/>
      <c r="Q209" s="309"/>
      <c r="R209" s="304">
        <f>N65/L65</f>
        <v>5.9995083960775178E-3</v>
      </c>
      <c r="S209" s="272"/>
      <c r="T209" s="272"/>
      <c r="U209" s="340"/>
      <c r="V209" s="5"/>
    </row>
    <row r="210" spans="1:22" ht="15.6" x14ac:dyDescent="0.3">
      <c r="A210" s="348"/>
      <c r="B210" s="272" t="s">
        <v>82</v>
      </c>
      <c r="C210" s="349"/>
      <c r="D210" s="349"/>
      <c r="E210" s="349"/>
      <c r="F210" s="349"/>
      <c r="G210" s="309"/>
      <c r="H210" s="309"/>
      <c r="I210" s="309"/>
      <c r="J210" s="309"/>
      <c r="K210" s="309"/>
      <c r="L210" s="309"/>
      <c r="M210" s="309"/>
      <c r="N210" s="309"/>
      <c r="O210" s="309"/>
      <c r="P210" s="309"/>
      <c r="Q210" s="309"/>
      <c r="R210" s="304">
        <v>0.12189999999999999</v>
      </c>
      <c r="S210" s="272"/>
      <c r="T210" s="272"/>
      <c r="U210" s="340"/>
      <c r="V210" s="5"/>
    </row>
    <row r="211" spans="1:22" ht="15.6" x14ac:dyDescent="0.3">
      <c r="A211" s="210"/>
      <c r="B211" s="268"/>
      <c r="C211" s="268"/>
      <c r="D211" s="268"/>
      <c r="E211" s="268"/>
      <c r="F211" s="268"/>
      <c r="G211" s="268"/>
      <c r="H211" s="268"/>
      <c r="I211" s="268"/>
      <c r="J211" s="268"/>
      <c r="K211" s="268"/>
      <c r="L211" s="268"/>
      <c r="M211" s="268"/>
      <c r="N211" s="268"/>
      <c r="O211" s="268"/>
      <c r="P211" s="268"/>
      <c r="Q211" s="268"/>
      <c r="R211" s="344"/>
      <c r="S211" s="268"/>
      <c r="T211" s="347"/>
      <c r="U211" s="314"/>
      <c r="V211" s="5"/>
    </row>
    <row r="212" spans="1:22" ht="15.6" x14ac:dyDescent="0.3">
      <c r="A212" s="327"/>
      <c r="B212" s="259" t="s">
        <v>83</v>
      </c>
      <c r="C212" s="260"/>
      <c r="D212" s="260"/>
      <c r="E212" s="260"/>
      <c r="F212" s="261"/>
      <c r="G212" s="260"/>
      <c r="H212" s="260"/>
      <c r="I212" s="260"/>
      <c r="J212" s="260"/>
      <c r="K212" s="260"/>
      <c r="L212" s="260"/>
      <c r="M212" s="260"/>
      <c r="N212" s="260"/>
      <c r="O212" s="260"/>
      <c r="P212" s="260"/>
      <c r="Q212" s="260" t="s">
        <v>108</v>
      </c>
      <c r="R212" s="261" t="s">
        <v>115</v>
      </c>
      <c r="S212" s="262"/>
      <c r="T212" s="262"/>
      <c r="U212" s="262"/>
      <c r="V212" s="5"/>
    </row>
    <row r="213" spans="1:22" ht="15.6" x14ac:dyDescent="0.3">
      <c r="A213" s="214"/>
      <c r="B213" s="228" t="s">
        <v>84</v>
      </c>
      <c r="C213" s="231"/>
      <c r="D213" s="231"/>
      <c r="E213" s="231"/>
      <c r="F213" s="228"/>
      <c r="G213" s="228"/>
      <c r="H213" s="230"/>
      <c r="I213" s="230"/>
      <c r="J213" s="230"/>
      <c r="K213" s="230"/>
      <c r="L213" s="230"/>
      <c r="M213" s="230"/>
      <c r="N213" s="230"/>
      <c r="O213" s="230"/>
      <c r="P213" s="230"/>
      <c r="Q213" s="230">
        <v>1</v>
      </c>
      <c r="R213" s="248">
        <v>107</v>
      </c>
      <c r="S213" s="228"/>
      <c r="T213" s="247"/>
      <c r="U213" s="215"/>
      <c r="V213" s="5"/>
    </row>
    <row r="214" spans="1:22" ht="15.6" x14ac:dyDescent="0.3">
      <c r="A214" s="358"/>
      <c r="B214" s="272" t="s">
        <v>156</v>
      </c>
      <c r="C214" s="317"/>
      <c r="D214" s="317"/>
      <c r="E214" s="317"/>
      <c r="F214" s="272"/>
      <c r="G214" s="272"/>
      <c r="H214" s="279"/>
      <c r="I214" s="279"/>
      <c r="J214" s="279"/>
      <c r="K214" s="279"/>
      <c r="L214" s="279"/>
      <c r="M214" s="279"/>
      <c r="N214" s="279"/>
      <c r="O214" s="279"/>
      <c r="P214" s="279"/>
      <c r="Q214" s="359">
        <f>+P265</f>
        <v>66</v>
      </c>
      <c r="R214" s="360">
        <f>+R265</f>
        <v>9799</v>
      </c>
      <c r="S214" s="272"/>
      <c r="T214" s="361"/>
      <c r="U214" s="362"/>
      <c r="V214" s="5"/>
    </row>
    <row r="215" spans="1:22" ht="15.6" x14ac:dyDescent="0.3">
      <c r="A215" s="358"/>
      <c r="B215" s="272" t="s">
        <v>85</v>
      </c>
      <c r="C215" s="317"/>
      <c r="D215" s="317"/>
      <c r="E215" s="317"/>
      <c r="F215" s="272"/>
      <c r="G215" s="272"/>
      <c r="H215" s="279"/>
      <c r="I215" s="279"/>
      <c r="J215" s="279"/>
      <c r="K215" s="279"/>
      <c r="L215" s="279"/>
      <c r="M215" s="279"/>
      <c r="N215" s="279"/>
      <c r="O215" s="279"/>
      <c r="P215" s="279"/>
      <c r="Q215" s="359">
        <f>+P277</f>
        <v>0</v>
      </c>
      <c r="R215" s="360">
        <f>+R277</f>
        <v>0</v>
      </c>
      <c r="S215" s="272"/>
      <c r="T215" s="361"/>
      <c r="U215" s="362"/>
      <c r="V215" s="5"/>
    </row>
    <row r="216" spans="1:22" ht="15.6" x14ac:dyDescent="0.3">
      <c r="A216" s="358"/>
      <c r="B216" s="293" t="s">
        <v>86</v>
      </c>
      <c r="C216" s="363"/>
      <c r="D216" s="363"/>
      <c r="E216" s="363"/>
      <c r="F216" s="337"/>
      <c r="G216" s="337"/>
      <c r="H216" s="337"/>
      <c r="I216" s="337"/>
      <c r="J216" s="337"/>
      <c r="K216" s="337"/>
      <c r="L216" s="337"/>
      <c r="M216" s="337"/>
      <c r="N216" s="337"/>
      <c r="O216" s="337"/>
      <c r="P216" s="337"/>
      <c r="Q216" s="337"/>
      <c r="R216" s="360">
        <v>0</v>
      </c>
      <c r="S216" s="337"/>
      <c r="T216" s="364"/>
      <c r="U216" s="362"/>
      <c r="V216" s="5"/>
    </row>
    <row r="217" spans="1:22" ht="15.6" x14ac:dyDescent="0.3">
      <c r="A217" s="358"/>
      <c r="B217" s="293" t="s">
        <v>87</v>
      </c>
      <c r="C217" s="363"/>
      <c r="D217" s="363"/>
      <c r="E217" s="363"/>
      <c r="F217" s="337"/>
      <c r="G217" s="337"/>
      <c r="H217" s="337"/>
      <c r="I217" s="337"/>
      <c r="J217" s="337"/>
      <c r="K217" s="337"/>
      <c r="L217" s="337"/>
      <c r="M217" s="337"/>
      <c r="N217" s="337"/>
      <c r="O217" s="337"/>
      <c r="P217" s="337"/>
      <c r="Q217" s="337"/>
      <c r="R217" s="365" t="s">
        <v>116</v>
      </c>
      <c r="S217" s="337"/>
      <c r="T217" s="364"/>
      <c r="U217" s="362"/>
      <c r="V217" s="5"/>
    </row>
    <row r="218" spans="1:22" ht="15.6" x14ac:dyDescent="0.3">
      <c r="A218" s="366"/>
      <c r="B218" s="293" t="s">
        <v>88</v>
      </c>
      <c r="C218" s="367"/>
      <c r="D218" s="367"/>
      <c r="E218" s="367"/>
      <c r="F218" s="367"/>
      <c r="G218" s="337"/>
      <c r="H218" s="337"/>
      <c r="I218" s="337"/>
      <c r="J218" s="337"/>
      <c r="K218" s="337"/>
      <c r="L218" s="337"/>
      <c r="M218" s="337"/>
      <c r="N218" s="337"/>
      <c r="O218" s="337"/>
      <c r="P218" s="337"/>
      <c r="Q218" s="337"/>
      <c r="R218" s="368"/>
      <c r="S218" s="337"/>
      <c r="T218" s="364"/>
      <c r="U218" s="369"/>
      <c r="V218" s="5"/>
    </row>
    <row r="219" spans="1:22" ht="15.6" x14ac:dyDescent="0.3">
      <c r="A219" s="366"/>
      <c r="B219" s="272" t="s">
        <v>89</v>
      </c>
      <c r="C219" s="272"/>
      <c r="D219" s="272"/>
      <c r="E219" s="272"/>
      <c r="F219" s="272"/>
      <c r="G219" s="272"/>
      <c r="H219" s="272"/>
      <c r="I219" s="272"/>
      <c r="J219" s="272"/>
      <c r="K219" s="272"/>
      <c r="L219" s="272"/>
      <c r="M219" s="272"/>
      <c r="N219" s="272"/>
      <c r="O219" s="272"/>
      <c r="P219" s="272"/>
      <c r="Q219" s="279"/>
      <c r="R219" s="360">
        <f>T163</f>
        <v>20</v>
      </c>
      <c r="S219" s="272"/>
      <c r="T219" s="364"/>
      <c r="U219" s="369"/>
      <c r="V219" s="5"/>
    </row>
    <row r="220" spans="1:22" ht="15.6" x14ac:dyDescent="0.3">
      <c r="A220" s="358"/>
      <c r="B220" s="272" t="s">
        <v>90</v>
      </c>
      <c r="C220" s="317"/>
      <c r="D220" s="317"/>
      <c r="E220" s="317"/>
      <c r="F220" s="317"/>
      <c r="G220" s="272"/>
      <c r="H220" s="272"/>
      <c r="I220" s="272"/>
      <c r="J220" s="272"/>
      <c r="K220" s="272"/>
      <c r="L220" s="272"/>
      <c r="M220" s="272"/>
      <c r="N220" s="272"/>
      <c r="O220" s="272"/>
      <c r="P220" s="272"/>
      <c r="Q220" s="279"/>
      <c r="R220" s="360">
        <f>'April 12'!R220+'July 12'!R219</f>
        <v>2385</v>
      </c>
      <c r="S220" s="272"/>
      <c r="T220" s="364"/>
      <c r="U220" s="369"/>
      <c r="V220" s="5"/>
    </row>
    <row r="221" spans="1:22" ht="15.6" x14ac:dyDescent="0.3">
      <c r="A221" s="366"/>
      <c r="B221" s="293" t="s">
        <v>288</v>
      </c>
      <c r="C221" s="367"/>
      <c r="D221" s="367"/>
      <c r="E221" s="367"/>
      <c r="F221" s="367"/>
      <c r="G221" s="337"/>
      <c r="H221" s="337"/>
      <c r="I221" s="337"/>
      <c r="J221" s="337"/>
      <c r="K221" s="337"/>
      <c r="L221" s="337"/>
      <c r="M221" s="337"/>
      <c r="N221" s="337"/>
      <c r="O221" s="337"/>
      <c r="P221" s="337"/>
      <c r="Q221" s="374"/>
      <c r="R221" s="368"/>
      <c r="S221" s="337"/>
      <c r="T221" s="364"/>
      <c r="U221" s="369"/>
      <c r="V221" s="5"/>
    </row>
    <row r="222" spans="1:22" ht="15.6" x14ac:dyDescent="0.3">
      <c r="A222" s="375"/>
      <c r="B222" s="272" t="s">
        <v>286</v>
      </c>
      <c r="C222" s="272"/>
      <c r="D222" s="272"/>
      <c r="E222" s="272"/>
      <c r="F222" s="272"/>
      <c r="G222" s="272"/>
      <c r="H222" s="272"/>
      <c r="I222" s="272"/>
      <c r="J222" s="272"/>
      <c r="K222" s="272"/>
      <c r="L222" s="272"/>
      <c r="M222" s="272"/>
      <c r="N222" s="272"/>
      <c r="O222" s="272"/>
      <c r="P222" s="272"/>
      <c r="Q222" s="279">
        <v>0</v>
      </c>
      <c r="R222" s="360">
        <v>0</v>
      </c>
      <c r="S222" s="272"/>
      <c r="T222" s="361"/>
      <c r="U222" s="369"/>
      <c r="V222" s="5"/>
    </row>
    <row r="223" spans="1:22" ht="15.6" x14ac:dyDescent="0.3">
      <c r="A223" s="376"/>
      <c r="B223" s="272" t="s">
        <v>92</v>
      </c>
      <c r="C223" s="306"/>
      <c r="D223" s="306"/>
      <c r="E223" s="306"/>
      <c r="F223" s="377"/>
      <c r="G223" s="272"/>
      <c r="H223" s="272"/>
      <c r="I223" s="272"/>
      <c r="J223" s="272"/>
      <c r="K223" s="272"/>
      <c r="L223" s="272"/>
      <c r="M223" s="272"/>
      <c r="N223" s="272"/>
      <c r="O223" s="272"/>
      <c r="P223" s="272"/>
      <c r="Q223" s="279"/>
      <c r="R223" s="365">
        <v>0</v>
      </c>
      <c r="S223" s="272"/>
      <c r="T223" s="361"/>
      <c r="U223" s="369"/>
      <c r="V223" s="5"/>
    </row>
    <row r="224" spans="1:22" ht="15.6" x14ac:dyDescent="0.3">
      <c r="A224" s="376"/>
      <c r="B224" s="272" t="s">
        <v>93</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58"/>
      <c r="B225" s="293" t="s">
        <v>258</v>
      </c>
      <c r="C225" s="378"/>
      <c r="D225" s="378"/>
      <c r="E225" s="378"/>
      <c r="F225" s="379"/>
      <c r="G225" s="337"/>
      <c r="H225" s="337"/>
      <c r="I225" s="337"/>
      <c r="J225" s="337"/>
      <c r="K225" s="337"/>
      <c r="L225" s="337"/>
      <c r="M225" s="337"/>
      <c r="N225" s="337"/>
      <c r="O225" s="337"/>
      <c r="P225" s="337"/>
      <c r="Q225" s="374"/>
      <c r="R225" s="380"/>
      <c r="S225" s="337"/>
      <c r="T225" s="364"/>
      <c r="U225" s="369"/>
      <c r="V225" s="5"/>
    </row>
    <row r="226" spans="1:23" ht="15.6" x14ac:dyDescent="0.3">
      <c r="A226" s="376"/>
      <c r="B226" s="272" t="s">
        <v>286</v>
      </c>
      <c r="C226" s="306"/>
      <c r="D226" s="306"/>
      <c r="E226" s="306"/>
      <c r="F226" s="377"/>
      <c r="G226" s="272"/>
      <c r="H226" s="272"/>
      <c r="I226" s="272"/>
      <c r="J226" s="272"/>
      <c r="K226" s="272"/>
      <c r="L226" s="272"/>
      <c r="M226" s="272"/>
      <c r="N226" s="272"/>
      <c r="O226" s="272"/>
      <c r="P226" s="272"/>
      <c r="Q226" s="279">
        <v>1</v>
      </c>
      <c r="R226" s="360">
        <v>79</v>
      </c>
      <c r="S226" s="272"/>
      <c r="T226" s="364"/>
      <c r="U226" s="369"/>
      <c r="V226" s="5"/>
    </row>
    <row r="227" spans="1:23" ht="15.6" x14ac:dyDescent="0.3">
      <c r="A227" s="376"/>
      <c r="B227" s="272" t="s">
        <v>259</v>
      </c>
      <c r="C227" s="306"/>
      <c r="D227" s="306"/>
      <c r="E227" s="306"/>
      <c r="F227" s="377"/>
      <c r="G227" s="272"/>
      <c r="H227" s="272"/>
      <c r="I227" s="272"/>
      <c r="J227" s="272"/>
      <c r="K227" s="272"/>
      <c r="L227" s="272"/>
      <c r="M227" s="272"/>
      <c r="N227" s="272"/>
      <c r="O227" s="272"/>
      <c r="P227" s="272"/>
      <c r="Q227" s="272"/>
      <c r="R227" s="365">
        <v>1.85</v>
      </c>
      <c r="S227" s="272"/>
      <c r="T227" s="364"/>
      <c r="U227" s="369"/>
      <c r="V227" s="5"/>
    </row>
    <row r="228" spans="1:23" ht="15.6" x14ac:dyDescent="0.3">
      <c r="A228" s="358"/>
      <c r="B228" s="367"/>
      <c r="C228" s="378"/>
      <c r="D228" s="378"/>
      <c r="E228" s="378"/>
      <c r="F228" s="379"/>
      <c r="G228" s="337"/>
      <c r="H228" s="337"/>
      <c r="I228" s="337"/>
      <c r="J228" s="337"/>
      <c r="K228" s="337"/>
      <c r="L228" s="337"/>
      <c r="M228" s="337"/>
      <c r="N228" s="337"/>
      <c r="O228" s="337"/>
      <c r="P228" s="337"/>
      <c r="Q228" s="337"/>
      <c r="R228" s="381"/>
      <c r="S228" s="337"/>
      <c r="T228" s="364"/>
      <c r="U228" s="369"/>
      <c r="V228" s="5"/>
    </row>
    <row r="229" spans="1:23" ht="17.399999999999999" x14ac:dyDescent="0.3">
      <c r="A229" s="358"/>
      <c r="B229" s="382" t="s">
        <v>208</v>
      </c>
      <c r="C229" s="378"/>
      <c r="D229" s="378"/>
      <c r="E229" s="378"/>
      <c r="F229" s="379"/>
      <c r="G229" s="337"/>
      <c r="H229" s="337"/>
      <c r="I229" s="337"/>
      <c r="J229" s="337"/>
      <c r="K229" s="337"/>
      <c r="L229" s="337"/>
      <c r="M229" s="337"/>
      <c r="N229" s="383" t="s">
        <v>207</v>
      </c>
      <c r="O229" s="337"/>
      <c r="P229" s="337"/>
      <c r="Q229" s="337"/>
      <c r="R229" s="381"/>
      <c r="S229" s="337"/>
      <c r="T229" s="364"/>
      <c r="U229" s="369"/>
      <c r="V229" s="5"/>
    </row>
    <row r="230" spans="1:23" ht="15.6" x14ac:dyDescent="0.3">
      <c r="A230" s="351"/>
      <c r="B230" s="352"/>
      <c r="C230" s="353"/>
      <c r="D230" s="353"/>
      <c r="E230" s="353"/>
      <c r="F230" s="354"/>
      <c r="G230" s="314"/>
      <c r="H230" s="314"/>
      <c r="I230" s="314"/>
      <c r="J230" s="314"/>
      <c r="K230" s="314"/>
      <c r="L230" s="314"/>
      <c r="M230" s="314"/>
      <c r="N230" s="314"/>
      <c r="O230" s="314"/>
      <c r="P230" s="314"/>
      <c r="Q230" s="314"/>
      <c r="R230" s="355"/>
      <c r="S230" s="314"/>
      <c r="T230" s="356"/>
      <c r="U230" s="357"/>
      <c r="V230" s="5"/>
    </row>
    <row r="231" spans="1:23" ht="15.6" x14ac:dyDescent="0.3">
      <c r="A231" s="258"/>
      <c r="B231" s="259" t="s">
        <v>302</v>
      </c>
      <c r="C231" s="260"/>
      <c r="D231" s="260"/>
      <c r="E231" s="260"/>
      <c r="F231" s="261"/>
      <c r="G231" s="260"/>
      <c r="H231" s="260"/>
      <c r="I231" s="260"/>
      <c r="J231" s="260"/>
      <c r="K231" s="260"/>
      <c r="L231" s="260"/>
      <c r="M231" s="260"/>
      <c r="N231" s="260"/>
      <c r="O231" s="260"/>
      <c r="P231" s="261" t="s">
        <v>108</v>
      </c>
      <c r="Q231" s="260" t="s">
        <v>109</v>
      </c>
      <c r="R231" s="261" t="s">
        <v>117</v>
      </c>
      <c r="S231" s="260" t="s">
        <v>109</v>
      </c>
      <c r="T231" s="262"/>
      <c r="U231" s="259"/>
      <c r="V231" s="5"/>
    </row>
    <row r="232" spans="1:23" ht="15.6" x14ac:dyDescent="0.3">
      <c r="A232" s="232"/>
      <c r="B232" s="231" t="s">
        <v>94</v>
      </c>
      <c r="C232" s="249"/>
      <c r="D232" s="249"/>
      <c r="E232" s="249"/>
      <c r="F232" s="228"/>
      <c r="G232" s="249"/>
      <c r="H232" s="249"/>
      <c r="I232" s="249"/>
      <c r="J232" s="249"/>
      <c r="K232" s="249"/>
      <c r="L232" s="249"/>
      <c r="M232" s="249"/>
      <c r="N232" s="249"/>
      <c r="O232" s="249"/>
      <c r="P232" s="317">
        <f t="shared" ref="P232:P239" si="1">+P244+P256+P268</f>
        <v>2508</v>
      </c>
      <c r="Q232" s="388">
        <f t="shared" ref="Q232:Q239" si="2">P232/$P$241</f>
        <v>0.98701298701298701</v>
      </c>
      <c r="R232" s="318">
        <f t="shared" ref="R232:R239" si="3">+R244+R256+R268</f>
        <v>302116</v>
      </c>
      <c r="S232" s="388">
        <f t="shared" ref="S232:S239" si="4">R232/$R$241</f>
        <v>0.98294816776582283</v>
      </c>
      <c r="T232" s="247"/>
      <c r="U232" s="229"/>
      <c r="V232" s="5"/>
    </row>
    <row r="233" spans="1:23" ht="15.6" x14ac:dyDescent="0.3">
      <c r="A233" s="302"/>
      <c r="B233" s="317" t="s">
        <v>95</v>
      </c>
      <c r="C233" s="387"/>
      <c r="D233" s="387"/>
      <c r="E233" s="387"/>
      <c r="F233" s="272"/>
      <c r="G233" s="388"/>
      <c r="H233" s="387"/>
      <c r="I233" s="387"/>
      <c r="J233" s="387"/>
      <c r="K233" s="387"/>
      <c r="L233" s="387"/>
      <c r="M233" s="387"/>
      <c r="N233" s="387"/>
      <c r="O233" s="387"/>
      <c r="P233" s="317">
        <f t="shared" si="1"/>
        <v>13</v>
      </c>
      <c r="Q233" s="388">
        <f t="shared" si="2"/>
        <v>5.1160960251869347E-3</v>
      </c>
      <c r="R233" s="318">
        <f t="shared" si="3"/>
        <v>1846</v>
      </c>
      <c r="S233" s="388">
        <f t="shared" si="4"/>
        <v>6.0060450876342495E-3</v>
      </c>
      <c r="T233" s="361"/>
      <c r="U233" s="389"/>
      <c r="V233" s="5"/>
      <c r="W233" s="110"/>
    </row>
    <row r="234" spans="1:23" ht="15.6" x14ac:dyDescent="0.3">
      <c r="A234" s="302"/>
      <c r="B234" s="317" t="s">
        <v>96</v>
      </c>
      <c r="C234" s="387"/>
      <c r="D234" s="387"/>
      <c r="E234" s="387"/>
      <c r="F234" s="272"/>
      <c r="G234" s="388"/>
      <c r="H234" s="387"/>
      <c r="I234" s="387"/>
      <c r="J234" s="387"/>
      <c r="K234" s="387"/>
      <c r="L234" s="387"/>
      <c r="M234" s="387"/>
      <c r="N234" s="387"/>
      <c r="O234" s="387"/>
      <c r="P234" s="317">
        <f t="shared" si="1"/>
        <v>4</v>
      </c>
      <c r="Q234" s="388">
        <f t="shared" si="2"/>
        <v>1.5741833923652105E-3</v>
      </c>
      <c r="R234" s="318">
        <f t="shared" si="3"/>
        <v>401</v>
      </c>
      <c r="S234" s="388">
        <f t="shared" si="4"/>
        <v>1.3046717660570608E-3</v>
      </c>
      <c r="T234" s="361"/>
      <c r="U234" s="389"/>
      <c r="V234" s="5"/>
    </row>
    <row r="235" spans="1:23" ht="15.6" x14ac:dyDescent="0.3">
      <c r="A235" s="302"/>
      <c r="B235" s="317" t="s">
        <v>171</v>
      </c>
      <c r="C235" s="387"/>
      <c r="D235" s="387"/>
      <c r="E235" s="387"/>
      <c r="F235" s="272"/>
      <c r="G235" s="388"/>
      <c r="H235" s="387"/>
      <c r="I235" s="387"/>
      <c r="J235" s="387"/>
      <c r="K235" s="387"/>
      <c r="L235" s="387"/>
      <c r="M235" s="387"/>
      <c r="N235" s="387"/>
      <c r="O235" s="387"/>
      <c r="P235" s="317">
        <f t="shared" si="1"/>
        <v>0</v>
      </c>
      <c r="Q235" s="388">
        <f t="shared" si="2"/>
        <v>0</v>
      </c>
      <c r="R235" s="318">
        <f t="shared" si="3"/>
        <v>0</v>
      </c>
      <c r="S235" s="388">
        <f t="shared" si="4"/>
        <v>0</v>
      </c>
      <c r="T235" s="361"/>
      <c r="U235" s="389"/>
      <c r="V235" s="5"/>
      <c r="W235" s="110"/>
    </row>
    <row r="236" spans="1:23" ht="15.6" x14ac:dyDescent="0.3">
      <c r="A236" s="302"/>
      <c r="B236" s="317" t="s">
        <v>172</v>
      </c>
      <c r="C236" s="387"/>
      <c r="D236" s="387"/>
      <c r="E236" s="387"/>
      <c r="F236" s="272"/>
      <c r="G236" s="388"/>
      <c r="H236" s="387"/>
      <c r="I236" s="387"/>
      <c r="J236" s="387"/>
      <c r="K236" s="387"/>
      <c r="L236" s="387"/>
      <c r="M236" s="387"/>
      <c r="N236" s="387"/>
      <c r="O236" s="387"/>
      <c r="P236" s="317">
        <f t="shared" si="1"/>
        <v>1</v>
      </c>
      <c r="Q236" s="388">
        <f t="shared" si="2"/>
        <v>3.9354584809130262E-4</v>
      </c>
      <c r="R236" s="318">
        <f t="shared" si="3"/>
        <v>64</v>
      </c>
      <c r="S236" s="388">
        <f t="shared" si="4"/>
        <v>2.0822691528092738E-4</v>
      </c>
      <c r="T236" s="361"/>
      <c r="U236" s="389"/>
      <c r="V236" s="5"/>
    </row>
    <row r="237" spans="1:23" ht="15.6" x14ac:dyDescent="0.3">
      <c r="A237" s="302"/>
      <c r="B237" s="317" t="s">
        <v>173</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c r="W237" s="110"/>
    </row>
    <row r="238" spans="1:23" ht="15.6" x14ac:dyDescent="0.3">
      <c r="A238" s="302"/>
      <c r="B238" s="317" t="s">
        <v>174</v>
      </c>
      <c r="C238" s="387"/>
      <c r="D238" s="387"/>
      <c r="E238" s="387"/>
      <c r="F238" s="272"/>
      <c r="G238" s="388"/>
      <c r="H238" s="387"/>
      <c r="I238" s="387"/>
      <c r="J238" s="387"/>
      <c r="K238" s="387"/>
      <c r="L238" s="387"/>
      <c r="M238" s="387"/>
      <c r="N238" s="387"/>
      <c r="O238" s="387"/>
      <c r="P238" s="317">
        <f t="shared" si="1"/>
        <v>3</v>
      </c>
      <c r="Q238" s="388">
        <f t="shared" si="2"/>
        <v>1.1806375442739079E-3</v>
      </c>
      <c r="R238" s="318">
        <f t="shared" si="3"/>
        <v>380</v>
      </c>
      <c r="S238" s="388">
        <f t="shared" si="4"/>
        <v>1.2363473094805064E-3</v>
      </c>
      <c r="T238" s="361"/>
      <c r="U238" s="389"/>
      <c r="V238" s="5"/>
    </row>
    <row r="239" spans="1:23" ht="15.6" x14ac:dyDescent="0.3">
      <c r="A239" s="302"/>
      <c r="B239" s="317" t="s">
        <v>175</v>
      </c>
      <c r="C239" s="387"/>
      <c r="D239" s="387"/>
      <c r="E239" s="387"/>
      <c r="F239" s="272"/>
      <c r="G239" s="388"/>
      <c r="H239" s="387"/>
      <c r="I239" s="387"/>
      <c r="J239" s="387"/>
      <c r="K239" s="387"/>
      <c r="L239" s="387"/>
      <c r="M239" s="387"/>
      <c r="N239" s="387"/>
      <c r="O239" s="387"/>
      <c r="P239" s="317">
        <f t="shared" si="1"/>
        <v>12</v>
      </c>
      <c r="Q239" s="388">
        <f t="shared" si="2"/>
        <v>4.7225501770956314E-3</v>
      </c>
      <c r="R239" s="318">
        <f t="shared" si="3"/>
        <v>2550</v>
      </c>
      <c r="S239" s="388">
        <f t="shared" si="4"/>
        <v>8.29654115572445E-3</v>
      </c>
      <c r="T239" s="361"/>
      <c r="U239" s="389"/>
      <c r="V239" s="5"/>
      <c r="W239" s="110"/>
    </row>
    <row r="240" spans="1:23" ht="15.6" x14ac:dyDescent="0.3">
      <c r="A240" s="302"/>
      <c r="B240" s="317"/>
      <c r="C240" s="387"/>
      <c r="D240" s="387"/>
      <c r="E240" s="387"/>
      <c r="F240" s="272"/>
      <c r="G240" s="388"/>
      <c r="H240" s="387"/>
      <c r="I240" s="387"/>
      <c r="J240" s="387"/>
      <c r="K240" s="387"/>
      <c r="L240" s="387"/>
      <c r="M240" s="387"/>
      <c r="N240" s="387"/>
      <c r="O240" s="387"/>
      <c r="P240" s="317"/>
      <c r="Q240" s="388"/>
      <c r="R240" s="318"/>
      <c r="S240" s="388"/>
      <c r="T240" s="361"/>
      <c r="U240" s="389"/>
      <c r="V240" s="5"/>
    </row>
    <row r="241" spans="1:23" ht="15.6" x14ac:dyDescent="0.3">
      <c r="A241" s="302"/>
      <c r="B241" s="272"/>
      <c r="C241" s="272"/>
      <c r="D241" s="272"/>
      <c r="E241" s="272"/>
      <c r="F241" s="272"/>
      <c r="G241" s="272"/>
      <c r="H241" s="390"/>
      <c r="I241" s="390"/>
      <c r="J241" s="390"/>
      <c r="K241" s="390"/>
      <c r="L241" s="390"/>
      <c r="M241" s="390"/>
      <c r="N241" s="390"/>
      <c r="O241" s="390"/>
      <c r="P241" s="317">
        <f>SUM(P232:P240)</f>
        <v>2541</v>
      </c>
      <c r="Q241" s="388">
        <f>SUM(Q232:Q240)</f>
        <v>1</v>
      </c>
      <c r="R241" s="318">
        <f>SUM(R232:R240)</f>
        <v>307357</v>
      </c>
      <c r="S241" s="388">
        <f>SUM(S232:S240)</f>
        <v>1</v>
      </c>
      <c r="T241" s="272"/>
      <c r="U241" s="275"/>
      <c r="V241" s="5"/>
    </row>
    <row r="242" spans="1:23" ht="15.6" x14ac:dyDescent="0.3">
      <c r="A242" s="351"/>
      <c r="B242" s="352"/>
      <c r="C242" s="353"/>
      <c r="D242" s="353"/>
      <c r="E242" s="353"/>
      <c r="F242" s="354"/>
      <c r="G242" s="314"/>
      <c r="H242" s="314"/>
      <c r="I242" s="314"/>
      <c r="J242" s="314"/>
      <c r="K242" s="314"/>
      <c r="L242" s="314"/>
      <c r="M242" s="314"/>
      <c r="N242" s="314"/>
      <c r="O242" s="314"/>
      <c r="P242" s="314"/>
      <c r="Q242" s="314"/>
      <c r="R242" s="355"/>
      <c r="S242" s="314"/>
      <c r="T242" s="356"/>
      <c r="U242" s="357"/>
      <c r="V242" s="5"/>
    </row>
    <row r="243" spans="1:23" ht="15.6" x14ac:dyDescent="0.3">
      <c r="A243" s="258"/>
      <c r="B243" s="259" t="s">
        <v>177</v>
      </c>
      <c r="C243" s="260"/>
      <c r="D243" s="260"/>
      <c r="E243" s="260"/>
      <c r="F243" s="261"/>
      <c r="G243" s="260"/>
      <c r="H243" s="260"/>
      <c r="I243" s="260"/>
      <c r="J243" s="260"/>
      <c r="K243" s="260"/>
      <c r="L243" s="260"/>
      <c r="M243" s="260"/>
      <c r="N243" s="260"/>
      <c r="O243" s="260"/>
      <c r="P243" s="261" t="s">
        <v>108</v>
      </c>
      <c r="Q243" s="260" t="s">
        <v>109</v>
      </c>
      <c r="R243" s="261" t="s">
        <v>117</v>
      </c>
      <c r="S243" s="260" t="s">
        <v>109</v>
      </c>
      <c r="T243" s="262"/>
      <c r="U243" s="259"/>
      <c r="V243" s="5"/>
    </row>
    <row r="244" spans="1:23" ht="15.6" x14ac:dyDescent="0.3">
      <c r="A244" s="232"/>
      <c r="B244" s="231" t="s">
        <v>94</v>
      </c>
      <c r="C244" s="249"/>
      <c r="D244" s="249"/>
      <c r="E244" s="249"/>
      <c r="F244" s="228"/>
      <c r="G244" s="249"/>
      <c r="H244" s="249"/>
      <c r="I244" s="249"/>
      <c r="J244" s="249"/>
      <c r="K244" s="249"/>
      <c r="L244" s="249"/>
      <c r="M244" s="249"/>
      <c r="N244" s="249"/>
      <c r="O244" s="249"/>
      <c r="P244" s="231">
        <v>2459</v>
      </c>
      <c r="Q244" s="250">
        <f t="shared" ref="Q244:Q251" si="5">P244/$P$253</f>
        <v>0.99353535353535349</v>
      </c>
      <c r="R244" s="242">
        <v>295337</v>
      </c>
      <c r="S244" s="250">
        <f t="shared" ref="S244:S251" si="6">R244/$R$253</f>
        <v>0.99253590896564703</v>
      </c>
      <c r="T244" s="247"/>
      <c r="U244" s="229"/>
      <c r="V244" s="5"/>
    </row>
    <row r="245" spans="1:23" ht="15.6" x14ac:dyDescent="0.3">
      <c r="A245" s="302"/>
      <c r="B245" s="317" t="s">
        <v>95</v>
      </c>
      <c r="C245" s="387"/>
      <c r="D245" s="387"/>
      <c r="E245" s="387"/>
      <c r="F245" s="272"/>
      <c r="G245" s="388"/>
      <c r="H245" s="387"/>
      <c r="I245" s="387"/>
      <c r="J245" s="387"/>
      <c r="K245" s="387"/>
      <c r="L245" s="387"/>
      <c r="M245" s="387"/>
      <c r="N245" s="387"/>
      <c r="O245" s="387"/>
      <c r="P245" s="317">
        <v>12</v>
      </c>
      <c r="Q245" s="388">
        <f t="shared" si="5"/>
        <v>4.8484848484848485E-3</v>
      </c>
      <c r="R245" s="318">
        <v>1728</v>
      </c>
      <c r="S245" s="388">
        <f t="shared" si="6"/>
        <v>5.8072711874659734E-3</v>
      </c>
      <c r="T245" s="361"/>
      <c r="U245" s="389"/>
      <c r="V245" s="5"/>
      <c r="W245" s="110"/>
    </row>
    <row r="246" spans="1:23" ht="15.6" x14ac:dyDescent="0.3">
      <c r="A246" s="302"/>
      <c r="B246" s="317" t="s">
        <v>96</v>
      </c>
      <c r="C246" s="387"/>
      <c r="D246" s="387"/>
      <c r="E246" s="387"/>
      <c r="F246" s="272"/>
      <c r="G246" s="388"/>
      <c r="H246" s="387"/>
      <c r="I246" s="387"/>
      <c r="J246" s="387"/>
      <c r="K246" s="387"/>
      <c r="L246" s="387"/>
      <c r="M246" s="387"/>
      <c r="N246" s="387"/>
      <c r="O246" s="387"/>
      <c r="P246" s="317">
        <v>2</v>
      </c>
      <c r="Q246" s="388">
        <f t="shared" si="5"/>
        <v>8.0808080808080808E-4</v>
      </c>
      <c r="R246" s="318">
        <v>122</v>
      </c>
      <c r="S246" s="388">
        <f t="shared" si="6"/>
        <v>4.1000410004100039E-4</v>
      </c>
      <c r="T246" s="361"/>
      <c r="U246" s="389"/>
      <c r="V246" s="5"/>
    </row>
    <row r="247" spans="1:23" ht="15.6" x14ac:dyDescent="0.3">
      <c r="A247" s="302"/>
      <c r="B247" s="317" t="s">
        <v>171</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c r="W247" s="110"/>
    </row>
    <row r="248" spans="1:23" ht="15.6" x14ac:dyDescent="0.3">
      <c r="A248" s="302"/>
      <c r="B248" s="317" t="s">
        <v>172</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row>
    <row r="249" spans="1:23" ht="15.6" x14ac:dyDescent="0.3">
      <c r="A249" s="302"/>
      <c r="B249" s="317" t="s">
        <v>173</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c r="W249" s="110"/>
    </row>
    <row r="250" spans="1:23" ht="15.6" x14ac:dyDescent="0.3">
      <c r="A250" s="302"/>
      <c r="B250" s="317" t="s">
        <v>174</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row>
    <row r="251" spans="1:23" ht="15.6" x14ac:dyDescent="0.3">
      <c r="A251" s="302"/>
      <c r="B251" s="317" t="s">
        <v>175</v>
      </c>
      <c r="C251" s="387"/>
      <c r="D251" s="387"/>
      <c r="E251" s="387"/>
      <c r="F251" s="272"/>
      <c r="G251" s="388"/>
      <c r="H251" s="387"/>
      <c r="I251" s="387"/>
      <c r="J251" s="387"/>
      <c r="K251" s="387"/>
      <c r="L251" s="387"/>
      <c r="M251" s="387"/>
      <c r="N251" s="387"/>
      <c r="O251" s="387"/>
      <c r="P251" s="317">
        <v>2</v>
      </c>
      <c r="Q251" s="388">
        <f t="shared" si="5"/>
        <v>8.0808080808080808E-4</v>
      </c>
      <c r="R251" s="318">
        <v>371</v>
      </c>
      <c r="S251" s="388">
        <f t="shared" si="6"/>
        <v>1.2468157468459931E-3</v>
      </c>
      <c r="T251" s="361"/>
      <c r="U251" s="389"/>
      <c r="V251" s="5"/>
      <c r="W251" s="110"/>
    </row>
    <row r="252" spans="1:23" ht="15.6" x14ac:dyDescent="0.3">
      <c r="A252" s="302"/>
      <c r="B252" s="317"/>
      <c r="C252" s="387"/>
      <c r="D252" s="387"/>
      <c r="E252" s="387"/>
      <c r="F252" s="272"/>
      <c r="G252" s="388"/>
      <c r="H252" s="387"/>
      <c r="I252" s="387"/>
      <c r="J252" s="387"/>
      <c r="K252" s="387"/>
      <c r="L252" s="387"/>
      <c r="M252" s="387"/>
      <c r="N252" s="387"/>
      <c r="O252" s="387"/>
      <c r="P252" s="317"/>
      <c r="Q252" s="388"/>
      <c r="R252" s="318"/>
      <c r="S252" s="388"/>
      <c r="T252" s="361"/>
      <c r="U252" s="389"/>
      <c r="V252" s="5"/>
    </row>
    <row r="253" spans="1:23" ht="15.6" x14ac:dyDescent="0.3">
      <c r="A253" s="302"/>
      <c r="B253" s="272"/>
      <c r="C253" s="272"/>
      <c r="D253" s="272"/>
      <c r="E253" s="272"/>
      <c r="F253" s="272"/>
      <c r="G253" s="272"/>
      <c r="H253" s="390"/>
      <c r="I253" s="390"/>
      <c r="J253" s="390"/>
      <c r="K253" s="390"/>
      <c r="L253" s="390"/>
      <c r="M253" s="390"/>
      <c r="N253" s="390"/>
      <c r="O253" s="390"/>
      <c r="P253" s="317">
        <f>SUM(P244:P252)</f>
        <v>2475</v>
      </c>
      <c r="Q253" s="388">
        <f>SUM(Q244:Q252)</f>
        <v>1</v>
      </c>
      <c r="R253" s="318">
        <f>SUM(R244:R252)</f>
        <v>297558</v>
      </c>
      <c r="S253" s="388">
        <f>SUM(S244:S252)</f>
        <v>1</v>
      </c>
      <c r="T253" s="272"/>
      <c r="U253" s="275"/>
      <c r="V253" s="5"/>
    </row>
    <row r="254" spans="1:23" ht="15.6" x14ac:dyDescent="0.3">
      <c r="A254" s="177"/>
      <c r="B254" s="314"/>
      <c r="C254" s="314"/>
      <c r="D254" s="314"/>
      <c r="E254" s="314"/>
      <c r="F254" s="314"/>
      <c r="G254" s="314"/>
      <c r="H254" s="384"/>
      <c r="I254" s="384"/>
      <c r="J254" s="384"/>
      <c r="K254" s="384"/>
      <c r="L254" s="384"/>
      <c r="M254" s="384"/>
      <c r="N254" s="384"/>
      <c r="O254" s="384"/>
      <c r="P254" s="315"/>
      <c r="Q254" s="385"/>
      <c r="R254" s="386"/>
      <c r="S254" s="385"/>
      <c r="T254" s="314"/>
      <c r="U254" s="314"/>
      <c r="V254" s="5"/>
    </row>
    <row r="255" spans="1:23" ht="15.6" x14ac:dyDescent="0.3">
      <c r="A255" s="263"/>
      <c r="B255" s="259" t="s">
        <v>279</v>
      </c>
      <c r="C255" s="260"/>
      <c r="D255" s="260"/>
      <c r="E255" s="260"/>
      <c r="F255" s="261"/>
      <c r="G255" s="260"/>
      <c r="H255" s="260"/>
      <c r="I255" s="260"/>
      <c r="J255" s="260"/>
      <c r="K255" s="260"/>
      <c r="L255" s="260"/>
      <c r="M255" s="260"/>
      <c r="N255" s="260"/>
      <c r="O255" s="260"/>
      <c r="P255" s="261" t="s">
        <v>108</v>
      </c>
      <c r="Q255" s="260" t="s">
        <v>109</v>
      </c>
      <c r="R255" s="261" t="s">
        <v>117</v>
      </c>
      <c r="S255" s="260" t="s">
        <v>109</v>
      </c>
      <c r="T255" s="264"/>
      <c r="U255" s="265"/>
      <c r="V255" s="5"/>
    </row>
    <row r="256" spans="1:23" ht="15.6" x14ac:dyDescent="0.3">
      <c r="A256" s="232"/>
      <c r="B256" s="231" t="s">
        <v>94</v>
      </c>
      <c r="C256" s="249"/>
      <c r="D256" s="249"/>
      <c r="E256" s="249"/>
      <c r="F256" s="228"/>
      <c r="G256" s="249"/>
      <c r="H256" s="249"/>
      <c r="I256" s="249"/>
      <c r="J256" s="249"/>
      <c r="K256" s="249"/>
      <c r="L256" s="249"/>
      <c r="M256" s="249"/>
      <c r="N256" s="249"/>
      <c r="O256" s="249"/>
      <c r="P256" s="231">
        <v>49</v>
      </c>
      <c r="Q256" s="250">
        <f t="shared" ref="Q256:Q263" si="7">P256/$P$265</f>
        <v>0.74242424242424243</v>
      </c>
      <c r="R256" s="242">
        <v>6779</v>
      </c>
      <c r="S256" s="250">
        <f t="shared" ref="S256:S263" si="8">R256/$R$265</f>
        <v>0.6918052862536993</v>
      </c>
      <c r="T256" s="228"/>
      <c r="U256" s="194"/>
      <c r="V256" s="5"/>
    </row>
    <row r="257" spans="1:22" ht="15.6" x14ac:dyDescent="0.3">
      <c r="A257" s="302"/>
      <c r="B257" s="317" t="s">
        <v>95</v>
      </c>
      <c r="C257" s="387"/>
      <c r="D257" s="387"/>
      <c r="E257" s="387"/>
      <c r="F257" s="272"/>
      <c r="G257" s="388"/>
      <c r="H257" s="387"/>
      <c r="I257" s="387"/>
      <c r="J257" s="387"/>
      <c r="K257" s="387"/>
      <c r="L257" s="387"/>
      <c r="M257" s="387"/>
      <c r="N257" s="387"/>
      <c r="O257" s="387"/>
      <c r="P257" s="317">
        <v>1</v>
      </c>
      <c r="Q257" s="388">
        <f t="shared" si="7"/>
        <v>1.5151515151515152E-2</v>
      </c>
      <c r="R257" s="318">
        <v>118</v>
      </c>
      <c r="S257" s="388">
        <f t="shared" si="8"/>
        <v>1.2042045106643536E-2</v>
      </c>
      <c r="T257" s="272"/>
      <c r="U257" s="340"/>
      <c r="V257" s="5"/>
    </row>
    <row r="258" spans="1:22" ht="15.6" x14ac:dyDescent="0.3">
      <c r="A258" s="302"/>
      <c r="B258" s="317" t="s">
        <v>96</v>
      </c>
      <c r="C258" s="387"/>
      <c r="D258" s="387"/>
      <c r="E258" s="387"/>
      <c r="F258" s="272"/>
      <c r="G258" s="388"/>
      <c r="H258" s="387"/>
      <c r="I258" s="387"/>
      <c r="J258" s="387"/>
      <c r="K258" s="387"/>
      <c r="L258" s="387"/>
      <c r="M258" s="387"/>
      <c r="N258" s="387"/>
      <c r="O258" s="387"/>
      <c r="P258" s="317">
        <v>2</v>
      </c>
      <c r="Q258" s="388">
        <f t="shared" si="7"/>
        <v>3.0303030303030304E-2</v>
      </c>
      <c r="R258" s="318">
        <v>279</v>
      </c>
      <c r="S258" s="388">
        <f t="shared" si="8"/>
        <v>2.8472293091131747E-2</v>
      </c>
      <c r="T258" s="272"/>
      <c r="U258" s="340"/>
      <c r="V258" s="5"/>
    </row>
    <row r="259" spans="1:22" ht="15.6" x14ac:dyDescent="0.3">
      <c r="A259" s="302"/>
      <c r="B259" s="317" t="s">
        <v>171</v>
      </c>
      <c r="C259" s="387"/>
      <c r="D259" s="387"/>
      <c r="E259" s="387"/>
      <c r="F259" s="272"/>
      <c r="G259" s="388"/>
      <c r="H259" s="387"/>
      <c r="I259" s="387"/>
      <c r="J259" s="387"/>
      <c r="K259" s="387"/>
      <c r="L259" s="387"/>
      <c r="M259" s="387"/>
      <c r="N259" s="387"/>
      <c r="O259" s="387"/>
      <c r="P259" s="317">
        <v>0</v>
      </c>
      <c r="Q259" s="388">
        <f t="shared" si="7"/>
        <v>0</v>
      </c>
      <c r="R259" s="318">
        <v>0</v>
      </c>
      <c r="S259" s="388">
        <f t="shared" si="8"/>
        <v>0</v>
      </c>
      <c r="T259" s="272"/>
      <c r="U259" s="340"/>
      <c r="V259" s="5"/>
    </row>
    <row r="260" spans="1:22" ht="15.6" x14ac:dyDescent="0.3">
      <c r="A260" s="302"/>
      <c r="B260" s="317" t="s">
        <v>172</v>
      </c>
      <c r="C260" s="387"/>
      <c r="D260" s="387"/>
      <c r="E260" s="387"/>
      <c r="F260" s="272"/>
      <c r="G260" s="388"/>
      <c r="H260" s="387"/>
      <c r="I260" s="387"/>
      <c r="J260" s="387"/>
      <c r="K260" s="387"/>
      <c r="L260" s="387"/>
      <c r="M260" s="387"/>
      <c r="N260" s="387"/>
      <c r="O260" s="387"/>
      <c r="P260" s="317">
        <v>1</v>
      </c>
      <c r="Q260" s="388">
        <f t="shared" si="7"/>
        <v>1.5151515151515152E-2</v>
      </c>
      <c r="R260" s="318">
        <v>64</v>
      </c>
      <c r="S260" s="388">
        <f t="shared" si="8"/>
        <v>6.5312787019083584E-3</v>
      </c>
      <c r="T260" s="272"/>
      <c r="U260" s="340"/>
      <c r="V260" s="5"/>
    </row>
    <row r="261" spans="1:22" ht="15.6" x14ac:dyDescent="0.3">
      <c r="A261" s="302"/>
      <c r="B261" s="317" t="s">
        <v>173</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174</v>
      </c>
      <c r="C262" s="387"/>
      <c r="D262" s="387"/>
      <c r="E262" s="387"/>
      <c r="F262" s="272"/>
      <c r="G262" s="388"/>
      <c r="H262" s="387"/>
      <c r="I262" s="387"/>
      <c r="J262" s="387"/>
      <c r="K262" s="387"/>
      <c r="L262" s="387"/>
      <c r="M262" s="387"/>
      <c r="N262" s="387"/>
      <c r="O262" s="387"/>
      <c r="P262" s="317">
        <v>3</v>
      </c>
      <c r="Q262" s="388">
        <f t="shared" si="7"/>
        <v>4.5454545454545456E-2</v>
      </c>
      <c r="R262" s="318">
        <v>380</v>
      </c>
      <c r="S262" s="388">
        <f t="shared" si="8"/>
        <v>3.8779467292580874E-2</v>
      </c>
      <c r="T262" s="272"/>
      <c r="U262" s="340"/>
      <c r="V262" s="5"/>
    </row>
    <row r="263" spans="1:22" ht="15.6" x14ac:dyDescent="0.3">
      <c r="A263" s="302"/>
      <c r="B263" s="317" t="s">
        <v>175</v>
      </c>
      <c r="C263" s="387"/>
      <c r="D263" s="387"/>
      <c r="E263" s="387"/>
      <c r="F263" s="272"/>
      <c r="G263" s="388"/>
      <c r="H263" s="387"/>
      <c r="I263" s="387"/>
      <c r="J263" s="387"/>
      <c r="K263" s="387"/>
      <c r="L263" s="387"/>
      <c r="M263" s="387"/>
      <c r="N263" s="387"/>
      <c r="O263" s="387"/>
      <c r="P263" s="317">
        <v>10</v>
      </c>
      <c r="Q263" s="388">
        <f t="shared" si="7"/>
        <v>0.15151515151515152</v>
      </c>
      <c r="R263" s="318">
        <v>2179</v>
      </c>
      <c r="S263" s="388">
        <f t="shared" si="8"/>
        <v>0.22236962955403614</v>
      </c>
      <c r="T263" s="272"/>
      <c r="U263" s="340"/>
      <c r="V263" s="5"/>
    </row>
    <row r="264" spans="1:22" ht="15.6" x14ac:dyDescent="0.3">
      <c r="A264" s="302"/>
      <c r="B264" s="317"/>
      <c r="C264" s="387"/>
      <c r="D264" s="387"/>
      <c r="E264" s="387"/>
      <c r="F264" s="272"/>
      <c r="G264" s="388"/>
      <c r="H264" s="387"/>
      <c r="I264" s="387"/>
      <c r="J264" s="387"/>
      <c r="K264" s="387"/>
      <c r="L264" s="387"/>
      <c r="M264" s="387"/>
      <c r="N264" s="387"/>
      <c r="O264" s="387"/>
      <c r="P264" s="317"/>
      <c r="Q264" s="388"/>
      <c r="R264" s="318"/>
      <c r="S264" s="388"/>
      <c r="T264" s="272"/>
      <c r="U264" s="340"/>
      <c r="V264" s="5"/>
    </row>
    <row r="265" spans="1:22" ht="15.6" x14ac:dyDescent="0.3">
      <c r="A265" s="302"/>
      <c r="B265" s="272"/>
      <c r="C265" s="272"/>
      <c r="D265" s="272"/>
      <c r="E265" s="272"/>
      <c r="F265" s="272"/>
      <c r="G265" s="272"/>
      <c r="H265" s="390"/>
      <c r="I265" s="390"/>
      <c r="J265" s="390"/>
      <c r="K265" s="390"/>
      <c r="L265" s="390"/>
      <c r="M265" s="390"/>
      <c r="N265" s="390"/>
      <c r="O265" s="390"/>
      <c r="P265" s="317">
        <f>SUM(P256:P264)</f>
        <v>66</v>
      </c>
      <c r="Q265" s="388">
        <f>SUM(Q256:Q264)</f>
        <v>0.99999999999999989</v>
      </c>
      <c r="R265" s="318">
        <f>SUM(R256:R264)</f>
        <v>9799</v>
      </c>
      <c r="S265" s="388">
        <f>SUM(S256:S264)</f>
        <v>1</v>
      </c>
      <c r="T265" s="272"/>
      <c r="U265" s="340"/>
      <c r="V265" s="5"/>
    </row>
    <row r="266" spans="1:22" ht="15.6" x14ac:dyDescent="0.3">
      <c r="A266" s="233"/>
      <c r="B266" s="268"/>
      <c r="C266" s="268"/>
      <c r="D266" s="268"/>
      <c r="E266" s="268"/>
      <c r="F266" s="268"/>
      <c r="G266" s="268"/>
      <c r="H266" s="391"/>
      <c r="I266" s="391"/>
      <c r="J266" s="391"/>
      <c r="K266" s="391"/>
      <c r="L266" s="391"/>
      <c r="M266" s="391"/>
      <c r="N266" s="391"/>
      <c r="O266" s="391"/>
      <c r="P266" s="333"/>
      <c r="Q266" s="392"/>
      <c r="R266" s="393"/>
      <c r="S266" s="392"/>
      <c r="T266" s="268"/>
      <c r="U266" s="314"/>
      <c r="V266" s="5"/>
    </row>
    <row r="267" spans="1:22" ht="15.6" x14ac:dyDescent="0.3">
      <c r="A267" s="263"/>
      <c r="B267" s="259" t="s">
        <v>179</v>
      </c>
      <c r="C267" s="264"/>
      <c r="D267" s="264"/>
      <c r="E267" s="264"/>
      <c r="F267" s="264"/>
      <c r="G267" s="264"/>
      <c r="H267" s="266"/>
      <c r="I267" s="266"/>
      <c r="J267" s="266"/>
      <c r="K267" s="266"/>
      <c r="L267" s="266"/>
      <c r="M267" s="266"/>
      <c r="N267" s="266"/>
      <c r="O267" s="266"/>
      <c r="P267" s="261" t="s">
        <v>108</v>
      </c>
      <c r="Q267" s="260" t="s">
        <v>109</v>
      </c>
      <c r="R267" s="261" t="s">
        <v>117</v>
      </c>
      <c r="S267" s="260" t="s">
        <v>109</v>
      </c>
      <c r="T267" s="264"/>
      <c r="U267" s="265"/>
      <c r="V267" s="5"/>
    </row>
    <row r="268" spans="1:22" ht="15.6" x14ac:dyDescent="0.3">
      <c r="A268" s="232"/>
      <c r="B268" s="231" t="s">
        <v>94</v>
      </c>
      <c r="C268" s="228"/>
      <c r="D268" s="228"/>
      <c r="E268" s="228"/>
      <c r="F268" s="228"/>
      <c r="G268" s="228"/>
      <c r="H268" s="251"/>
      <c r="I268" s="251"/>
      <c r="J268" s="251"/>
      <c r="K268" s="251"/>
      <c r="L268" s="251"/>
      <c r="M268" s="251"/>
      <c r="N268" s="251"/>
      <c r="O268" s="251"/>
      <c r="P268" s="231">
        <v>0</v>
      </c>
      <c r="Q268" s="250">
        <v>0</v>
      </c>
      <c r="R268" s="242">
        <v>0</v>
      </c>
      <c r="S268" s="250">
        <v>0</v>
      </c>
      <c r="T268" s="228"/>
      <c r="U268" s="194"/>
      <c r="V268" s="5"/>
    </row>
    <row r="269" spans="1:22" ht="15.6" x14ac:dyDescent="0.3">
      <c r="A269" s="302"/>
      <c r="B269" s="317" t="s">
        <v>95</v>
      </c>
      <c r="C269" s="272"/>
      <c r="D269" s="272"/>
      <c r="E269" s="272"/>
      <c r="F269" s="272"/>
      <c r="G269" s="272"/>
      <c r="H269" s="390"/>
      <c r="I269" s="390"/>
      <c r="J269" s="390"/>
      <c r="K269" s="390"/>
      <c r="L269" s="390"/>
      <c r="M269" s="390"/>
      <c r="N269" s="390"/>
      <c r="O269" s="390"/>
      <c r="P269" s="317">
        <v>0</v>
      </c>
      <c r="Q269" s="388">
        <v>0</v>
      </c>
      <c r="R269" s="318">
        <v>0</v>
      </c>
      <c r="S269" s="388">
        <v>0</v>
      </c>
      <c r="T269" s="272"/>
      <c r="U269" s="340"/>
      <c r="V269" s="5"/>
    </row>
    <row r="270" spans="1:22" ht="15.6" x14ac:dyDescent="0.3">
      <c r="A270" s="302"/>
      <c r="B270" s="317" t="s">
        <v>96</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171</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172</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173</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174</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175</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c r="C276" s="272"/>
      <c r="D276" s="272"/>
      <c r="E276" s="272"/>
      <c r="F276" s="272"/>
      <c r="G276" s="272"/>
      <c r="H276" s="390"/>
      <c r="I276" s="390"/>
      <c r="J276" s="390"/>
      <c r="K276" s="390"/>
      <c r="L276" s="390"/>
      <c r="M276" s="390"/>
      <c r="N276" s="390"/>
      <c r="O276" s="390"/>
      <c r="P276" s="317"/>
      <c r="Q276" s="388"/>
      <c r="R276" s="318"/>
      <c r="S276" s="388"/>
      <c r="T276" s="272"/>
      <c r="U276" s="340"/>
      <c r="V276" s="5"/>
    </row>
    <row r="277" spans="1:22" ht="15.6" x14ac:dyDescent="0.3">
      <c r="A277" s="302"/>
      <c r="B277" s="272" t="s">
        <v>123</v>
      </c>
      <c r="C277" s="272"/>
      <c r="D277" s="272"/>
      <c r="E277" s="272"/>
      <c r="F277" s="272"/>
      <c r="G277" s="272"/>
      <c r="H277" s="390"/>
      <c r="I277" s="390"/>
      <c r="J277" s="390"/>
      <c r="K277" s="390"/>
      <c r="L277" s="390"/>
      <c r="M277" s="390"/>
      <c r="N277" s="390"/>
      <c r="O277" s="390"/>
      <c r="P277" s="317">
        <f>SUM(P268:P275)</f>
        <v>0</v>
      </c>
      <c r="Q277" s="388">
        <f>SUM(Q268:Q275)</f>
        <v>0</v>
      </c>
      <c r="R277" s="318">
        <f>SUM(R268:R275)</f>
        <v>0</v>
      </c>
      <c r="S277" s="388">
        <f>SUM(S268:S275)</f>
        <v>0</v>
      </c>
      <c r="T277" s="272"/>
      <c r="U277" s="340"/>
      <c r="V277" s="5"/>
    </row>
    <row r="278" spans="1:22" ht="15.6" x14ac:dyDescent="0.3">
      <c r="A278" s="302"/>
      <c r="B278" s="272"/>
      <c r="C278" s="272"/>
      <c r="D278" s="272"/>
      <c r="E278" s="272"/>
      <c r="F278" s="272"/>
      <c r="G278" s="272"/>
      <c r="H278" s="390"/>
      <c r="I278" s="390"/>
      <c r="J278" s="390"/>
      <c r="K278" s="390"/>
      <c r="L278" s="390"/>
      <c r="M278" s="390"/>
      <c r="N278" s="390"/>
      <c r="O278" s="390"/>
      <c r="P278" s="317"/>
      <c r="Q278" s="388"/>
      <c r="R278" s="318"/>
      <c r="S278" s="388"/>
      <c r="T278" s="272"/>
      <c r="U278" s="340"/>
      <c r="V278" s="5"/>
    </row>
    <row r="279" spans="1:22" ht="15.6" x14ac:dyDescent="0.3">
      <c r="A279" s="302"/>
      <c r="B279" s="277" t="s">
        <v>180</v>
      </c>
      <c r="C279" s="272"/>
      <c r="D279" s="272"/>
      <c r="E279" s="272"/>
      <c r="F279" s="272"/>
      <c r="G279" s="272"/>
      <c r="H279" s="390"/>
      <c r="I279" s="390"/>
      <c r="J279" s="390"/>
      <c r="K279" s="390"/>
      <c r="L279" s="390"/>
      <c r="M279" s="390"/>
      <c r="N279" s="390"/>
      <c r="O279" s="390"/>
      <c r="P279" s="399">
        <f>+P253+P265+P277</f>
        <v>2541</v>
      </c>
      <c r="Q279" s="388"/>
      <c r="R279" s="396">
        <f>+R277+R265+R253</f>
        <v>307357</v>
      </c>
      <c r="S279" s="388"/>
      <c r="T279" s="272"/>
      <c r="U279" s="340"/>
      <c r="V279" s="5"/>
    </row>
    <row r="280" spans="1:22" ht="15.6" x14ac:dyDescent="0.3">
      <c r="A280" s="233"/>
      <c r="B280" s="268"/>
      <c r="C280" s="268"/>
      <c r="D280" s="268"/>
      <c r="E280" s="268"/>
      <c r="F280" s="268"/>
      <c r="G280" s="268"/>
      <c r="H280" s="391"/>
      <c r="I280" s="391"/>
      <c r="J280" s="391"/>
      <c r="K280" s="391"/>
      <c r="L280" s="391"/>
      <c r="M280" s="391"/>
      <c r="N280" s="391"/>
      <c r="O280" s="391"/>
      <c r="P280" s="391"/>
      <c r="Q280" s="391"/>
      <c r="R280" s="393"/>
      <c r="S280" s="391"/>
      <c r="T280" s="268"/>
      <c r="U280" s="314"/>
      <c r="V280" s="5"/>
    </row>
    <row r="281" spans="1:22" ht="15.6" x14ac:dyDescent="0.3">
      <c r="A281" s="233"/>
      <c r="B281" s="234"/>
      <c r="C281" s="234"/>
      <c r="D281" s="234"/>
      <c r="E281" s="234"/>
      <c r="F281" s="234"/>
      <c r="G281" s="234"/>
      <c r="H281" s="252"/>
      <c r="I281" s="252"/>
      <c r="J281" s="252"/>
      <c r="K281" s="252"/>
      <c r="L281" s="252"/>
      <c r="M281" s="252"/>
      <c r="N281" s="252"/>
      <c r="O281" s="252"/>
      <c r="P281" s="252"/>
      <c r="Q281" s="252"/>
      <c r="R281" s="253"/>
      <c r="S281" s="252"/>
      <c r="T281" s="234"/>
      <c r="U281" s="179"/>
      <c r="V281" s="5"/>
    </row>
    <row r="282" spans="1:22" ht="15.6" x14ac:dyDescent="0.3">
      <c r="A282" s="254"/>
      <c r="B282" s="220" t="s">
        <v>97</v>
      </c>
      <c r="C282" s="234"/>
      <c r="D282" s="234"/>
      <c r="E282" s="234"/>
      <c r="F282" s="225" t="s">
        <v>103</v>
      </c>
      <c r="G282" s="234"/>
      <c r="H282" s="220" t="s">
        <v>105</v>
      </c>
      <c r="I282" s="255"/>
      <c r="J282" s="255"/>
      <c r="K282" s="255"/>
      <c r="L282" s="255"/>
      <c r="M282" s="255"/>
      <c r="N282" s="255"/>
      <c r="O282" s="255"/>
      <c r="P282" s="255"/>
      <c r="Q282" s="255"/>
      <c r="R282" s="255"/>
      <c r="S282" s="255"/>
      <c r="T282" s="255"/>
      <c r="U282" s="192"/>
      <c r="V282" s="5"/>
    </row>
    <row r="283" spans="1:22" ht="15.6" x14ac:dyDescent="0.3">
      <c r="A283" s="254"/>
      <c r="B283" s="255"/>
      <c r="C283" s="234"/>
      <c r="D283" s="234"/>
      <c r="E283" s="234"/>
      <c r="F283" s="234"/>
      <c r="G283" s="234"/>
      <c r="H283" s="234"/>
      <c r="I283" s="255"/>
      <c r="J283" s="255"/>
      <c r="K283" s="255"/>
      <c r="L283" s="255"/>
      <c r="M283" s="255"/>
      <c r="N283" s="255"/>
      <c r="O283" s="255"/>
      <c r="P283" s="255"/>
      <c r="Q283" s="255"/>
      <c r="R283" s="255"/>
      <c r="S283" s="255"/>
      <c r="T283" s="255"/>
      <c r="U283" s="192"/>
      <c r="V283" s="5"/>
    </row>
    <row r="284" spans="1:22" ht="15.6" x14ac:dyDescent="0.3">
      <c r="A284" s="254"/>
      <c r="B284" s="220" t="s">
        <v>98</v>
      </c>
      <c r="C284" s="220"/>
      <c r="D284" s="220"/>
      <c r="E284" s="220"/>
      <c r="F284" s="256" t="s">
        <v>159</v>
      </c>
      <c r="G284" s="220"/>
      <c r="H284" s="220" t="s">
        <v>167</v>
      </c>
      <c r="I284" s="255"/>
      <c r="J284" s="255"/>
      <c r="K284" s="255"/>
      <c r="L284" s="255"/>
      <c r="M284" s="255"/>
      <c r="N284" s="255"/>
      <c r="O284" s="255"/>
      <c r="P284" s="255"/>
      <c r="Q284" s="255"/>
      <c r="R284" s="255"/>
      <c r="S284" s="255"/>
      <c r="T284" s="255"/>
      <c r="U284" s="192"/>
      <c r="V284" s="5"/>
    </row>
    <row r="285" spans="1:22" ht="15.6" x14ac:dyDescent="0.3">
      <c r="A285" s="254"/>
      <c r="B285" s="220" t="s">
        <v>273</v>
      </c>
      <c r="C285" s="220"/>
      <c r="D285" s="220"/>
      <c r="E285" s="220"/>
      <c r="F285" s="256" t="s">
        <v>274</v>
      </c>
      <c r="G285" s="220"/>
      <c r="H285" s="220" t="s">
        <v>275</v>
      </c>
      <c r="I285" s="255"/>
      <c r="J285" s="255"/>
      <c r="K285" s="255"/>
      <c r="L285" s="255"/>
      <c r="M285" s="255"/>
      <c r="N285" s="255"/>
      <c r="O285" s="255"/>
      <c r="P285" s="255"/>
      <c r="Q285" s="255"/>
      <c r="R285" s="255"/>
      <c r="S285" s="255"/>
      <c r="T285" s="255"/>
      <c r="U285" s="192"/>
      <c r="V285" s="5"/>
    </row>
    <row r="286" spans="1:22" ht="15.6" x14ac:dyDescent="0.3">
      <c r="A286" s="254"/>
      <c r="B286" s="220" t="s">
        <v>99</v>
      </c>
      <c r="C286" s="220"/>
      <c r="D286" s="220"/>
      <c r="E286" s="220"/>
      <c r="F286" s="256" t="s">
        <v>158</v>
      </c>
      <c r="G286" s="220"/>
      <c r="H286" s="220" t="s">
        <v>168</v>
      </c>
      <c r="I286" s="255"/>
      <c r="J286" s="255"/>
      <c r="K286" s="255"/>
      <c r="L286" s="255"/>
      <c r="M286" s="255"/>
      <c r="N286" s="255"/>
      <c r="O286" s="255"/>
      <c r="P286" s="255"/>
      <c r="Q286" s="255"/>
      <c r="R286" s="255"/>
      <c r="S286" s="255"/>
      <c r="T286" s="255"/>
      <c r="U286" s="192"/>
      <c r="V286" s="5"/>
    </row>
    <row r="287" spans="1:22" ht="15.6" x14ac:dyDescent="0.3">
      <c r="A287" s="254"/>
      <c r="B287" s="220"/>
      <c r="C287" s="220"/>
      <c r="D287" s="220"/>
      <c r="E287" s="220"/>
      <c r="F287" s="220"/>
      <c r="G287" s="257"/>
      <c r="H287" s="255"/>
      <c r="I287" s="255"/>
      <c r="J287" s="255"/>
      <c r="K287" s="255"/>
      <c r="L287" s="255"/>
      <c r="M287" s="255"/>
      <c r="N287" s="255"/>
      <c r="O287" s="255"/>
      <c r="P287" s="255"/>
      <c r="Q287" s="255"/>
      <c r="R287" s="255"/>
      <c r="S287" s="255"/>
      <c r="T287" s="255"/>
      <c r="U287" s="192"/>
      <c r="V287" s="5"/>
    </row>
    <row r="288" spans="1:22" ht="15.6" x14ac:dyDescent="0.3">
      <c r="A288" s="216"/>
      <c r="B288" s="185"/>
      <c r="C288" s="185"/>
      <c r="D288" s="185"/>
      <c r="E288" s="185"/>
      <c r="F288" s="185"/>
      <c r="G288" s="217"/>
      <c r="H288" s="192"/>
      <c r="I288" s="192"/>
      <c r="J288" s="192"/>
      <c r="K288" s="192"/>
      <c r="L288" s="192"/>
      <c r="M288" s="192"/>
      <c r="N288" s="192"/>
      <c r="O288" s="192"/>
      <c r="P288" s="192"/>
      <c r="Q288" s="192"/>
      <c r="R288" s="192"/>
      <c r="S288" s="192"/>
      <c r="T288" s="192"/>
      <c r="U288" s="192"/>
      <c r="V288" s="5"/>
    </row>
    <row r="289" spans="1:22" ht="18" thickBot="1" x14ac:dyDescent="0.35">
      <c r="A289" s="216"/>
      <c r="B289" s="267" t="str">
        <f>B194</f>
        <v>PM9 INVESTOR REPORT QUARTER ENDING JULY 2012</v>
      </c>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x14ac:dyDescent="0.25">
      <c r="A290" s="101"/>
      <c r="B290" s="101"/>
      <c r="C290" s="101"/>
      <c r="D290" s="101"/>
      <c r="E290" s="101"/>
      <c r="F290" s="101"/>
      <c r="G290" s="101"/>
      <c r="H290" s="101"/>
      <c r="I290" s="101"/>
      <c r="J290" s="101"/>
      <c r="K290" s="101"/>
      <c r="L290" s="101"/>
      <c r="M290" s="101"/>
      <c r="N290" s="101"/>
      <c r="O290" s="101"/>
      <c r="P290" s="101"/>
      <c r="Q290" s="101"/>
      <c r="R290" s="101"/>
      <c r="S290" s="101"/>
      <c r="T290" s="101"/>
      <c r="U290" s="101"/>
    </row>
  </sheetData>
  <hyperlinks>
    <hyperlink ref="J9" r:id="rId1" xr:uid="{00000000-0004-0000-1B00-000000000000}"/>
    <hyperlink ref="N229" r:id="rId2" xr:uid="{00000000-0004-0000-1B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1" man="1"/>
    <brk id="133" max="14" man="1"/>
    <brk id="194" max="14" man="1"/>
  </row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89CB31"/>
  </sheetPr>
  <dimension ref="A1:W290"/>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402"/>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0.71919999999999995</v>
      </c>
      <c r="R16" s="225" t="s">
        <v>149</v>
      </c>
      <c r="S16" s="224">
        <v>0.28079999999999999</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41235</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150</v>
      </c>
      <c r="E25" s="398"/>
      <c r="F25" s="398" t="s">
        <v>150</v>
      </c>
      <c r="G25" s="398"/>
      <c r="H25" s="398" t="s">
        <v>150</v>
      </c>
      <c r="I25" s="398"/>
      <c r="J25" s="398" t="s">
        <v>192</v>
      </c>
      <c r="K25" s="398"/>
      <c r="L25" s="398" t="s">
        <v>192</v>
      </c>
      <c r="M25" s="398"/>
      <c r="N25" s="398" t="s">
        <v>151</v>
      </c>
      <c r="O25" s="398"/>
      <c r="P25" s="398" t="s">
        <v>151</v>
      </c>
      <c r="Q25" s="398"/>
      <c r="R25" s="273"/>
      <c r="S25" s="274"/>
      <c r="T25" s="274"/>
      <c r="U25" s="275"/>
      <c r="V25" s="5"/>
    </row>
    <row r="26" spans="1:22" ht="15.6" x14ac:dyDescent="0.3">
      <c r="A26" s="276"/>
      <c r="B26" s="277" t="s">
        <v>10</v>
      </c>
      <c r="C26" s="398"/>
      <c r="D26" s="398" t="s">
        <v>312</v>
      </c>
      <c r="E26" s="398"/>
      <c r="F26" s="398" t="s">
        <v>312</v>
      </c>
      <c r="G26" s="398"/>
      <c r="H26" s="398" t="s">
        <v>312</v>
      </c>
      <c r="I26" s="398"/>
      <c r="J26" s="398" t="s">
        <v>312</v>
      </c>
      <c r="K26" s="398"/>
      <c r="L26" s="398" t="s">
        <v>312</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133528.25079999998</v>
      </c>
      <c r="E30" s="280"/>
      <c r="F30" s="282">
        <f>F29*F36</f>
        <v>137001.52899999998</v>
      </c>
      <c r="G30" s="281"/>
      <c r="H30" s="283">
        <f>H29*H36</f>
        <v>23155.121999999999</v>
      </c>
      <c r="I30" s="281"/>
      <c r="J30" s="281">
        <f>J29*J36</f>
        <v>6147.1424000000006</v>
      </c>
      <c r="K30" s="281"/>
      <c r="L30" s="282">
        <f>L29*L36</f>
        <v>25905.814399999999</v>
      </c>
      <c r="M30" s="281"/>
      <c r="N30" s="284">
        <f>N29*N36</f>
        <v>2634.4895999999999</v>
      </c>
      <c r="O30" s="281"/>
      <c r="P30" s="282">
        <f>P29*P36</f>
        <v>57958.771200000003</v>
      </c>
      <c r="Q30" s="281"/>
      <c r="R30" s="281"/>
      <c r="S30" s="285"/>
      <c r="T30" s="281"/>
      <c r="U30" s="286"/>
      <c r="V30" s="5"/>
    </row>
    <row r="31" spans="1:22" ht="15.6" x14ac:dyDescent="0.3">
      <c r="A31" s="276"/>
      <c r="B31" s="277" t="s">
        <v>143</v>
      </c>
      <c r="C31" s="287"/>
      <c r="D31" s="288">
        <f>D35*D29</f>
        <v>132543.05040000001</v>
      </c>
      <c r="E31" s="287"/>
      <c r="F31" s="289">
        <f>F35*F29</f>
        <v>135990.70199999999</v>
      </c>
      <c r="G31" s="288"/>
      <c r="H31" s="290">
        <f>H35*H29</f>
        <v>22984.272000000001</v>
      </c>
      <c r="I31" s="288"/>
      <c r="J31" s="288">
        <f>J35*J29</f>
        <v>6101.7852000000003</v>
      </c>
      <c r="K31" s="288"/>
      <c r="L31" s="289">
        <f>L35*L29</f>
        <v>25714.6662</v>
      </c>
      <c r="M31" s="288"/>
      <c r="N31" s="291">
        <f>N35*N29</f>
        <v>2615.0508</v>
      </c>
      <c r="O31" s="288"/>
      <c r="P31" s="289">
        <f>P35*P29</f>
        <v>57531.117599999998</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133528.25079999998</v>
      </c>
      <c r="E33" s="280"/>
      <c r="F33" s="281">
        <f>F32*F36</f>
        <v>94357.391099999993</v>
      </c>
      <c r="G33" s="281"/>
      <c r="H33" s="281">
        <f>H32*H36</f>
        <v>13082.64393</v>
      </c>
      <c r="I33" s="281"/>
      <c r="J33" s="281">
        <f>J32*J36</f>
        <v>6147.1424000000006</v>
      </c>
      <c r="K33" s="281"/>
      <c r="L33" s="281">
        <f>L32*L36</f>
        <v>17826.712960000001</v>
      </c>
      <c r="M33" s="281"/>
      <c r="N33" s="281">
        <f>N32*N36</f>
        <v>2634.4895999999999</v>
      </c>
      <c r="O33" s="281"/>
      <c r="P33" s="281">
        <f>P32*P36</f>
        <v>39780.792959999999</v>
      </c>
      <c r="Q33" s="281"/>
      <c r="R33" s="281"/>
      <c r="S33" s="285"/>
      <c r="T33" s="281">
        <f>SUM(C33:P33)</f>
        <v>307357.42374999996</v>
      </c>
      <c r="U33" s="286"/>
      <c r="V33" s="5"/>
    </row>
    <row r="34" spans="1:22" ht="15.6" x14ac:dyDescent="0.3">
      <c r="A34" s="276"/>
      <c r="B34" s="277" t="s">
        <v>291</v>
      </c>
      <c r="C34" s="287"/>
      <c r="D34" s="288">
        <f>D35*D32</f>
        <v>132543.05040000001</v>
      </c>
      <c r="E34" s="287"/>
      <c r="F34" s="288">
        <f>F35*F32</f>
        <v>93661.201799999995</v>
      </c>
      <c r="G34" s="288"/>
      <c r="H34" s="288">
        <f>H35*H32</f>
        <v>12986.11368</v>
      </c>
      <c r="I34" s="288"/>
      <c r="J34" s="288">
        <f>J35*J32</f>
        <v>6101.7852000000003</v>
      </c>
      <c r="K34" s="288"/>
      <c r="L34" s="288">
        <f>L35*L32</f>
        <v>17695.177080000001</v>
      </c>
      <c r="M34" s="288"/>
      <c r="N34" s="288">
        <f>N35*N32</f>
        <v>2615.0508</v>
      </c>
      <c r="O34" s="288"/>
      <c r="P34" s="288">
        <f>P35*P32</f>
        <v>39487.267079999998</v>
      </c>
      <c r="Q34" s="288"/>
      <c r="R34" s="288"/>
      <c r="S34" s="292"/>
      <c r="T34" s="288">
        <f>SUM(C34:P34)</f>
        <v>305089.64604000008</v>
      </c>
      <c r="U34" s="286"/>
      <c r="V34" s="5"/>
    </row>
    <row r="35" spans="1:22" ht="15.6" x14ac:dyDescent="0.3">
      <c r="A35" s="276"/>
      <c r="B35" s="293" t="s">
        <v>139</v>
      </c>
      <c r="C35" s="294"/>
      <c r="D35" s="295">
        <v>0.38307239999999998</v>
      </c>
      <c r="E35" s="296"/>
      <c r="F35" s="295">
        <v>0.38307239999999998</v>
      </c>
      <c r="G35" s="295"/>
      <c r="H35" s="295">
        <v>0.3830712</v>
      </c>
      <c r="I35" s="297"/>
      <c r="J35" s="295">
        <v>0.8716836</v>
      </c>
      <c r="K35" s="297"/>
      <c r="L35" s="295">
        <v>0.8716836</v>
      </c>
      <c r="M35" s="297"/>
      <c r="N35" s="295">
        <v>0.8716836</v>
      </c>
      <c r="O35" s="297"/>
      <c r="P35" s="295">
        <v>0.8716836</v>
      </c>
      <c r="Q35" s="298"/>
      <c r="R35" s="298"/>
      <c r="S35" s="299"/>
      <c r="T35" s="298"/>
      <c r="U35" s="300"/>
      <c r="V35" s="5"/>
    </row>
    <row r="36" spans="1:22" ht="15.6" x14ac:dyDescent="0.3">
      <c r="A36" s="276"/>
      <c r="B36" s="293" t="s">
        <v>140</v>
      </c>
      <c r="C36" s="294"/>
      <c r="D36" s="295">
        <v>0.38591979999999998</v>
      </c>
      <c r="E36" s="296"/>
      <c r="F36" s="295">
        <v>0.38591979999999998</v>
      </c>
      <c r="G36" s="295"/>
      <c r="H36" s="295">
        <v>0.3859187</v>
      </c>
      <c r="I36" s="297"/>
      <c r="J36" s="295">
        <v>0.87816320000000003</v>
      </c>
      <c r="K36" s="297"/>
      <c r="L36" s="295">
        <v>0.87816320000000003</v>
      </c>
      <c r="M36" s="297"/>
      <c r="N36" s="295">
        <v>0.87816320000000003</v>
      </c>
      <c r="O36" s="297"/>
      <c r="P36" s="295">
        <v>0.87816320000000003</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1.06438E-2</v>
      </c>
      <c r="E38" s="272"/>
      <c r="F38" s="303">
        <v>7.0899999999999999E-3</v>
      </c>
      <c r="G38" s="304"/>
      <c r="H38" s="303">
        <v>7.9450000000000007E-3</v>
      </c>
      <c r="I38" s="304"/>
      <c r="J38" s="303">
        <v>1.2843800000000001E-2</v>
      </c>
      <c r="K38" s="304"/>
      <c r="L38" s="303">
        <v>9.2899999999999996E-3</v>
      </c>
      <c r="M38" s="304"/>
      <c r="N38" s="303">
        <v>1.7443799999999999E-2</v>
      </c>
      <c r="O38" s="304"/>
      <c r="P38" s="303">
        <v>1.389E-2</v>
      </c>
      <c r="Q38" s="304"/>
      <c r="R38" s="303"/>
      <c r="S38" s="274"/>
      <c r="T38" s="304"/>
      <c r="U38" s="275"/>
      <c r="V38" s="5"/>
    </row>
    <row r="39" spans="1:22" ht="15.6" x14ac:dyDescent="0.3">
      <c r="A39" s="302"/>
      <c r="B39" s="272" t="s">
        <v>14</v>
      </c>
      <c r="C39" s="272"/>
      <c r="D39" s="303">
        <v>1.3675E-2</v>
      </c>
      <c r="E39" s="272"/>
      <c r="F39" s="303">
        <v>1.0500000000000001E-2</v>
      </c>
      <c r="G39" s="304"/>
      <c r="H39" s="303">
        <v>8.2684999999999998E-3</v>
      </c>
      <c r="I39" s="304"/>
      <c r="J39" s="303">
        <v>1.5875E-2</v>
      </c>
      <c r="K39" s="304"/>
      <c r="L39" s="303">
        <v>1.2699999999999999E-2</v>
      </c>
      <c r="M39" s="304"/>
      <c r="N39" s="303">
        <v>2.0475E-2</v>
      </c>
      <c r="O39" s="304"/>
      <c r="P39" s="303">
        <v>1.7299999999999999E-2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1.06438E-2</v>
      </c>
      <c r="E41" s="272"/>
      <c r="F41" s="303">
        <v>1.0843800000000001E-2</v>
      </c>
      <c r="G41" s="304"/>
      <c r="H41" s="303">
        <v>1.11038E-2</v>
      </c>
      <c r="I41" s="304"/>
      <c r="J41" s="303">
        <f>+J38</f>
        <v>1.2843800000000001E-2</v>
      </c>
      <c r="K41" s="304"/>
      <c r="L41" s="303">
        <v>1.3433799999999999E-2</v>
      </c>
      <c r="M41" s="304"/>
      <c r="N41" s="303">
        <f>+N38</f>
        <v>1.7443799999999999E-2</v>
      </c>
      <c r="O41" s="304"/>
      <c r="P41" s="303">
        <v>1.8323800000000001E-2</v>
      </c>
      <c r="Q41" s="304"/>
      <c r="R41" s="303"/>
      <c r="S41" s="274"/>
      <c r="T41" s="304">
        <f>SUMPRODUCT(D41:P41,D33:P33)/T33</f>
        <v>1.198289489173027E-2</v>
      </c>
      <c r="U41" s="275"/>
      <c r="V41" s="5"/>
    </row>
    <row r="42" spans="1:22" ht="15.6" x14ac:dyDescent="0.3">
      <c r="A42" s="302"/>
      <c r="B42" s="272" t="s">
        <v>294</v>
      </c>
      <c r="C42" s="272"/>
      <c r="D42" s="303">
        <f>+D39</f>
        <v>1.3675E-2</v>
      </c>
      <c r="E42" s="272"/>
      <c r="F42" s="303">
        <v>1.3875E-2</v>
      </c>
      <c r="G42" s="304"/>
      <c r="H42" s="303">
        <v>1.4135E-2</v>
      </c>
      <c r="I42" s="304"/>
      <c r="J42" s="303">
        <f>+J39</f>
        <v>1.5875E-2</v>
      </c>
      <c r="K42" s="304"/>
      <c r="L42" s="303">
        <v>1.6465E-2</v>
      </c>
      <c r="M42" s="304"/>
      <c r="N42" s="303">
        <f>+N39</f>
        <v>2.0475E-2</v>
      </c>
      <c r="O42" s="304"/>
      <c r="P42" s="303">
        <v>2.1354999999999999E-2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0.27550975942342582</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41228</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92</v>
      </c>
      <c r="Q54" s="272"/>
      <c r="R54" s="312">
        <v>41044</v>
      </c>
      <c r="S54" s="313"/>
      <c r="T54" s="312">
        <v>41135</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92</v>
      </c>
      <c r="Q55" s="272"/>
      <c r="R55" s="312">
        <v>41136</v>
      </c>
      <c r="S55" s="313"/>
      <c r="T55" s="312">
        <v>41227</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41214</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315</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307357</v>
      </c>
      <c r="M65" s="317"/>
      <c r="N65" s="317">
        <f>2268+53+5-1</f>
        <v>2325</v>
      </c>
      <c r="O65" s="317"/>
      <c r="P65" s="317">
        <f>53+5</f>
        <v>58</v>
      </c>
      <c r="Q65" s="317"/>
      <c r="R65" s="317">
        <v>0</v>
      </c>
      <c r="S65" s="317"/>
      <c r="T65" s="318">
        <f>+L65-N65+P65-R65</f>
        <v>305090</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307357</v>
      </c>
      <c r="M68" s="317"/>
      <c r="N68" s="317">
        <f>SUM(N65:N67)</f>
        <v>2325</v>
      </c>
      <c r="O68" s="317"/>
      <c r="P68" s="317">
        <f>SUM(P65:P67)</f>
        <v>58</v>
      </c>
      <c r="Q68" s="317"/>
      <c r="R68" s="317">
        <f>SUM(R65:R67)</f>
        <v>0</v>
      </c>
      <c r="S68" s="317"/>
      <c r="T68" s="317">
        <f>SUM(T65:T67)</f>
        <v>305090</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307357</v>
      </c>
      <c r="M81" s="317"/>
      <c r="N81" s="317"/>
      <c r="O81" s="317"/>
      <c r="P81" s="317"/>
      <c r="Q81" s="317"/>
      <c r="R81" s="317"/>
      <c r="S81" s="317"/>
      <c r="T81" s="317">
        <f>SUM(T68:T80)</f>
        <v>305090</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+R195</f>
        <v>41213</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2325-439</f>
        <v>1886</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1961+714-418-168</f>
        <v>2089</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62+7</f>
        <v>69</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29</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76</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1886</v>
      </c>
      <c r="S93" s="272"/>
      <c r="T93" s="317">
        <f>SUM(T85:T92)</f>
        <v>2263</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125</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1886</v>
      </c>
      <c r="S97" s="272"/>
      <c r="T97" s="317">
        <f>T93+T95+T94+T96</f>
        <v>2388</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160</v>
      </c>
      <c r="C101" s="272"/>
      <c r="D101" s="272"/>
      <c r="E101" s="272"/>
      <c r="F101" s="272"/>
      <c r="G101" s="272"/>
      <c r="H101" s="272"/>
      <c r="I101" s="272"/>
      <c r="J101" s="272"/>
      <c r="K101" s="272"/>
      <c r="L101" s="272"/>
      <c r="M101" s="272"/>
      <c r="N101" s="272"/>
      <c r="O101" s="272"/>
      <c r="P101" s="272"/>
      <c r="Q101" s="272"/>
      <c r="R101" s="272"/>
      <c r="S101" s="272"/>
      <c r="T101" s="318">
        <f>-118-71-4</f>
        <v>-193</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-47</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-1</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-358</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-258</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-37</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-20</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-60</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-11</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-184</v>
      </c>
      <c r="U110" s="340"/>
      <c r="V110" s="5"/>
      <c r="W110" s="110"/>
    </row>
    <row r="111" spans="1:23" ht="15.6" x14ac:dyDescent="0.3">
      <c r="A111" s="302">
        <v>7</v>
      </c>
      <c r="B111" s="272" t="s">
        <v>38</v>
      </c>
      <c r="C111" s="272"/>
      <c r="D111" s="272"/>
      <c r="E111" s="272"/>
      <c r="F111" s="272"/>
      <c r="G111" s="272"/>
      <c r="H111" s="272"/>
      <c r="I111" s="272"/>
      <c r="J111" s="272"/>
      <c r="K111" s="272"/>
      <c r="L111" s="272"/>
      <c r="M111" s="272"/>
      <c r="N111" s="272"/>
      <c r="O111" s="272"/>
      <c r="P111" s="272"/>
      <c r="Q111" s="272"/>
      <c r="R111" s="272"/>
      <c r="S111" s="272"/>
      <c r="T111" s="318">
        <v>-6</v>
      </c>
      <c r="U111" s="340"/>
      <c r="V111" s="5"/>
    </row>
    <row r="112" spans="1:23" ht="15.6" x14ac:dyDescent="0.3">
      <c r="A112" s="302">
        <f t="shared" ref="A112:A117" si="0">+A111+1</f>
        <v>8</v>
      </c>
      <c r="B112" s="272" t="s">
        <v>49</v>
      </c>
      <c r="C112" s="272"/>
      <c r="D112" s="272"/>
      <c r="E112" s="272"/>
      <c r="F112" s="272"/>
      <c r="G112" s="272"/>
      <c r="H112" s="272"/>
      <c r="I112" s="272"/>
      <c r="J112" s="272"/>
      <c r="K112" s="272"/>
      <c r="L112" s="272"/>
      <c r="M112" s="272"/>
      <c r="N112" s="272"/>
      <c r="O112" s="272"/>
      <c r="P112" s="272"/>
      <c r="Q112" s="272"/>
      <c r="R112" s="317">
        <f>-T112</f>
        <v>439</v>
      </c>
      <c r="S112" s="272"/>
      <c r="T112" s="318">
        <v>-439</v>
      </c>
      <c r="U112" s="340"/>
      <c r="V112" s="5"/>
    </row>
    <row r="113" spans="1:22" ht="15.6" x14ac:dyDescent="0.3">
      <c r="A113" s="302">
        <f t="shared" si="0"/>
        <v>9</v>
      </c>
      <c r="B113" s="272" t="s">
        <v>134</v>
      </c>
      <c r="C113" s="272"/>
      <c r="D113" s="272"/>
      <c r="E113" s="272"/>
      <c r="F113" s="272"/>
      <c r="G113" s="272"/>
      <c r="H113" s="272"/>
      <c r="I113" s="272"/>
      <c r="J113" s="272"/>
      <c r="K113" s="272"/>
      <c r="L113" s="272"/>
      <c r="M113" s="272"/>
      <c r="N113" s="272"/>
      <c r="O113" s="272"/>
      <c r="P113" s="272"/>
      <c r="Q113" s="272"/>
      <c r="R113" s="272"/>
      <c r="S113" s="272"/>
      <c r="T113" s="318">
        <v>0</v>
      </c>
      <c r="U113" s="340"/>
      <c r="V113" s="5"/>
    </row>
    <row r="114" spans="1:22" ht="15.6" x14ac:dyDescent="0.3">
      <c r="A114" s="302">
        <f t="shared" si="0"/>
        <v>10</v>
      </c>
      <c r="B114" s="272" t="s">
        <v>39</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40</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161</v>
      </c>
      <c r="C116" s="272"/>
      <c r="D116" s="272"/>
      <c r="E116" s="272"/>
      <c r="F116" s="272"/>
      <c r="G116" s="272"/>
      <c r="H116" s="272"/>
      <c r="I116" s="272"/>
      <c r="J116" s="272"/>
      <c r="K116" s="272"/>
      <c r="L116" s="272"/>
      <c r="M116" s="272"/>
      <c r="N116" s="272"/>
      <c r="O116" s="272"/>
      <c r="P116" s="272"/>
      <c r="Q116" s="272"/>
      <c r="R116" s="272"/>
      <c r="S116" s="272"/>
      <c r="T116" s="318">
        <v>-117</v>
      </c>
      <c r="U116" s="340"/>
      <c r="V116" s="5"/>
    </row>
    <row r="117" spans="1:22" ht="15.6" x14ac:dyDescent="0.3">
      <c r="A117" s="302">
        <f t="shared" si="0"/>
        <v>13</v>
      </c>
      <c r="B117" s="272" t="s">
        <v>135</v>
      </c>
      <c r="C117" s="272"/>
      <c r="D117" s="272"/>
      <c r="E117" s="272"/>
      <c r="F117" s="272"/>
      <c r="G117" s="272"/>
      <c r="H117" s="272"/>
      <c r="I117" s="272"/>
      <c r="J117" s="272"/>
      <c r="K117" s="272"/>
      <c r="L117" s="272"/>
      <c r="M117" s="272"/>
      <c r="N117" s="272"/>
      <c r="O117" s="272"/>
      <c r="P117" s="272"/>
      <c r="Q117" s="272"/>
      <c r="R117" s="272"/>
      <c r="S117" s="272"/>
      <c r="T117" s="318">
        <f>-T97-SUM(T99:T116)</f>
        <v>-655</v>
      </c>
      <c r="U117" s="340"/>
      <c r="V117" s="5"/>
    </row>
    <row r="118" spans="1:22" ht="15.6" x14ac:dyDescent="0.3">
      <c r="A118" s="271"/>
      <c r="B118" s="336" t="s">
        <v>41</v>
      </c>
      <c r="C118" s="337"/>
      <c r="D118" s="337"/>
      <c r="E118" s="337"/>
      <c r="F118" s="337"/>
      <c r="G118" s="337"/>
      <c r="H118" s="337"/>
      <c r="I118" s="337"/>
      <c r="J118" s="337"/>
      <c r="K118" s="337"/>
      <c r="L118" s="337"/>
      <c r="M118" s="337"/>
      <c r="N118" s="337"/>
      <c r="O118" s="337"/>
      <c r="P118" s="337"/>
      <c r="Q118" s="337"/>
      <c r="R118" s="337"/>
      <c r="S118" s="337"/>
      <c r="T118" s="341"/>
      <c r="U118" s="340"/>
      <c r="V118" s="5"/>
    </row>
    <row r="119" spans="1:22" ht="15.6" x14ac:dyDescent="0.3">
      <c r="A119" s="302"/>
      <c r="B119" s="272" t="s">
        <v>229</v>
      </c>
      <c r="C119" s="272"/>
      <c r="D119" s="272"/>
      <c r="E119" s="272"/>
      <c r="F119" s="272"/>
      <c r="G119" s="272"/>
      <c r="H119" s="272"/>
      <c r="I119" s="272"/>
      <c r="J119" s="272"/>
      <c r="K119" s="272"/>
      <c r="L119" s="272"/>
      <c r="M119" s="272"/>
      <c r="N119" s="272"/>
      <c r="O119" s="272"/>
      <c r="P119" s="272"/>
      <c r="Q119" s="272"/>
      <c r="R119" s="317">
        <f>-R179</f>
        <v>0</v>
      </c>
      <c r="S119" s="317"/>
      <c r="T119" s="318"/>
      <c r="U119" s="275"/>
      <c r="V119" s="5"/>
    </row>
    <row r="120" spans="1:22" ht="15.6" x14ac:dyDescent="0.3">
      <c r="A120" s="302"/>
      <c r="B120" s="272" t="s">
        <v>230</v>
      </c>
      <c r="C120" s="272"/>
      <c r="D120" s="272"/>
      <c r="E120" s="272"/>
      <c r="F120" s="272"/>
      <c r="G120" s="272"/>
      <c r="H120" s="272"/>
      <c r="I120" s="272"/>
      <c r="J120" s="272"/>
      <c r="K120" s="272"/>
      <c r="L120" s="272"/>
      <c r="M120" s="272"/>
      <c r="N120" s="272"/>
      <c r="O120" s="272"/>
      <c r="P120" s="272"/>
      <c r="Q120" s="272"/>
      <c r="R120" s="317">
        <v>-5</v>
      </c>
      <c r="S120" s="317"/>
      <c r="T120" s="318"/>
      <c r="U120" s="275"/>
      <c r="V120" s="5"/>
    </row>
    <row r="121" spans="1:22" ht="15.6" x14ac:dyDescent="0.3">
      <c r="A121" s="302"/>
      <c r="B121" s="272" t="s">
        <v>42</v>
      </c>
      <c r="C121" s="272"/>
      <c r="D121" s="272"/>
      <c r="E121" s="272"/>
      <c r="F121" s="272"/>
      <c r="G121" s="272"/>
      <c r="H121" s="272"/>
      <c r="I121" s="272"/>
      <c r="J121" s="272"/>
      <c r="K121" s="272"/>
      <c r="L121" s="272"/>
      <c r="M121" s="272"/>
      <c r="N121" s="272"/>
      <c r="O121" s="272"/>
      <c r="P121" s="272"/>
      <c r="Q121" s="272"/>
      <c r="R121" s="317">
        <f>-Q179</f>
        <v>-53</v>
      </c>
      <c r="S121" s="317"/>
      <c r="T121" s="318"/>
      <c r="U121" s="275"/>
      <c r="V121" s="5"/>
    </row>
    <row r="122" spans="1:22" ht="15.6" x14ac:dyDescent="0.3">
      <c r="A122" s="302"/>
      <c r="B122" s="272" t="s">
        <v>235</v>
      </c>
      <c r="C122" s="272"/>
      <c r="D122" s="272"/>
      <c r="E122" s="272"/>
      <c r="F122" s="272"/>
      <c r="G122" s="272"/>
      <c r="H122" s="272"/>
      <c r="I122" s="272"/>
      <c r="J122" s="272"/>
      <c r="K122" s="272"/>
      <c r="L122" s="272"/>
      <c r="M122" s="272"/>
      <c r="N122" s="272"/>
      <c r="O122" s="272"/>
      <c r="P122" s="272"/>
      <c r="Q122" s="272"/>
      <c r="R122" s="317">
        <v>-985</v>
      </c>
      <c r="S122" s="317"/>
      <c r="T122" s="318"/>
      <c r="U122" s="275"/>
      <c r="V122" s="5"/>
    </row>
    <row r="123" spans="1:22" ht="15.6" x14ac:dyDescent="0.3">
      <c r="A123" s="302"/>
      <c r="B123" s="272" t="s">
        <v>236</v>
      </c>
      <c r="C123" s="272"/>
      <c r="D123" s="272"/>
      <c r="E123" s="272"/>
      <c r="F123" s="272"/>
      <c r="G123" s="272"/>
      <c r="H123" s="272"/>
      <c r="I123" s="272"/>
      <c r="J123" s="272"/>
      <c r="K123" s="272"/>
      <c r="L123" s="272"/>
      <c r="M123" s="272"/>
      <c r="N123" s="272"/>
      <c r="O123" s="272"/>
      <c r="P123" s="272"/>
      <c r="Q123" s="272"/>
      <c r="R123" s="317">
        <v>-696</v>
      </c>
      <c r="S123" s="317"/>
      <c r="T123" s="318"/>
      <c r="U123" s="275"/>
      <c r="V123" s="5"/>
    </row>
    <row r="124" spans="1:22" ht="15.6" x14ac:dyDescent="0.3">
      <c r="A124" s="302"/>
      <c r="B124" s="272" t="s">
        <v>241</v>
      </c>
      <c r="C124" s="272"/>
      <c r="D124" s="272"/>
      <c r="E124" s="272"/>
      <c r="F124" s="272"/>
      <c r="G124" s="272"/>
      <c r="H124" s="272"/>
      <c r="I124" s="272"/>
      <c r="J124" s="272"/>
      <c r="K124" s="272"/>
      <c r="L124" s="272"/>
      <c r="M124" s="272"/>
      <c r="N124" s="272"/>
      <c r="O124" s="272"/>
      <c r="P124" s="272"/>
      <c r="Q124" s="272"/>
      <c r="R124" s="317">
        <v>-97</v>
      </c>
      <c r="S124" s="317"/>
      <c r="T124" s="318"/>
      <c r="U124" s="275"/>
      <c r="V124" s="5"/>
    </row>
    <row r="125" spans="1:22" ht="15.6" x14ac:dyDescent="0.3">
      <c r="A125" s="302"/>
      <c r="B125" s="272" t="s">
        <v>237</v>
      </c>
      <c r="C125" s="272"/>
      <c r="D125" s="272"/>
      <c r="E125" s="272"/>
      <c r="F125" s="272"/>
      <c r="G125" s="272"/>
      <c r="H125" s="272"/>
      <c r="I125" s="272"/>
      <c r="J125" s="272"/>
      <c r="K125" s="272"/>
      <c r="L125" s="272"/>
      <c r="M125" s="272"/>
      <c r="N125" s="272"/>
      <c r="O125" s="272"/>
      <c r="P125" s="272"/>
      <c r="Q125" s="272"/>
      <c r="R125" s="317">
        <v>-45</v>
      </c>
      <c r="S125" s="317"/>
      <c r="T125" s="318"/>
      <c r="U125" s="275"/>
      <c r="V125" s="5"/>
    </row>
    <row r="126" spans="1:22" ht="15.6" x14ac:dyDescent="0.3">
      <c r="A126" s="302"/>
      <c r="B126" s="272" t="s">
        <v>238</v>
      </c>
      <c r="C126" s="272"/>
      <c r="D126" s="272"/>
      <c r="E126" s="272"/>
      <c r="F126" s="272"/>
      <c r="G126" s="272"/>
      <c r="H126" s="272"/>
      <c r="I126" s="272"/>
      <c r="J126" s="272"/>
      <c r="K126" s="272"/>
      <c r="L126" s="272"/>
      <c r="M126" s="272"/>
      <c r="N126" s="272"/>
      <c r="O126" s="272"/>
      <c r="P126" s="272"/>
      <c r="Q126" s="272"/>
      <c r="R126" s="317">
        <v>-131</v>
      </c>
      <c r="S126" s="317"/>
      <c r="T126" s="318"/>
      <c r="U126" s="275"/>
      <c r="V126" s="5"/>
    </row>
    <row r="127" spans="1:22" ht="15.6" x14ac:dyDescent="0.3">
      <c r="A127" s="302"/>
      <c r="B127" s="272" t="s">
        <v>239</v>
      </c>
      <c r="C127" s="272"/>
      <c r="D127" s="272"/>
      <c r="E127" s="272"/>
      <c r="F127" s="272"/>
      <c r="G127" s="272"/>
      <c r="H127" s="272"/>
      <c r="I127" s="272"/>
      <c r="J127" s="272"/>
      <c r="K127" s="272"/>
      <c r="L127" s="272"/>
      <c r="M127" s="272"/>
      <c r="N127" s="272"/>
      <c r="O127" s="272"/>
      <c r="P127" s="272"/>
      <c r="Q127" s="272"/>
      <c r="R127" s="317">
        <v>-19</v>
      </c>
      <c r="S127" s="317"/>
      <c r="T127" s="318"/>
      <c r="U127" s="275"/>
      <c r="V127" s="5"/>
    </row>
    <row r="128" spans="1:22" ht="15.6" x14ac:dyDescent="0.3">
      <c r="A128" s="302"/>
      <c r="B128" s="272" t="s">
        <v>240</v>
      </c>
      <c r="C128" s="272"/>
      <c r="D128" s="272"/>
      <c r="E128" s="272"/>
      <c r="F128" s="272"/>
      <c r="G128" s="272"/>
      <c r="H128" s="272"/>
      <c r="I128" s="272"/>
      <c r="J128" s="272"/>
      <c r="K128" s="272"/>
      <c r="L128" s="272"/>
      <c r="M128" s="272"/>
      <c r="N128" s="272"/>
      <c r="O128" s="272"/>
      <c r="P128" s="272"/>
      <c r="Q128" s="272"/>
      <c r="R128" s="317">
        <v>-294</v>
      </c>
      <c r="S128" s="317"/>
      <c r="T128" s="318"/>
      <c r="U128" s="275"/>
      <c r="V128" s="5"/>
    </row>
    <row r="129" spans="1:22" ht="15.6" x14ac:dyDescent="0.3">
      <c r="A129" s="302"/>
      <c r="B129" s="272" t="s">
        <v>43</v>
      </c>
      <c r="C129" s="272"/>
      <c r="D129" s="272"/>
      <c r="E129" s="272"/>
      <c r="F129" s="272"/>
      <c r="G129" s="272"/>
      <c r="H129" s="272"/>
      <c r="I129" s="272"/>
      <c r="J129" s="272"/>
      <c r="K129" s="272"/>
      <c r="L129" s="272"/>
      <c r="M129" s="272"/>
      <c r="N129" s="272"/>
      <c r="O129" s="272"/>
      <c r="P129" s="272"/>
      <c r="Q129" s="272"/>
      <c r="R129" s="317">
        <f>SUM(R119:R128)</f>
        <v>-2325</v>
      </c>
      <c r="S129" s="317"/>
      <c r="T129" s="317">
        <f>SUM(T98:T127)</f>
        <v>-2388</v>
      </c>
      <c r="U129" s="275"/>
      <c r="V129" s="5"/>
    </row>
    <row r="130" spans="1:22" ht="15.6" x14ac:dyDescent="0.3">
      <c r="A130" s="302"/>
      <c r="B130" s="272" t="s">
        <v>44</v>
      </c>
      <c r="C130" s="272"/>
      <c r="D130" s="272"/>
      <c r="E130" s="272"/>
      <c r="F130" s="272"/>
      <c r="G130" s="272"/>
      <c r="H130" s="272"/>
      <c r="I130" s="272"/>
      <c r="J130" s="272"/>
      <c r="K130" s="272"/>
      <c r="L130" s="272"/>
      <c r="M130" s="272"/>
      <c r="N130" s="272"/>
      <c r="O130" s="272"/>
      <c r="P130" s="272"/>
      <c r="Q130" s="272"/>
      <c r="R130" s="317">
        <f>R97+R129+R112</f>
        <v>0</v>
      </c>
      <c r="S130" s="317"/>
      <c r="T130" s="317">
        <f>T97+T129</f>
        <v>0</v>
      </c>
      <c r="U130" s="275"/>
      <c r="V130" s="5"/>
    </row>
    <row r="131" spans="1:22" ht="15.6" x14ac:dyDescent="0.3">
      <c r="A131" s="233"/>
      <c r="B131" s="268"/>
      <c r="C131" s="268"/>
      <c r="D131" s="268"/>
      <c r="E131" s="268"/>
      <c r="F131" s="268"/>
      <c r="G131" s="268"/>
      <c r="H131" s="268"/>
      <c r="I131" s="268"/>
      <c r="J131" s="268"/>
      <c r="K131" s="268"/>
      <c r="L131" s="268"/>
      <c r="M131" s="268"/>
      <c r="N131" s="268"/>
      <c r="O131" s="268"/>
      <c r="P131" s="268"/>
      <c r="Q131" s="268"/>
      <c r="R131" s="333"/>
      <c r="S131" s="333"/>
      <c r="T131" s="333"/>
      <c r="U131" s="268"/>
      <c r="V131" s="5"/>
    </row>
    <row r="132" spans="1:22" ht="15.6" x14ac:dyDescent="0.3">
      <c r="A132" s="233"/>
      <c r="B132" s="234"/>
      <c r="C132" s="234"/>
      <c r="D132" s="234"/>
      <c r="E132" s="234"/>
      <c r="F132" s="234"/>
      <c r="G132" s="234"/>
      <c r="H132" s="234"/>
      <c r="I132" s="234"/>
      <c r="J132" s="234"/>
      <c r="K132" s="234"/>
      <c r="L132" s="234"/>
      <c r="M132" s="234"/>
      <c r="N132" s="234"/>
      <c r="O132" s="234"/>
      <c r="P132" s="234"/>
      <c r="Q132" s="234"/>
      <c r="R132" s="234"/>
      <c r="S132" s="234"/>
      <c r="T132" s="243"/>
      <c r="U132" s="234"/>
      <c r="V132" s="5"/>
    </row>
    <row r="133" spans="1:22" ht="18" thickBot="1" x14ac:dyDescent="0.35">
      <c r="A133" s="237"/>
      <c r="B133" s="238" t="str">
        <f>B61</f>
        <v>PM9 INVESTOR REPORT QUARTER ENDING OCTOBER 2012</v>
      </c>
      <c r="C133" s="239"/>
      <c r="D133" s="239"/>
      <c r="E133" s="239"/>
      <c r="F133" s="239"/>
      <c r="G133" s="239"/>
      <c r="H133" s="239"/>
      <c r="I133" s="239"/>
      <c r="J133" s="239"/>
      <c r="K133" s="239"/>
      <c r="L133" s="239"/>
      <c r="M133" s="239"/>
      <c r="N133" s="239"/>
      <c r="O133" s="239"/>
      <c r="P133" s="239"/>
      <c r="Q133" s="239"/>
      <c r="R133" s="239"/>
      <c r="S133" s="239"/>
      <c r="T133" s="244"/>
      <c r="U133" s="241"/>
      <c r="V133" s="5"/>
    </row>
    <row r="134" spans="1:22" ht="15.6" x14ac:dyDescent="0.3">
      <c r="A134" s="321"/>
      <c r="B134" s="324" t="s">
        <v>45</v>
      </c>
      <c r="C134" s="322"/>
      <c r="D134" s="322"/>
      <c r="E134" s="322"/>
      <c r="F134" s="322"/>
      <c r="G134" s="322"/>
      <c r="H134" s="322"/>
      <c r="I134" s="322"/>
      <c r="J134" s="322"/>
      <c r="K134" s="322"/>
      <c r="L134" s="322"/>
      <c r="M134" s="322"/>
      <c r="N134" s="322"/>
      <c r="O134" s="322"/>
      <c r="P134" s="322"/>
      <c r="Q134" s="322"/>
      <c r="R134" s="322"/>
      <c r="S134" s="322"/>
      <c r="T134" s="323"/>
      <c r="U134" s="322"/>
      <c r="V134" s="5"/>
    </row>
    <row r="135" spans="1:22" ht="15.6" x14ac:dyDescent="0.3">
      <c r="A135" s="177"/>
      <c r="B135" s="191"/>
      <c r="C135" s="179"/>
      <c r="D135" s="179"/>
      <c r="E135" s="179"/>
      <c r="F135" s="179"/>
      <c r="G135" s="179"/>
      <c r="H135" s="179"/>
      <c r="I135" s="179"/>
      <c r="J135" s="179"/>
      <c r="K135" s="179"/>
      <c r="L135" s="179"/>
      <c r="M135" s="179"/>
      <c r="N135" s="179"/>
      <c r="O135" s="179"/>
      <c r="P135" s="179"/>
      <c r="Q135" s="179"/>
      <c r="R135" s="179"/>
      <c r="S135" s="179"/>
      <c r="T135" s="197"/>
      <c r="U135" s="179"/>
      <c r="V135" s="5"/>
    </row>
    <row r="136" spans="1:22" ht="15.6" x14ac:dyDescent="0.3">
      <c r="A136" s="177"/>
      <c r="B136" s="204" t="s">
        <v>46</v>
      </c>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271"/>
      <c r="B137" s="272" t="s">
        <v>47</v>
      </c>
      <c r="C137" s="272"/>
      <c r="D137" s="272"/>
      <c r="E137" s="272"/>
      <c r="F137" s="272"/>
      <c r="G137" s="272"/>
      <c r="H137" s="272"/>
      <c r="I137" s="272"/>
      <c r="J137" s="272"/>
      <c r="K137" s="272"/>
      <c r="L137" s="272"/>
      <c r="M137" s="272"/>
      <c r="N137" s="272"/>
      <c r="O137" s="272"/>
      <c r="P137" s="272"/>
      <c r="Q137" s="272"/>
      <c r="R137" s="272"/>
      <c r="S137" s="272"/>
      <c r="T137" s="318">
        <f>+T32*0.0176</f>
        <v>12320</v>
      </c>
      <c r="U137" s="275"/>
      <c r="V137" s="5"/>
    </row>
    <row r="138" spans="1:22" ht="15.6" x14ac:dyDescent="0.3">
      <c r="A138" s="271"/>
      <c r="B138" s="272" t="s">
        <v>48</v>
      </c>
      <c r="C138" s="272"/>
      <c r="D138" s="272"/>
      <c r="E138" s="272"/>
      <c r="F138" s="272"/>
      <c r="G138" s="272"/>
      <c r="H138" s="272"/>
      <c r="I138" s="272"/>
      <c r="J138" s="272"/>
      <c r="K138" s="272"/>
      <c r="L138" s="272"/>
      <c r="M138" s="272"/>
      <c r="N138" s="272"/>
      <c r="O138" s="272"/>
      <c r="P138" s="272"/>
      <c r="Q138" s="272"/>
      <c r="R138" s="272"/>
      <c r="S138" s="272"/>
      <c r="T138" s="318">
        <v>12320</v>
      </c>
      <c r="U138" s="275"/>
      <c r="V138" s="5"/>
    </row>
    <row r="139" spans="1:22" ht="15.6" x14ac:dyDescent="0.3">
      <c r="A139" s="271"/>
      <c r="B139" s="272" t="s">
        <v>145</v>
      </c>
      <c r="C139" s="272"/>
      <c r="D139" s="272"/>
      <c r="E139" s="272"/>
      <c r="F139" s="272"/>
      <c r="G139" s="272"/>
      <c r="H139" s="272"/>
      <c r="I139" s="272"/>
      <c r="J139" s="272"/>
      <c r="K139" s="272"/>
      <c r="L139" s="272"/>
      <c r="M139" s="272"/>
      <c r="N139" s="272"/>
      <c r="O139" s="272"/>
      <c r="P139" s="272"/>
      <c r="Q139" s="272"/>
      <c r="R139" s="272"/>
      <c r="S139" s="272"/>
      <c r="T139" s="318">
        <v>0</v>
      </c>
      <c r="U139" s="275"/>
      <c r="V139" s="5"/>
    </row>
    <row r="140" spans="1:22" ht="15.6" x14ac:dyDescent="0.3">
      <c r="A140" s="271"/>
      <c r="B140" s="272" t="s">
        <v>132</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133</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232</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49</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138</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231</v>
      </c>
      <c r="C145" s="272"/>
      <c r="D145" s="272"/>
      <c r="E145" s="272"/>
      <c r="F145" s="272"/>
      <c r="G145" s="272"/>
      <c r="H145" s="272"/>
      <c r="I145" s="272"/>
      <c r="J145" s="272"/>
      <c r="K145" s="272"/>
      <c r="L145" s="272"/>
      <c r="M145" s="272"/>
      <c r="N145" s="272"/>
      <c r="O145" s="272"/>
      <c r="P145" s="272"/>
      <c r="Q145" s="272"/>
      <c r="R145" s="272"/>
      <c r="S145" s="272"/>
      <c r="T145" s="318">
        <v>0</v>
      </c>
      <c r="U145" s="275"/>
      <c r="V145" s="5"/>
      <c r="W145" s="110"/>
    </row>
    <row r="146" spans="1:23" ht="15.6" x14ac:dyDescent="0.3">
      <c r="A146" s="271"/>
      <c r="B146" s="272" t="s">
        <v>50</v>
      </c>
      <c r="C146" s="272"/>
      <c r="D146" s="272"/>
      <c r="E146" s="272"/>
      <c r="F146" s="272"/>
      <c r="G146" s="272"/>
      <c r="H146" s="272"/>
      <c r="I146" s="272"/>
      <c r="J146" s="272"/>
      <c r="K146" s="272"/>
      <c r="L146" s="272"/>
      <c r="M146" s="272"/>
      <c r="N146" s="272"/>
      <c r="O146" s="272"/>
      <c r="P146" s="272"/>
      <c r="Q146" s="272"/>
      <c r="R146" s="272"/>
      <c r="S146" s="272"/>
      <c r="T146" s="318">
        <f>SUM(T138:T145)</f>
        <v>12320</v>
      </c>
      <c r="U146" s="275"/>
      <c r="V146" s="5"/>
    </row>
    <row r="147" spans="1:23" ht="15.6" x14ac:dyDescent="0.3">
      <c r="A147" s="271"/>
      <c r="B147" s="337"/>
      <c r="C147" s="337"/>
      <c r="D147" s="337"/>
      <c r="E147" s="337"/>
      <c r="F147" s="337"/>
      <c r="G147" s="337"/>
      <c r="H147" s="337"/>
      <c r="I147" s="337"/>
      <c r="J147" s="337"/>
      <c r="K147" s="337"/>
      <c r="L147" s="337"/>
      <c r="M147" s="337"/>
      <c r="N147" s="337"/>
      <c r="O147" s="337"/>
      <c r="P147" s="337"/>
      <c r="Q147" s="337"/>
      <c r="R147" s="337"/>
      <c r="S147" s="337"/>
      <c r="T147" s="339"/>
      <c r="U147" s="340"/>
      <c r="V147" s="5"/>
    </row>
    <row r="148" spans="1:23" ht="15.6" x14ac:dyDescent="0.3">
      <c r="A148" s="271"/>
      <c r="B148" s="336" t="s">
        <v>264</v>
      </c>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272" t="s">
        <v>170</v>
      </c>
      <c r="C149" s="272"/>
      <c r="D149" s="272"/>
      <c r="E149" s="272"/>
      <c r="F149" s="272"/>
      <c r="G149" s="272"/>
      <c r="H149" s="272"/>
      <c r="I149" s="272"/>
      <c r="J149" s="272"/>
      <c r="K149" s="272"/>
      <c r="L149" s="272"/>
      <c r="M149" s="272"/>
      <c r="N149" s="272"/>
      <c r="O149" s="272"/>
      <c r="P149" s="272"/>
      <c r="Q149" s="272"/>
      <c r="R149" s="272"/>
      <c r="S149" s="272"/>
      <c r="T149" s="318">
        <v>10000</v>
      </c>
      <c r="U149" s="275"/>
      <c r="V149" s="5"/>
    </row>
    <row r="150" spans="1:23" ht="15.6" x14ac:dyDescent="0.3">
      <c r="A150" s="271"/>
      <c r="B150" s="272" t="s">
        <v>260</v>
      </c>
      <c r="C150" s="272"/>
      <c r="D150" s="272"/>
      <c r="E150" s="272"/>
      <c r="F150" s="272"/>
      <c r="G150" s="272"/>
      <c r="H150" s="272"/>
      <c r="I150" s="272"/>
      <c r="J150" s="272"/>
      <c r="K150" s="272"/>
      <c r="L150" s="272"/>
      <c r="M150" s="272"/>
      <c r="N150" s="272"/>
      <c r="O150" s="272"/>
      <c r="P150" s="272"/>
      <c r="Q150" s="272"/>
      <c r="R150" s="272"/>
      <c r="S150" s="272"/>
      <c r="T150" s="318">
        <v>1819</v>
      </c>
      <c r="U150" s="275"/>
      <c r="V150" s="5"/>
    </row>
    <row r="151" spans="1:23" ht="15.6" x14ac:dyDescent="0.3">
      <c r="A151" s="271"/>
      <c r="B151" s="272" t="s">
        <v>228</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300</v>
      </c>
      <c r="C152" s="272"/>
      <c r="D152" s="272"/>
      <c r="E152" s="272"/>
      <c r="F152" s="272"/>
      <c r="G152" s="272"/>
      <c r="H152" s="272"/>
      <c r="I152" s="272"/>
      <c r="J152" s="272"/>
      <c r="K152" s="272"/>
      <c r="L152" s="272"/>
      <c r="M152" s="272"/>
      <c r="N152" s="272"/>
      <c r="O152" s="272"/>
      <c r="P152" s="272"/>
      <c r="Q152" s="272"/>
      <c r="R152" s="272"/>
      <c r="S152" s="272"/>
      <c r="T152" s="318">
        <v>1819</v>
      </c>
      <c r="U152" s="275"/>
      <c r="V152" s="5"/>
    </row>
    <row r="153" spans="1:23" ht="15.6" x14ac:dyDescent="0.3">
      <c r="A153" s="271"/>
      <c r="B153" s="337"/>
      <c r="C153" s="337"/>
      <c r="D153" s="337"/>
      <c r="E153" s="337"/>
      <c r="F153" s="337"/>
      <c r="G153" s="337"/>
      <c r="H153" s="337"/>
      <c r="I153" s="337"/>
      <c r="J153" s="337"/>
      <c r="K153" s="337"/>
      <c r="L153" s="337"/>
      <c r="M153" s="337"/>
      <c r="N153" s="337"/>
      <c r="O153" s="337"/>
      <c r="P153" s="337"/>
      <c r="Q153" s="337"/>
      <c r="R153" s="337"/>
      <c r="S153" s="337"/>
      <c r="T153" s="339"/>
      <c r="U153" s="340"/>
      <c r="V153" s="5"/>
    </row>
    <row r="154" spans="1:23" ht="15.6" x14ac:dyDescent="0.3">
      <c r="A154" s="177"/>
      <c r="B154" s="314"/>
      <c r="C154" s="314"/>
      <c r="D154" s="314"/>
      <c r="E154" s="314"/>
      <c r="F154" s="314"/>
      <c r="G154" s="314"/>
      <c r="H154" s="314"/>
      <c r="I154" s="314"/>
      <c r="J154" s="314"/>
      <c r="K154" s="314"/>
      <c r="L154" s="314"/>
      <c r="M154" s="314"/>
      <c r="N154" s="314"/>
      <c r="O154" s="314"/>
      <c r="P154" s="314"/>
      <c r="Q154" s="314"/>
      <c r="R154" s="314"/>
      <c r="S154" s="314"/>
      <c r="T154" s="342"/>
      <c r="U154" s="314"/>
      <c r="V154" s="5"/>
    </row>
    <row r="155" spans="1:23" ht="15.6" x14ac:dyDescent="0.3">
      <c r="A155" s="177"/>
      <c r="B155" s="204" t="s">
        <v>25</v>
      </c>
      <c r="C155" s="179"/>
      <c r="D155" s="179"/>
      <c r="E155" s="179"/>
      <c r="F155" s="179"/>
      <c r="G155" s="179"/>
      <c r="H155" s="179"/>
      <c r="I155" s="179"/>
      <c r="J155" s="179"/>
      <c r="K155" s="179"/>
      <c r="L155" s="179"/>
      <c r="M155" s="179"/>
      <c r="N155" s="179"/>
      <c r="O155" s="179"/>
      <c r="P155" s="179"/>
      <c r="Q155" s="179"/>
      <c r="R155" s="179"/>
      <c r="S155" s="179"/>
      <c r="T155" s="197"/>
      <c r="U155" s="179"/>
      <c r="V155" s="5"/>
    </row>
    <row r="156" spans="1:23" ht="15.6" x14ac:dyDescent="0.3">
      <c r="A156" s="271"/>
      <c r="B156" s="272" t="s">
        <v>51</v>
      </c>
      <c r="C156" s="272"/>
      <c r="D156" s="272"/>
      <c r="E156" s="272"/>
      <c r="F156" s="272"/>
      <c r="G156" s="272"/>
      <c r="H156" s="272"/>
      <c r="I156" s="272"/>
      <c r="J156" s="272"/>
      <c r="K156" s="272"/>
      <c r="L156" s="272"/>
      <c r="M156" s="272"/>
      <c r="N156" s="272"/>
      <c r="O156" s="272"/>
      <c r="P156" s="272"/>
      <c r="Q156" s="272"/>
      <c r="R156" s="272"/>
      <c r="S156" s="272"/>
      <c r="T156" s="343" t="s">
        <v>127</v>
      </c>
      <c r="U156" s="340"/>
      <c r="V156" s="5"/>
    </row>
    <row r="157" spans="1:23" ht="15.6" x14ac:dyDescent="0.3">
      <c r="A157" s="271"/>
      <c r="B157" s="272" t="s">
        <v>52</v>
      </c>
      <c r="C157" s="274"/>
      <c r="D157" s="274"/>
      <c r="E157" s="274"/>
      <c r="F157" s="274"/>
      <c r="G157" s="274"/>
      <c r="H157" s="274"/>
      <c r="I157" s="274"/>
      <c r="J157" s="274"/>
      <c r="K157" s="274"/>
      <c r="L157" s="274"/>
      <c r="M157" s="274"/>
      <c r="N157" s="274"/>
      <c r="O157" s="274"/>
      <c r="P157" s="274"/>
      <c r="Q157" s="274"/>
      <c r="R157" s="274"/>
      <c r="S157" s="274"/>
      <c r="T157" s="343" t="s">
        <v>127</v>
      </c>
      <c r="U157" s="340"/>
      <c r="V157" s="5"/>
    </row>
    <row r="158" spans="1:23" ht="15.6" x14ac:dyDescent="0.3">
      <c r="A158" s="271"/>
      <c r="B158" s="272" t="s">
        <v>53</v>
      </c>
      <c r="C158" s="272"/>
      <c r="D158" s="272"/>
      <c r="E158" s="272"/>
      <c r="F158" s="272"/>
      <c r="G158" s="272"/>
      <c r="H158" s="272"/>
      <c r="I158" s="272"/>
      <c r="J158" s="272"/>
      <c r="K158" s="272"/>
      <c r="L158" s="272"/>
      <c r="M158" s="272"/>
      <c r="N158" s="272"/>
      <c r="O158" s="272"/>
      <c r="P158" s="272"/>
      <c r="Q158" s="272"/>
      <c r="R158" s="272"/>
      <c r="S158" s="272"/>
      <c r="T158" s="343" t="s">
        <v>127</v>
      </c>
      <c r="U158" s="340"/>
      <c r="V158" s="5"/>
    </row>
    <row r="159" spans="1:23" ht="15.6" x14ac:dyDescent="0.3">
      <c r="A159" s="271"/>
      <c r="B159" s="272" t="s">
        <v>54</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177"/>
      <c r="B160" s="314"/>
      <c r="C160" s="314"/>
      <c r="D160" s="314"/>
      <c r="E160" s="314"/>
      <c r="F160" s="314"/>
      <c r="G160" s="314"/>
      <c r="H160" s="314"/>
      <c r="I160" s="314"/>
      <c r="J160" s="314"/>
      <c r="K160" s="314"/>
      <c r="L160" s="314"/>
      <c r="M160" s="314"/>
      <c r="N160" s="314"/>
      <c r="O160" s="314"/>
      <c r="P160" s="314"/>
      <c r="Q160" s="314"/>
      <c r="R160" s="314"/>
      <c r="S160" s="314"/>
      <c r="T160" s="342"/>
      <c r="U160" s="314"/>
      <c r="V160" s="5"/>
    </row>
    <row r="161" spans="1:22" ht="15.6" x14ac:dyDescent="0.3">
      <c r="A161" s="177"/>
      <c r="B161" s="204" t="s">
        <v>55</v>
      </c>
      <c r="C161" s="179"/>
      <c r="D161" s="179"/>
      <c r="E161" s="179"/>
      <c r="F161" s="179"/>
      <c r="G161" s="179"/>
      <c r="H161" s="179"/>
      <c r="I161" s="179"/>
      <c r="J161" s="179"/>
      <c r="K161" s="179"/>
      <c r="L161" s="179"/>
      <c r="M161" s="179"/>
      <c r="N161" s="179"/>
      <c r="O161" s="179"/>
      <c r="P161" s="179"/>
      <c r="Q161" s="179"/>
      <c r="R161" s="179"/>
      <c r="S161" s="179"/>
      <c r="T161" s="205"/>
      <c r="U161" s="179"/>
      <c r="V161" s="5"/>
    </row>
    <row r="162" spans="1:22" ht="15.6" x14ac:dyDescent="0.3">
      <c r="A162" s="271"/>
      <c r="B162" s="272" t="s">
        <v>56</v>
      </c>
      <c r="C162" s="272"/>
      <c r="D162" s="272"/>
      <c r="E162" s="272"/>
      <c r="F162" s="272"/>
      <c r="G162" s="272"/>
      <c r="H162" s="272"/>
      <c r="I162" s="272"/>
      <c r="J162" s="272"/>
      <c r="K162" s="272"/>
      <c r="L162" s="272"/>
      <c r="M162" s="272"/>
      <c r="N162" s="272"/>
      <c r="O162" s="272"/>
      <c r="P162" s="272"/>
      <c r="Q162" s="272"/>
      <c r="R162" s="272"/>
      <c r="S162" s="272"/>
      <c r="T162" s="318">
        <v>0</v>
      </c>
      <c r="U162" s="340"/>
      <c r="V162" s="5"/>
    </row>
    <row r="163" spans="1:22" ht="15.6" x14ac:dyDescent="0.3">
      <c r="A163" s="271"/>
      <c r="B163" s="272" t="s">
        <v>57</v>
      </c>
      <c r="C163" s="272"/>
      <c r="D163" s="272"/>
      <c r="E163" s="272"/>
      <c r="F163" s="272"/>
      <c r="G163" s="272"/>
      <c r="H163" s="272"/>
      <c r="I163" s="272"/>
      <c r="J163" s="272"/>
      <c r="K163" s="272"/>
      <c r="L163" s="272"/>
      <c r="M163" s="272"/>
      <c r="N163" s="272"/>
      <c r="O163" s="272"/>
      <c r="P163" s="272"/>
      <c r="Q163" s="272"/>
      <c r="R163" s="272"/>
      <c r="S163" s="272"/>
      <c r="T163" s="318">
        <f>-T112</f>
        <v>439</v>
      </c>
      <c r="U163" s="340"/>
      <c r="V163" s="5"/>
    </row>
    <row r="164" spans="1:22" ht="15.6" x14ac:dyDescent="0.3">
      <c r="A164" s="271"/>
      <c r="B164" s="272" t="s">
        <v>58</v>
      </c>
      <c r="C164" s="272"/>
      <c r="D164" s="272"/>
      <c r="E164" s="272"/>
      <c r="F164" s="272"/>
      <c r="G164" s="272"/>
      <c r="H164" s="272"/>
      <c r="I164" s="272"/>
      <c r="J164" s="272"/>
      <c r="K164" s="272"/>
      <c r="L164" s="272"/>
      <c r="M164" s="272"/>
      <c r="N164" s="272"/>
      <c r="O164" s="272"/>
      <c r="P164" s="272"/>
      <c r="Q164" s="272"/>
      <c r="R164" s="272"/>
      <c r="S164" s="272"/>
      <c r="T164" s="318">
        <f>T163+T162</f>
        <v>439</v>
      </c>
      <c r="U164" s="340"/>
      <c r="V164" s="5"/>
    </row>
    <row r="165" spans="1:22" ht="15.6" x14ac:dyDescent="0.3">
      <c r="A165" s="271"/>
      <c r="B165" s="400" t="s">
        <v>309</v>
      </c>
      <c r="C165" s="272"/>
      <c r="D165" s="272"/>
      <c r="E165" s="272"/>
      <c r="F165" s="272"/>
      <c r="G165" s="272"/>
      <c r="H165" s="272"/>
      <c r="I165" s="272"/>
      <c r="J165" s="272"/>
      <c r="K165" s="272"/>
      <c r="L165" s="272"/>
      <c r="M165" s="272"/>
      <c r="N165" s="272"/>
      <c r="O165" s="272"/>
      <c r="P165" s="272"/>
      <c r="Q165" s="272"/>
      <c r="R165" s="272"/>
      <c r="S165" s="272"/>
      <c r="T165" s="318">
        <f>T112</f>
        <v>-439</v>
      </c>
      <c r="U165" s="340"/>
      <c r="V165" s="5"/>
    </row>
    <row r="166" spans="1:22" ht="15.6" x14ac:dyDescent="0.3">
      <c r="A166" s="271"/>
      <c r="B166" s="272" t="s">
        <v>59</v>
      </c>
      <c r="C166" s="272"/>
      <c r="D166" s="272"/>
      <c r="E166" s="272"/>
      <c r="F166" s="272"/>
      <c r="G166" s="272"/>
      <c r="H166" s="272"/>
      <c r="I166" s="272"/>
      <c r="J166" s="272"/>
      <c r="K166" s="272"/>
      <c r="L166" s="272"/>
      <c r="M166" s="272"/>
      <c r="N166" s="272"/>
      <c r="O166" s="272"/>
      <c r="P166" s="272"/>
      <c r="Q166" s="272"/>
      <c r="R166" s="272"/>
      <c r="S166" s="272"/>
      <c r="T166" s="318">
        <f>T164+T165</f>
        <v>0</v>
      </c>
      <c r="U166" s="340"/>
      <c r="V166" s="5"/>
    </row>
    <row r="167" spans="1:22" ht="15.6" x14ac:dyDescent="0.3">
      <c r="A167" s="271"/>
      <c r="B167" s="272" t="s">
        <v>278</v>
      </c>
      <c r="C167" s="272"/>
      <c r="D167" s="272"/>
      <c r="E167" s="272"/>
      <c r="F167" s="272"/>
      <c r="G167" s="272"/>
      <c r="H167" s="272"/>
      <c r="I167" s="272"/>
      <c r="J167" s="272"/>
      <c r="K167" s="272"/>
      <c r="L167" s="272"/>
      <c r="M167" s="272"/>
      <c r="N167" s="272"/>
      <c r="O167" s="272"/>
      <c r="P167" s="272"/>
      <c r="Q167" s="272"/>
      <c r="R167" s="272"/>
      <c r="S167" s="272"/>
      <c r="T167" s="318">
        <v>0</v>
      </c>
      <c r="U167" s="340"/>
      <c r="V167" s="5"/>
    </row>
    <row r="168" spans="1:22" ht="16.2" thickBot="1" x14ac:dyDescent="0.35">
      <c r="A168" s="177"/>
      <c r="B168" s="268"/>
      <c r="C168" s="268"/>
      <c r="D168" s="268"/>
      <c r="E168" s="268"/>
      <c r="F168" s="268"/>
      <c r="G168" s="268"/>
      <c r="H168" s="268"/>
      <c r="I168" s="268"/>
      <c r="J168" s="268"/>
      <c r="K168" s="268"/>
      <c r="L168" s="268"/>
      <c r="M168" s="268"/>
      <c r="N168" s="268"/>
      <c r="O168" s="268"/>
      <c r="P168" s="268"/>
      <c r="Q168" s="268"/>
      <c r="R168" s="268"/>
      <c r="S168" s="268"/>
      <c r="T168" s="344"/>
      <c r="U168" s="314"/>
      <c r="V168" s="5"/>
    </row>
    <row r="169" spans="1:22" ht="15.6" x14ac:dyDescent="0.3">
      <c r="A169" s="175"/>
      <c r="B169" s="176"/>
      <c r="C169" s="176"/>
      <c r="D169" s="176"/>
      <c r="E169" s="176"/>
      <c r="F169" s="176"/>
      <c r="G169" s="176"/>
      <c r="H169" s="176"/>
      <c r="I169" s="176"/>
      <c r="J169" s="176"/>
      <c r="K169" s="176"/>
      <c r="L169" s="176"/>
      <c r="M169" s="176"/>
      <c r="N169" s="176"/>
      <c r="O169" s="176"/>
      <c r="P169" s="176"/>
      <c r="Q169" s="176"/>
      <c r="R169" s="176"/>
      <c r="S169" s="176"/>
      <c r="T169" s="196"/>
      <c r="U169" s="176"/>
      <c r="V169" s="5"/>
    </row>
    <row r="170" spans="1:22" ht="15.6" x14ac:dyDescent="0.3">
      <c r="A170" s="177"/>
      <c r="B170" s="204" t="s">
        <v>60</v>
      </c>
      <c r="C170" s="179"/>
      <c r="D170" s="179"/>
      <c r="E170" s="179"/>
      <c r="F170" s="179"/>
      <c r="G170" s="179"/>
      <c r="H170" s="179"/>
      <c r="I170" s="179"/>
      <c r="J170" s="179"/>
      <c r="K170" s="179"/>
      <c r="L170" s="179"/>
      <c r="M170" s="179"/>
      <c r="N170" s="179"/>
      <c r="O170" s="179"/>
      <c r="P170" s="179"/>
      <c r="Q170" s="179"/>
      <c r="R170" s="179"/>
      <c r="S170" s="179"/>
      <c r="T170" s="197"/>
      <c r="U170" s="179"/>
      <c r="V170" s="5"/>
    </row>
    <row r="171" spans="1:22" ht="15.6" x14ac:dyDescent="0.3">
      <c r="A171" s="177"/>
      <c r="B171" s="191"/>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271"/>
      <c r="B172" s="272" t="s">
        <v>61</v>
      </c>
      <c r="C172" s="272"/>
      <c r="D172" s="272"/>
      <c r="E172" s="272"/>
      <c r="F172" s="272"/>
      <c r="G172" s="272"/>
      <c r="H172" s="272"/>
      <c r="I172" s="272"/>
      <c r="J172" s="272"/>
      <c r="K172" s="272"/>
      <c r="L172" s="272"/>
      <c r="M172" s="272"/>
      <c r="N172" s="272"/>
      <c r="O172" s="272"/>
      <c r="P172" s="272"/>
      <c r="Q172" s="272"/>
      <c r="R172" s="272"/>
      <c r="S172" s="272"/>
      <c r="T172" s="318">
        <f>T68</f>
        <v>305090</v>
      </c>
      <c r="U172" s="340"/>
      <c r="V172" s="5"/>
    </row>
    <row r="173" spans="1:22" ht="15.6" x14ac:dyDescent="0.3">
      <c r="A173" s="271"/>
      <c r="B173" s="272" t="s">
        <v>62</v>
      </c>
      <c r="C173" s="272"/>
      <c r="D173" s="272"/>
      <c r="E173" s="272"/>
      <c r="F173" s="272"/>
      <c r="G173" s="272"/>
      <c r="H173" s="272"/>
      <c r="I173" s="272"/>
      <c r="J173" s="272"/>
      <c r="K173" s="272"/>
      <c r="L173" s="272"/>
      <c r="M173" s="272"/>
      <c r="N173" s="272"/>
      <c r="O173" s="272"/>
      <c r="P173" s="272"/>
      <c r="Q173" s="272"/>
      <c r="R173" s="272"/>
      <c r="S173" s="272"/>
      <c r="T173" s="318">
        <f>T81</f>
        <v>305090</v>
      </c>
      <c r="U173" s="340"/>
      <c r="V173" s="5"/>
    </row>
    <row r="174" spans="1:22" ht="16.2" thickBot="1" x14ac:dyDescent="0.35">
      <c r="A174" s="177"/>
      <c r="B174" s="314"/>
      <c r="C174" s="314"/>
      <c r="D174" s="314"/>
      <c r="E174" s="314"/>
      <c r="F174" s="314"/>
      <c r="G174" s="314"/>
      <c r="H174" s="314"/>
      <c r="I174" s="314"/>
      <c r="J174" s="314"/>
      <c r="K174" s="314"/>
      <c r="L174" s="314"/>
      <c r="M174" s="314"/>
      <c r="N174" s="314"/>
      <c r="O174" s="314"/>
      <c r="P174" s="314"/>
      <c r="Q174" s="314"/>
      <c r="R174" s="314"/>
      <c r="S174" s="314"/>
      <c r="T174" s="342"/>
      <c r="U174" s="314"/>
      <c r="V174" s="5"/>
    </row>
    <row r="175" spans="1:22" ht="15.6" x14ac:dyDescent="0.3">
      <c r="A175" s="175"/>
      <c r="B175" s="176"/>
      <c r="C175" s="176"/>
      <c r="D175" s="176"/>
      <c r="E175" s="176"/>
      <c r="F175" s="176"/>
      <c r="G175" s="176"/>
      <c r="H175" s="176"/>
      <c r="I175" s="176"/>
      <c r="J175" s="176"/>
      <c r="K175" s="176"/>
      <c r="L175" s="176"/>
      <c r="M175" s="176"/>
      <c r="N175" s="176"/>
      <c r="O175" s="176"/>
      <c r="P175" s="176"/>
      <c r="Q175" s="176"/>
      <c r="R175" s="176"/>
      <c r="S175" s="176"/>
      <c r="T175" s="196"/>
      <c r="U175" s="176"/>
      <c r="V175" s="5"/>
    </row>
    <row r="176" spans="1:22" ht="15.6" x14ac:dyDescent="0.3">
      <c r="A176" s="177"/>
      <c r="B176" s="204" t="s">
        <v>63</v>
      </c>
      <c r="C176" s="201"/>
      <c r="D176" s="201"/>
      <c r="E176" s="201"/>
      <c r="F176" s="201"/>
      <c r="G176" s="201"/>
      <c r="H176" s="206"/>
      <c r="I176" s="206"/>
      <c r="J176" s="206"/>
      <c r="K176" s="206"/>
      <c r="L176" s="206"/>
      <c r="M176" s="206"/>
      <c r="N176" s="206"/>
      <c r="O176" s="206"/>
      <c r="P176" s="206"/>
      <c r="Q176" s="206" t="s">
        <v>107</v>
      </c>
      <c r="R176" s="206" t="s">
        <v>234</v>
      </c>
      <c r="S176" s="181"/>
      <c r="T176" s="207" t="s">
        <v>123</v>
      </c>
      <c r="U176" s="208"/>
      <c r="V176" s="5"/>
    </row>
    <row r="177" spans="1:22" ht="15.6" x14ac:dyDescent="0.3">
      <c r="A177" s="271"/>
      <c r="B177" s="272" t="s">
        <v>64</v>
      </c>
      <c r="C177" s="272"/>
      <c r="D177" s="272"/>
      <c r="E177" s="272"/>
      <c r="F177" s="272"/>
      <c r="G177" s="272"/>
      <c r="H177" s="272"/>
      <c r="I177" s="272"/>
      <c r="J177" s="272"/>
      <c r="K177" s="272"/>
      <c r="L177" s="272"/>
      <c r="M177" s="272"/>
      <c r="N177" s="272"/>
      <c r="O177" s="272"/>
      <c r="P177" s="272"/>
      <c r="Q177" s="318">
        <v>112000</v>
      </c>
      <c r="R177" s="306"/>
      <c r="S177" s="272"/>
      <c r="T177" s="318"/>
      <c r="U177" s="275"/>
      <c r="V177" s="5"/>
    </row>
    <row r="178" spans="1:22" ht="15.6" x14ac:dyDescent="0.3">
      <c r="A178" s="271"/>
      <c r="B178" s="272" t="s">
        <v>65</v>
      </c>
      <c r="C178" s="272"/>
      <c r="D178" s="272"/>
      <c r="E178" s="272"/>
      <c r="F178" s="272"/>
      <c r="G178" s="272"/>
      <c r="H178" s="272"/>
      <c r="I178" s="272"/>
      <c r="J178" s="272"/>
      <c r="K178" s="272"/>
      <c r="L178" s="272"/>
      <c r="M178" s="272"/>
      <c r="N178" s="272"/>
      <c r="O178" s="272"/>
      <c r="P178" s="272"/>
      <c r="Q178" s="318">
        <f>+'July 12'!Q180</f>
        <v>46733</v>
      </c>
      <c r="R178" s="318">
        <f>+'July 12'!R180</f>
        <v>2435</v>
      </c>
      <c r="S178" s="272"/>
      <c r="T178" s="318">
        <f>Q178+R178</f>
        <v>49168</v>
      </c>
      <c r="U178" s="275"/>
      <c r="V178" s="5"/>
    </row>
    <row r="179" spans="1:22" ht="15.6" x14ac:dyDescent="0.3">
      <c r="A179" s="271"/>
      <c r="B179" s="272" t="s">
        <v>66</v>
      </c>
      <c r="C179" s="272"/>
      <c r="D179" s="272"/>
      <c r="E179" s="272"/>
      <c r="F179" s="272"/>
      <c r="G179" s="272"/>
      <c r="H179" s="272"/>
      <c r="I179" s="272"/>
      <c r="J179" s="272"/>
      <c r="K179" s="272"/>
      <c r="L179" s="272"/>
      <c r="M179" s="272"/>
      <c r="N179" s="272"/>
      <c r="O179" s="272"/>
      <c r="P179" s="272"/>
      <c r="Q179" s="317">
        <v>53</v>
      </c>
      <c r="R179" s="317">
        <v>0</v>
      </c>
      <c r="S179" s="272"/>
      <c r="T179" s="318">
        <f>Q179+R179</f>
        <v>53</v>
      </c>
      <c r="U179" s="275"/>
      <c r="V179" s="5"/>
    </row>
    <row r="180" spans="1:22" ht="15.6" x14ac:dyDescent="0.3">
      <c r="A180" s="271"/>
      <c r="B180" s="272" t="s">
        <v>67</v>
      </c>
      <c r="C180" s="272"/>
      <c r="D180" s="272"/>
      <c r="E180" s="272"/>
      <c r="F180" s="272"/>
      <c r="G180" s="272"/>
      <c r="H180" s="272"/>
      <c r="I180" s="272"/>
      <c r="J180" s="272"/>
      <c r="K180" s="272"/>
      <c r="L180" s="272"/>
      <c r="M180" s="272"/>
      <c r="N180" s="272"/>
      <c r="O180" s="272"/>
      <c r="P180" s="272"/>
      <c r="Q180" s="318">
        <f>Q178+Q179</f>
        <v>46786</v>
      </c>
      <c r="R180" s="318">
        <f>R179+R178</f>
        <v>2435</v>
      </c>
      <c r="S180" s="272"/>
      <c r="T180" s="318">
        <f>Q180+R180</f>
        <v>49221</v>
      </c>
      <c r="U180" s="275"/>
      <c r="V180" s="5"/>
    </row>
    <row r="181" spans="1:22" ht="15.6" x14ac:dyDescent="0.3">
      <c r="A181" s="271"/>
      <c r="B181" s="272" t="s">
        <v>68</v>
      </c>
      <c r="C181" s="272"/>
      <c r="D181" s="272"/>
      <c r="E181" s="272"/>
      <c r="F181" s="272"/>
      <c r="G181" s="272"/>
      <c r="H181" s="272"/>
      <c r="I181" s="272"/>
      <c r="J181" s="272"/>
      <c r="K181" s="272"/>
      <c r="L181" s="272"/>
      <c r="M181" s="272"/>
      <c r="N181" s="272"/>
      <c r="O181" s="272"/>
      <c r="P181" s="272"/>
      <c r="Q181" s="318">
        <f>Q177-Q180-R180</f>
        <v>62779</v>
      </c>
      <c r="R181" s="306"/>
      <c r="S181" s="272"/>
      <c r="T181" s="318"/>
      <c r="U181" s="275"/>
      <c r="V181" s="5"/>
    </row>
    <row r="182" spans="1:22" ht="16.2" thickBot="1" x14ac:dyDescent="0.35">
      <c r="A182" s="177"/>
      <c r="B182" s="314"/>
      <c r="C182" s="314"/>
      <c r="D182" s="314"/>
      <c r="E182" s="314"/>
      <c r="F182" s="314"/>
      <c r="G182" s="314"/>
      <c r="H182" s="314"/>
      <c r="I182" s="314"/>
      <c r="J182" s="314"/>
      <c r="K182" s="314"/>
      <c r="L182" s="314"/>
      <c r="M182" s="314"/>
      <c r="N182" s="314"/>
      <c r="O182" s="314"/>
      <c r="P182" s="314"/>
      <c r="Q182" s="314"/>
      <c r="R182" s="314"/>
      <c r="S182" s="314"/>
      <c r="T182" s="342"/>
      <c r="U182" s="314"/>
      <c r="V182" s="5"/>
    </row>
    <row r="183" spans="1:22" ht="15.6" x14ac:dyDescent="0.3">
      <c r="A183" s="175"/>
      <c r="B183" s="176"/>
      <c r="C183" s="176"/>
      <c r="D183" s="176"/>
      <c r="E183" s="176"/>
      <c r="F183" s="176"/>
      <c r="G183" s="176"/>
      <c r="H183" s="176"/>
      <c r="I183" s="176"/>
      <c r="J183" s="176"/>
      <c r="K183" s="176"/>
      <c r="L183" s="176"/>
      <c r="M183" s="176"/>
      <c r="N183" s="176"/>
      <c r="O183" s="176"/>
      <c r="P183" s="176"/>
      <c r="Q183" s="176"/>
      <c r="R183" s="176"/>
      <c r="S183" s="176"/>
      <c r="T183" s="196"/>
      <c r="U183" s="176"/>
      <c r="V183" s="5"/>
    </row>
    <row r="184" spans="1:22" ht="15.6" x14ac:dyDescent="0.3">
      <c r="A184" s="177"/>
      <c r="B184" s="204" t="s">
        <v>69</v>
      </c>
      <c r="C184" s="179"/>
      <c r="D184" s="179"/>
      <c r="E184" s="179"/>
      <c r="F184" s="179"/>
      <c r="G184" s="179"/>
      <c r="H184" s="179"/>
      <c r="I184" s="179"/>
      <c r="J184" s="179"/>
      <c r="K184" s="179"/>
      <c r="L184" s="179"/>
      <c r="M184" s="179"/>
      <c r="N184" s="179"/>
      <c r="O184" s="179"/>
      <c r="P184" s="179"/>
      <c r="Q184" s="179"/>
      <c r="R184" s="179"/>
      <c r="S184" s="179"/>
      <c r="T184" s="209"/>
      <c r="U184" s="179"/>
      <c r="V184" s="5"/>
    </row>
    <row r="185" spans="1:22" ht="15.6" x14ac:dyDescent="0.3">
      <c r="A185" s="271"/>
      <c r="B185" s="272" t="s">
        <v>70</v>
      </c>
      <c r="C185" s="272"/>
      <c r="D185" s="272"/>
      <c r="E185" s="272"/>
      <c r="F185" s="272"/>
      <c r="G185" s="272"/>
      <c r="H185" s="272"/>
      <c r="I185" s="272"/>
      <c r="J185" s="272"/>
      <c r="K185" s="272"/>
      <c r="L185" s="272"/>
      <c r="M185" s="272"/>
      <c r="N185" s="272"/>
      <c r="O185" s="272"/>
      <c r="P185" s="272"/>
      <c r="Q185" s="272"/>
      <c r="R185" s="272"/>
      <c r="S185" s="272"/>
      <c r="T185" s="343">
        <f>(T97+T99+T100+T101+T102+T103)/-(T104+T105+T106)</f>
        <v>3.2848392036753444</v>
      </c>
      <c r="U185" s="275" t="s">
        <v>124</v>
      </c>
      <c r="V185" s="5"/>
    </row>
    <row r="186" spans="1:22" ht="15.6" x14ac:dyDescent="0.3">
      <c r="A186" s="271"/>
      <c r="B186" s="272" t="s">
        <v>71</v>
      </c>
      <c r="C186" s="272"/>
      <c r="D186" s="272"/>
      <c r="E186" s="272"/>
      <c r="F186" s="272"/>
      <c r="G186" s="272"/>
      <c r="H186" s="272"/>
      <c r="I186" s="272"/>
      <c r="J186" s="272"/>
      <c r="K186" s="272"/>
      <c r="L186" s="272"/>
      <c r="M186" s="272"/>
      <c r="N186" s="272"/>
      <c r="O186" s="272"/>
      <c r="P186" s="272"/>
      <c r="Q186" s="272"/>
      <c r="R186" s="272"/>
      <c r="S186" s="272"/>
      <c r="T186" s="345">
        <v>1.56</v>
      </c>
      <c r="U186" s="275" t="s">
        <v>124</v>
      </c>
      <c r="V186" s="5"/>
    </row>
    <row r="187" spans="1:22" ht="15.6" x14ac:dyDescent="0.3">
      <c r="A187" s="271"/>
      <c r="B187" s="272" t="s">
        <v>72</v>
      </c>
      <c r="C187" s="272"/>
      <c r="D187" s="272"/>
      <c r="E187" s="272"/>
      <c r="F187" s="272"/>
      <c r="G187" s="272"/>
      <c r="H187" s="272"/>
      <c r="I187" s="272"/>
      <c r="J187" s="272"/>
      <c r="K187" s="272"/>
      <c r="L187" s="272"/>
      <c r="M187" s="272"/>
      <c r="N187" s="272"/>
      <c r="O187" s="272"/>
      <c r="P187" s="272"/>
      <c r="Q187" s="272"/>
      <c r="R187" s="272"/>
      <c r="S187" s="272"/>
      <c r="T187" s="343">
        <f>(T97+T99+T100+T101+T102+T103+T104+T105+T106)/-(T107+T108)</f>
        <v>18.649999999999999</v>
      </c>
      <c r="U187" s="275" t="s">
        <v>124</v>
      </c>
      <c r="V187" s="5"/>
    </row>
    <row r="188" spans="1:22" ht="15.6" x14ac:dyDescent="0.3">
      <c r="A188" s="271"/>
      <c r="B188" s="272" t="s">
        <v>73</v>
      </c>
      <c r="C188" s="272"/>
      <c r="D188" s="272"/>
      <c r="E188" s="272"/>
      <c r="F188" s="272"/>
      <c r="G188" s="272"/>
      <c r="H188" s="272"/>
      <c r="I188" s="272"/>
      <c r="J188" s="272"/>
      <c r="K188" s="272"/>
      <c r="L188" s="272"/>
      <c r="M188" s="272"/>
      <c r="N188" s="272"/>
      <c r="O188" s="272"/>
      <c r="P188" s="272"/>
      <c r="Q188" s="272"/>
      <c r="R188" s="272"/>
      <c r="S188" s="272"/>
      <c r="T188" s="346">
        <v>8.3000000000000007</v>
      </c>
      <c r="U188" s="275" t="s">
        <v>124</v>
      </c>
      <c r="V188" s="5"/>
    </row>
    <row r="189" spans="1:22" ht="15.6" x14ac:dyDescent="0.3">
      <c r="A189" s="271"/>
      <c r="B189" s="272" t="s">
        <v>243</v>
      </c>
      <c r="C189" s="272"/>
      <c r="D189" s="272"/>
      <c r="E189" s="272"/>
      <c r="F189" s="272"/>
      <c r="G189" s="272"/>
      <c r="H189" s="272"/>
      <c r="I189" s="272"/>
      <c r="J189" s="272"/>
      <c r="K189" s="272"/>
      <c r="L189" s="272"/>
      <c r="M189" s="272"/>
      <c r="N189" s="272"/>
      <c r="O189" s="272"/>
      <c r="P189" s="272"/>
      <c r="Q189" s="272"/>
      <c r="R189" s="272"/>
      <c r="S189" s="272"/>
      <c r="T189" s="343">
        <f>(T97+T99+T100+T101+T102+T103+T104+T105+T106+T107+T108)/-(T109+T110)</f>
        <v>7.2410256410256411</v>
      </c>
      <c r="U189" s="275" t="s">
        <v>124</v>
      </c>
      <c r="V189" s="5"/>
    </row>
    <row r="190" spans="1:22" ht="15.6" x14ac:dyDescent="0.3">
      <c r="A190" s="271"/>
      <c r="B190" s="272" t="s">
        <v>244</v>
      </c>
      <c r="C190" s="272"/>
      <c r="D190" s="272"/>
      <c r="E190" s="272"/>
      <c r="F190" s="272"/>
      <c r="G190" s="272"/>
      <c r="H190" s="272"/>
      <c r="I190" s="272"/>
      <c r="J190" s="272"/>
      <c r="K190" s="272"/>
      <c r="L190" s="272"/>
      <c r="M190" s="272"/>
      <c r="N190" s="272"/>
      <c r="O190" s="272"/>
      <c r="P190" s="272"/>
      <c r="Q190" s="272"/>
      <c r="R190" s="272"/>
      <c r="S190" s="272"/>
      <c r="T190" s="346">
        <v>3.77</v>
      </c>
      <c r="U190" s="275" t="s">
        <v>124</v>
      </c>
      <c r="V190" s="5"/>
    </row>
    <row r="191" spans="1:22" ht="15.6" x14ac:dyDescent="0.3">
      <c r="A191" s="271"/>
      <c r="B191" s="272"/>
      <c r="C191" s="272"/>
      <c r="D191" s="272"/>
      <c r="E191" s="272"/>
      <c r="F191" s="272"/>
      <c r="G191" s="272"/>
      <c r="H191" s="272"/>
      <c r="I191" s="272"/>
      <c r="J191" s="272"/>
      <c r="K191" s="272"/>
      <c r="L191" s="272"/>
      <c r="M191" s="272"/>
      <c r="N191" s="272"/>
      <c r="O191" s="272"/>
      <c r="P191" s="272"/>
      <c r="Q191" s="272"/>
      <c r="R191" s="272"/>
      <c r="S191" s="272"/>
      <c r="T191" s="272"/>
      <c r="U191" s="275"/>
      <c r="V191" s="5"/>
    </row>
    <row r="192" spans="1:22" ht="15.6" x14ac:dyDescent="0.3">
      <c r="A192" s="177"/>
      <c r="B192" s="268"/>
      <c r="C192" s="268"/>
      <c r="D192" s="268"/>
      <c r="E192" s="268"/>
      <c r="F192" s="268"/>
      <c r="G192" s="268"/>
      <c r="H192" s="268"/>
      <c r="I192" s="268"/>
      <c r="J192" s="268"/>
      <c r="K192" s="268"/>
      <c r="L192" s="268"/>
      <c r="M192" s="268"/>
      <c r="N192" s="268"/>
      <c r="O192" s="268"/>
      <c r="P192" s="268"/>
      <c r="Q192" s="268"/>
      <c r="R192" s="268"/>
      <c r="S192" s="268"/>
      <c r="T192" s="268"/>
      <c r="U192" s="268"/>
      <c r="V192" s="5"/>
    </row>
    <row r="193" spans="1:22" ht="15.6" x14ac:dyDescent="0.3">
      <c r="A193" s="177"/>
      <c r="B193" s="234"/>
      <c r="C193" s="234"/>
      <c r="D193" s="234"/>
      <c r="E193" s="234"/>
      <c r="F193" s="234"/>
      <c r="G193" s="234"/>
      <c r="H193" s="234"/>
      <c r="I193" s="234"/>
      <c r="J193" s="234"/>
      <c r="K193" s="234"/>
      <c r="L193" s="234"/>
      <c r="M193" s="234"/>
      <c r="N193" s="234"/>
      <c r="O193" s="234"/>
      <c r="P193" s="234"/>
      <c r="Q193" s="234"/>
      <c r="R193" s="234"/>
      <c r="S193" s="234"/>
      <c r="T193" s="234"/>
      <c r="U193" s="234"/>
      <c r="V193" s="5"/>
    </row>
    <row r="194" spans="1:22" ht="18" thickBot="1" x14ac:dyDescent="0.35">
      <c r="A194" s="195"/>
      <c r="B194" s="238" t="str">
        <f>B133</f>
        <v>PM9 INVESTOR REPORT QUARTER ENDING OCTOBER 2012</v>
      </c>
      <c r="C194" s="245"/>
      <c r="D194" s="245"/>
      <c r="E194" s="245"/>
      <c r="F194" s="245"/>
      <c r="G194" s="245"/>
      <c r="H194" s="245"/>
      <c r="I194" s="245"/>
      <c r="J194" s="245"/>
      <c r="K194" s="245"/>
      <c r="L194" s="245"/>
      <c r="M194" s="245"/>
      <c r="N194" s="245"/>
      <c r="O194" s="245"/>
      <c r="P194" s="245"/>
      <c r="Q194" s="245"/>
      <c r="R194" s="245"/>
      <c r="S194" s="245"/>
      <c r="T194" s="245"/>
      <c r="U194" s="246"/>
      <c r="V194" s="5"/>
    </row>
    <row r="195" spans="1:22" ht="15.6" x14ac:dyDescent="0.3">
      <c r="A195" s="321"/>
      <c r="B195" s="324" t="s">
        <v>74</v>
      </c>
      <c r="C195" s="325"/>
      <c r="D195" s="325"/>
      <c r="E195" s="325"/>
      <c r="F195" s="325"/>
      <c r="G195" s="326"/>
      <c r="H195" s="326"/>
      <c r="I195" s="326"/>
      <c r="J195" s="326"/>
      <c r="K195" s="326"/>
      <c r="L195" s="326"/>
      <c r="M195" s="326"/>
      <c r="N195" s="326"/>
      <c r="O195" s="326"/>
      <c r="P195" s="326"/>
      <c r="Q195" s="326"/>
      <c r="R195" s="326">
        <v>41213</v>
      </c>
      <c r="S195" s="322"/>
      <c r="T195" s="322"/>
      <c r="U195" s="322"/>
      <c r="V195" s="5"/>
    </row>
    <row r="196" spans="1:22" ht="15.6" x14ac:dyDescent="0.3">
      <c r="A196" s="210"/>
      <c r="B196" s="211"/>
      <c r="C196" s="212"/>
      <c r="D196" s="212"/>
      <c r="E196" s="212"/>
      <c r="F196" s="212"/>
      <c r="G196" s="213"/>
      <c r="H196" s="213"/>
      <c r="I196" s="213"/>
      <c r="J196" s="213"/>
      <c r="K196" s="213"/>
      <c r="L196" s="213"/>
      <c r="M196" s="213"/>
      <c r="N196" s="213"/>
      <c r="O196" s="213"/>
      <c r="P196" s="213"/>
      <c r="Q196" s="213"/>
      <c r="R196" s="213"/>
      <c r="S196" s="179"/>
      <c r="T196" s="179"/>
      <c r="U196" s="179"/>
      <c r="V196" s="5"/>
    </row>
    <row r="197" spans="1:22" ht="15.6" x14ac:dyDescent="0.3">
      <c r="A197" s="348"/>
      <c r="B197" s="272" t="s">
        <v>75</v>
      </c>
      <c r="C197" s="349"/>
      <c r="D197" s="349"/>
      <c r="E197" s="349"/>
      <c r="F197" s="349"/>
      <c r="G197" s="309"/>
      <c r="H197" s="309"/>
      <c r="I197" s="309"/>
      <c r="J197" s="309"/>
      <c r="K197" s="309"/>
      <c r="L197" s="309"/>
      <c r="M197" s="309"/>
      <c r="N197" s="309"/>
      <c r="O197" s="309"/>
      <c r="P197" s="309"/>
      <c r="Q197" s="309"/>
      <c r="R197" s="304">
        <v>5.8209999999999998E-2</v>
      </c>
      <c r="S197" s="272"/>
      <c r="T197" s="272"/>
      <c r="U197" s="340"/>
      <c r="V197" s="5"/>
    </row>
    <row r="198" spans="1:22" ht="15.6" x14ac:dyDescent="0.3">
      <c r="A198" s="348"/>
      <c r="B198" s="272" t="s">
        <v>164</v>
      </c>
      <c r="C198" s="349"/>
      <c r="D198" s="349"/>
      <c r="E198" s="349"/>
      <c r="F198" s="349"/>
      <c r="G198" s="309"/>
      <c r="H198" s="309"/>
      <c r="I198" s="309"/>
      <c r="J198" s="309"/>
      <c r="K198" s="309"/>
      <c r="L198" s="309"/>
      <c r="M198" s="309"/>
      <c r="N198" s="309"/>
      <c r="O198" s="309"/>
      <c r="P198" s="309"/>
      <c r="Q198" s="309"/>
      <c r="R198" s="304">
        <f>'Oct 05'!R193</f>
        <v>4.8438496428571419E-2</v>
      </c>
      <c r="S198" s="272"/>
      <c r="T198" s="272"/>
      <c r="U198" s="340"/>
      <c r="V198" s="5"/>
    </row>
    <row r="199" spans="1:22" ht="15.6" x14ac:dyDescent="0.3">
      <c r="A199" s="348"/>
      <c r="B199" s="272" t="s">
        <v>76</v>
      </c>
      <c r="C199" s="349"/>
      <c r="D199" s="349"/>
      <c r="E199" s="349"/>
      <c r="F199" s="349"/>
      <c r="G199" s="309"/>
      <c r="H199" s="309"/>
      <c r="I199" s="309"/>
      <c r="J199" s="309"/>
      <c r="K199" s="309"/>
      <c r="L199" s="309"/>
      <c r="M199" s="309"/>
      <c r="N199" s="309"/>
      <c r="O199" s="309"/>
      <c r="P199" s="309"/>
      <c r="Q199" s="309"/>
      <c r="R199" s="304">
        <f>R197-R198</f>
        <v>9.7715035714285789E-3</v>
      </c>
      <c r="S199" s="272"/>
      <c r="T199" s="272"/>
      <c r="U199" s="340"/>
      <c r="V199" s="5"/>
    </row>
    <row r="200" spans="1:22" ht="15.6" x14ac:dyDescent="0.3">
      <c r="A200" s="348"/>
      <c r="B200" s="272" t="s">
        <v>77</v>
      </c>
      <c r="C200" s="349"/>
      <c r="D200" s="349"/>
      <c r="E200" s="349"/>
      <c r="F200" s="349"/>
      <c r="G200" s="309"/>
      <c r="H200" s="309"/>
      <c r="I200" s="309"/>
      <c r="J200" s="309"/>
      <c r="K200" s="309"/>
      <c r="L200" s="309"/>
      <c r="M200" s="309"/>
      <c r="N200" s="309"/>
      <c r="O200" s="309"/>
      <c r="P200" s="309"/>
      <c r="Q200" s="309"/>
      <c r="R200" s="304">
        <v>2.376E-2</v>
      </c>
      <c r="S200" s="272"/>
      <c r="T200" s="272"/>
      <c r="U200" s="340"/>
      <c r="V200" s="5"/>
    </row>
    <row r="201" spans="1:22" ht="15.6" x14ac:dyDescent="0.3">
      <c r="A201" s="348"/>
      <c r="B201" s="272" t="s">
        <v>257</v>
      </c>
      <c r="C201" s="349"/>
      <c r="D201" s="349"/>
      <c r="E201" s="349"/>
      <c r="F201" s="349"/>
      <c r="G201" s="309"/>
      <c r="H201" s="309"/>
      <c r="I201" s="309"/>
      <c r="J201" s="309"/>
      <c r="K201" s="309"/>
      <c r="L201" s="309"/>
      <c r="M201" s="309"/>
      <c r="N201" s="309"/>
      <c r="O201" s="309"/>
      <c r="P201" s="309"/>
      <c r="Q201" s="309"/>
      <c r="R201" s="304">
        <f>+T41</f>
        <v>1.198289489173027E-2</v>
      </c>
      <c r="S201" s="272"/>
      <c r="T201" s="272"/>
      <c r="U201" s="340"/>
      <c r="V201" s="5"/>
    </row>
    <row r="202" spans="1:22" ht="15.6" x14ac:dyDescent="0.3">
      <c r="A202" s="348"/>
      <c r="B202" s="272" t="s">
        <v>78</v>
      </c>
      <c r="C202" s="349"/>
      <c r="D202" s="349"/>
      <c r="E202" s="349"/>
      <c r="F202" s="349"/>
      <c r="G202" s="309"/>
      <c r="H202" s="309"/>
      <c r="I202" s="309"/>
      <c r="J202" s="309"/>
      <c r="K202" s="309"/>
      <c r="L202" s="309"/>
      <c r="M202" s="309"/>
      <c r="N202" s="309"/>
      <c r="O202" s="309"/>
      <c r="P202" s="309"/>
      <c r="Q202" s="309"/>
      <c r="R202" s="304">
        <f>R200-R201</f>
        <v>1.177710510826973E-2</v>
      </c>
      <c r="S202" s="272"/>
      <c r="T202" s="272"/>
      <c r="U202" s="340"/>
      <c r="V202" s="5"/>
    </row>
    <row r="203" spans="1:22" ht="15.6" x14ac:dyDescent="0.3">
      <c r="A203" s="348"/>
      <c r="B203" s="272" t="s">
        <v>268</v>
      </c>
      <c r="C203" s="349"/>
      <c r="D203" s="349"/>
      <c r="E203" s="349"/>
      <c r="F203" s="349"/>
      <c r="G203" s="309"/>
      <c r="H203" s="309"/>
      <c r="I203" s="309"/>
      <c r="J203" s="309"/>
      <c r="K203" s="309"/>
      <c r="L203" s="309"/>
      <c r="M203" s="309"/>
      <c r="N203" s="309"/>
      <c r="O203" s="309"/>
      <c r="P203" s="309"/>
      <c r="Q203" s="309"/>
      <c r="R203" s="304">
        <f>+T97/L68</f>
        <v>7.7694667764196031E-3</v>
      </c>
      <c r="S203" s="272"/>
      <c r="T203" s="272"/>
      <c r="U203" s="340"/>
      <c r="V203" s="5"/>
    </row>
    <row r="204" spans="1:22" ht="15.6" x14ac:dyDescent="0.3">
      <c r="A204" s="348"/>
      <c r="B204" s="272" t="s">
        <v>249</v>
      </c>
      <c r="C204" s="349"/>
      <c r="D204" s="349"/>
      <c r="E204" s="349"/>
      <c r="F204" s="349"/>
      <c r="G204" s="309"/>
      <c r="H204" s="309"/>
      <c r="I204" s="309"/>
      <c r="J204" s="309"/>
      <c r="K204" s="309"/>
      <c r="L204" s="309"/>
      <c r="M204" s="309"/>
      <c r="N204" s="309"/>
      <c r="O204" s="309"/>
      <c r="P204" s="309"/>
      <c r="Q204" s="309"/>
      <c r="R204" s="350">
        <v>51622</v>
      </c>
      <c r="S204" s="272"/>
      <c r="T204" s="272"/>
      <c r="U204" s="340"/>
      <c r="V204" s="5"/>
    </row>
    <row r="205" spans="1:22" ht="15.6" x14ac:dyDescent="0.3">
      <c r="A205" s="348"/>
      <c r="B205" s="272" t="s">
        <v>250</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251</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79</v>
      </c>
      <c r="C207" s="349"/>
      <c r="D207" s="349"/>
      <c r="E207" s="349"/>
      <c r="F207" s="349"/>
      <c r="G207" s="309"/>
      <c r="H207" s="309"/>
      <c r="I207" s="309"/>
      <c r="J207" s="309"/>
      <c r="K207" s="309"/>
      <c r="L207" s="309"/>
      <c r="M207" s="309"/>
      <c r="N207" s="309"/>
      <c r="O207" s="309"/>
      <c r="P207" s="309"/>
      <c r="Q207" s="309"/>
      <c r="R207" s="308">
        <v>20.95</v>
      </c>
      <c r="S207" s="272" t="s">
        <v>119</v>
      </c>
      <c r="T207" s="272"/>
      <c r="U207" s="340"/>
      <c r="V207" s="5"/>
    </row>
    <row r="208" spans="1:22" ht="15.6" x14ac:dyDescent="0.3">
      <c r="A208" s="348"/>
      <c r="B208" s="272" t="s">
        <v>80</v>
      </c>
      <c r="C208" s="349"/>
      <c r="D208" s="349"/>
      <c r="E208" s="349"/>
      <c r="F208" s="349"/>
      <c r="G208" s="309"/>
      <c r="H208" s="309"/>
      <c r="I208" s="309"/>
      <c r="J208" s="309"/>
      <c r="K208" s="309"/>
      <c r="L208" s="309"/>
      <c r="M208" s="309"/>
      <c r="N208" s="309"/>
      <c r="O208" s="309"/>
      <c r="P208" s="309"/>
      <c r="Q208" s="309"/>
      <c r="R208" s="308">
        <v>14.07</v>
      </c>
      <c r="S208" s="272" t="s">
        <v>119</v>
      </c>
      <c r="T208" s="272"/>
      <c r="U208" s="340"/>
      <c r="V208" s="5"/>
    </row>
    <row r="209" spans="1:22" ht="15.6" x14ac:dyDescent="0.3">
      <c r="A209" s="348"/>
      <c r="B209" s="272" t="s">
        <v>81</v>
      </c>
      <c r="C209" s="349"/>
      <c r="D209" s="349"/>
      <c r="E209" s="349"/>
      <c r="F209" s="349"/>
      <c r="G209" s="309"/>
      <c r="H209" s="309"/>
      <c r="I209" s="309"/>
      <c r="J209" s="309"/>
      <c r="K209" s="309"/>
      <c r="L209" s="309"/>
      <c r="M209" s="309"/>
      <c r="N209" s="309"/>
      <c r="O209" s="309"/>
      <c r="P209" s="309"/>
      <c r="Q209" s="309"/>
      <c r="R209" s="304">
        <f>N65/L65</f>
        <v>7.5644934066899407E-3</v>
      </c>
      <c r="S209" s="272"/>
      <c r="T209" s="272"/>
      <c r="U209" s="340"/>
      <c r="V209" s="5"/>
    </row>
    <row r="210" spans="1:22" ht="15.6" x14ac:dyDescent="0.3">
      <c r="A210" s="348"/>
      <c r="B210" s="272" t="s">
        <v>82</v>
      </c>
      <c r="C210" s="349"/>
      <c r="D210" s="349"/>
      <c r="E210" s="349"/>
      <c r="F210" s="349"/>
      <c r="G210" s="309"/>
      <c r="H210" s="309"/>
      <c r="I210" s="309"/>
      <c r="J210" s="309"/>
      <c r="K210" s="309"/>
      <c r="L210" s="309"/>
      <c r="M210" s="309"/>
      <c r="N210" s="309"/>
      <c r="O210" s="309"/>
      <c r="P210" s="309"/>
      <c r="Q210" s="309"/>
      <c r="R210" s="304">
        <v>0.11899999999999999</v>
      </c>
      <c r="S210" s="272"/>
      <c r="T210" s="272"/>
      <c r="U210" s="340"/>
      <c r="V210" s="5"/>
    </row>
    <row r="211" spans="1:22" ht="15.6" x14ac:dyDescent="0.3">
      <c r="A211" s="210"/>
      <c r="B211" s="268"/>
      <c r="C211" s="268"/>
      <c r="D211" s="268"/>
      <c r="E211" s="268"/>
      <c r="F211" s="268"/>
      <c r="G211" s="268"/>
      <c r="H211" s="268"/>
      <c r="I211" s="268"/>
      <c r="J211" s="268"/>
      <c r="K211" s="268"/>
      <c r="L211" s="268"/>
      <c r="M211" s="268"/>
      <c r="N211" s="268"/>
      <c r="O211" s="268"/>
      <c r="P211" s="268"/>
      <c r="Q211" s="268"/>
      <c r="R211" s="344"/>
      <c r="S211" s="268"/>
      <c r="T211" s="347"/>
      <c r="U211" s="314"/>
      <c r="V211" s="5"/>
    </row>
    <row r="212" spans="1:22" ht="15.6" x14ac:dyDescent="0.3">
      <c r="A212" s="327"/>
      <c r="B212" s="259" t="s">
        <v>83</v>
      </c>
      <c r="C212" s="260"/>
      <c r="D212" s="260"/>
      <c r="E212" s="260"/>
      <c r="F212" s="261"/>
      <c r="G212" s="260"/>
      <c r="H212" s="260"/>
      <c r="I212" s="260"/>
      <c r="J212" s="260"/>
      <c r="K212" s="260"/>
      <c r="L212" s="260"/>
      <c r="M212" s="260"/>
      <c r="N212" s="260"/>
      <c r="O212" s="260"/>
      <c r="P212" s="260"/>
      <c r="Q212" s="260" t="s">
        <v>108</v>
      </c>
      <c r="R212" s="261" t="s">
        <v>115</v>
      </c>
      <c r="S212" s="262"/>
      <c r="T212" s="262"/>
      <c r="U212" s="262"/>
      <c r="V212" s="5"/>
    </row>
    <row r="213" spans="1:22" ht="15.6" x14ac:dyDescent="0.3">
      <c r="A213" s="214"/>
      <c r="B213" s="228" t="s">
        <v>84</v>
      </c>
      <c r="C213" s="231"/>
      <c r="D213" s="231"/>
      <c r="E213" s="231"/>
      <c r="F213" s="228"/>
      <c r="G213" s="228"/>
      <c r="H213" s="230"/>
      <c r="I213" s="230"/>
      <c r="J213" s="230"/>
      <c r="K213" s="230"/>
      <c r="L213" s="230"/>
      <c r="M213" s="230"/>
      <c r="N213" s="230"/>
      <c r="O213" s="230"/>
      <c r="P213" s="230"/>
      <c r="Q213" s="230">
        <v>2</v>
      </c>
      <c r="R213" s="248">
        <v>195</v>
      </c>
      <c r="S213" s="228"/>
      <c r="T213" s="247"/>
      <c r="U213" s="215"/>
      <c r="V213" s="5"/>
    </row>
    <row r="214" spans="1:22" ht="15.6" x14ac:dyDescent="0.3">
      <c r="A214" s="358"/>
      <c r="B214" s="272" t="s">
        <v>156</v>
      </c>
      <c r="C214" s="317"/>
      <c r="D214" s="317"/>
      <c r="E214" s="317"/>
      <c r="F214" s="272"/>
      <c r="G214" s="272"/>
      <c r="H214" s="279"/>
      <c r="I214" s="279"/>
      <c r="J214" s="279"/>
      <c r="K214" s="279"/>
      <c r="L214" s="279"/>
      <c r="M214" s="279"/>
      <c r="N214" s="279"/>
      <c r="O214" s="279"/>
      <c r="P214" s="279"/>
      <c r="Q214" s="359">
        <f>+P265</f>
        <v>63</v>
      </c>
      <c r="R214" s="360">
        <f>+R265</f>
        <v>9429</v>
      </c>
      <c r="S214" s="272"/>
      <c r="T214" s="361"/>
      <c r="U214" s="362"/>
      <c r="V214" s="5"/>
    </row>
    <row r="215" spans="1:22" ht="15.6" x14ac:dyDescent="0.3">
      <c r="A215" s="358"/>
      <c r="B215" s="272" t="s">
        <v>85</v>
      </c>
      <c r="C215" s="317"/>
      <c r="D215" s="317"/>
      <c r="E215" s="317"/>
      <c r="F215" s="272"/>
      <c r="G215" s="272"/>
      <c r="H215" s="279"/>
      <c r="I215" s="279"/>
      <c r="J215" s="279"/>
      <c r="K215" s="279"/>
      <c r="L215" s="279"/>
      <c r="M215" s="279"/>
      <c r="N215" s="279"/>
      <c r="O215" s="279"/>
      <c r="P215" s="279"/>
      <c r="Q215" s="359">
        <f>+P277</f>
        <v>0</v>
      </c>
      <c r="R215" s="360">
        <f>+R277</f>
        <v>0</v>
      </c>
      <c r="S215" s="272"/>
      <c r="T215" s="361"/>
      <c r="U215" s="362"/>
      <c r="V215" s="5"/>
    </row>
    <row r="216" spans="1:22" ht="15.6" x14ac:dyDescent="0.3">
      <c r="A216" s="358"/>
      <c r="B216" s="293" t="s">
        <v>86</v>
      </c>
      <c r="C216" s="363"/>
      <c r="D216" s="363"/>
      <c r="E216" s="363"/>
      <c r="F216" s="337"/>
      <c r="G216" s="337"/>
      <c r="H216" s="337"/>
      <c r="I216" s="337"/>
      <c r="J216" s="337"/>
      <c r="K216" s="337"/>
      <c r="L216" s="337"/>
      <c r="M216" s="337"/>
      <c r="N216" s="337"/>
      <c r="O216" s="337"/>
      <c r="P216" s="337"/>
      <c r="Q216" s="337"/>
      <c r="R216" s="360">
        <v>0</v>
      </c>
      <c r="S216" s="337"/>
      <c r="T216" s="364"/>
      <c r="U216" s="362"/>
      <c r="V216" s="5"/>
    </row>
    <row r="217" spans="1:22" ht="15.6" x14ac:dyDescent="0.3">
      <c r="A217" s="358"/>
      <c r="B217" s="293" t="s">
        <v>87</v>
      </c>
      <c r="C217" s="363"/>
      <c r="D217" s="363"/>
      <c r="E217" s="363"/>
      <c r="F217" s="337"/>
      <c r="G217" s="337"/>
      <c r="H217" s="337"/>
      <c r="I217" s="337"/>
      <c r="J217" s="337"/>
      <c r="K217" s="337"/>
      <c r="L217" s="337"/>
      <c r="M217" s="337"/>
      <c r="N217" s="337"/>
      <c r="O217" s="337"/>
      <c r="P217" s="337"/>
      <c r="Q217" s="337"/>
      <c r="R217" s="365" t="s">
        <v>116</v>
      </c>
      <c r="S217" s="337"/>
      <c r="T217" s="364"/>
      <c r="U217" s="362"/>
      <c r="V217" s="5"/>
    </row>
    <row r="218" spans="1:22" ht="15.6" x14ac:dyDescent="0.3">
      <c r="A218" s="366"/>
      <c r="B218" s="293" t="s">
        <v>88</v>
      </c>
      <c r="C218" s="367"/>
      <c r="D218" s="367"/>
      <c r="E218" s="367"/>
      <c r="F218" s="367"/>
      <c r="G218" s="337"/>
      <c r="H218" s="337"/>
      <c r="I218" s="337"/>
      <c r="J218" s="337"/>
      <c r="K218" s="337"/>
      <c r="L218" s="337"/>
      <c r="M218" s="337"/>
      <c r="N218" s="337"/>
      <c r="O218" s="337"/>
      <c r="P218" s="337"/>
      <c r="Q218" s="337"/>
      <c r="R218" s="368"/>
      <c r="S218" s="337"/>
      <c r="T218" s="364"/>
      <c r="U218" s="369"/>
      <c r="V218" s="5"/>
    </row>
    <row r="219" spans="1:22" ht="15.6" x14ac:dyDescent="0.3">
      <c r="A219" s="366"/>
      <c r="B219" s="272" t="s">
        <v>89</v>
      </c>
      <c r="C219" s="272"/>
      <c r="D219" s="272"/>
      <c r="E219" s="272"/>
      <c r="F219" s="272"/>
      <c r="G219" s="272"/>
      <c r="H219" s="272"/>
      <c r="I219" s="272"/>
      <c r="J219" s="272"/>
      <c r="K219" s="272"/>
      <c r="L219" s="272"/>
      <c r="M219" s="272"/>
      <c r="N219" s="272"/>
      <c r="O219" s="272"/>
      <c r="P219" s="272"/>
      <c r="Q219" s="279"/>
      <c r="R219" s="360">
        <f>T163</f>
        <v>439</v>
      </c>
      <c r="S219" s="272"/>
      <c r="T219" s="364"/>
      <c r="U219" s="369"/>
      <c r="V219" s="5"/>
    </row>
    <row r="220" spans="1:22" ht="15.6" x14ac:dyDescent="0.3">
      <c r="A220" s="358"/>
      <c r="B220" s="272" t="s">
        <v>90</v>
      </c>
      <c r="C220" s="317"/>
      <c r="D220" s="317"/>
      <c r="E220" s="317"/>
      <c r="F220" s="317"/>
      <c r="G220" s="272"/>
      <c r="H220" s="272"/>
      <c r="I220" s="272"/>
      <c r="J220" s="272"/>
      <c r="K220" s="272"/>
      <c r="L220" s="272"/>
      <c r="M220" s="272"/>
      <c r="N220" s="272"/>
      <c r="O220" s="272"/>
      <c r="P220" s="272"/>
      <c r="Q220" s="279"/>
      <c r="R220" s="360">
        <f>'July 12'!R220+'Oct 12'!R219</f>
        <v>2824</v>
      </c>
      <c r="S220" s="272"/>
      <c r="T220" s="364"/>
      <c r="U220" s="369"/>
      <c r="V220" s="5"/>
    </row>
    <row r="221" spans="1:22" ht="15.6" x14ac:dyDescent="0.3">
      <c r="A221" s="366"/>
      <c r="B221" s="293" t="s">
        <v>288</v>
      </c>
      <c r="C221" s="367"/>
      <c r="D221" s="367"/>
      <c r="E221" s="367"/>
      <c r="F221" s="367"/>
      <c r="G221" s="337"/>
      <c r="H221" s="337"/>
      <c r="I221" s="337"/>
      <c r="J221" s="337"/>
      <c r="K221" s="337"/>
      <c r="L221" s="337"/>
      <c r="M221" s="337"/>
      <c r="N221" s="337"/>
      <c r="O221" s="337"/>
      <c r="P221" s="337"/>
      <c r="Q221" s="374"/>
      <c r="R221" s="368"/>
      <c r="S221" s="337"/>
      <c r="T221" s="364"/>
      <c r="U221" s="369"/>
      <c r="V221" s="5"/>
    </row>
    <row r="222" spans="1:22" ht="15.6" x14ac:dyDescent="0.3">
      <c r="A222" s="375"/>
      <c r="B222" s="272" t="s">
        <v>286</v>
      </c>
      <c r="C222" s="272"/>
      <c r="D222" s="272"/>
      <c r="E222" s="272"/>
      <c r="F222" s="272"/>
      <c r="G222" s="272"/>
      <c r="H222" s="272"/>
      <c r="I222" s="272"/>
      <c r="J222" s="272"/>
      <c r="K222" s="272"/>
      <c r="L222" s="272"/>
      <c r="M222" s="272"/>
      <c r="N222" s="272"/>
      <c r="O222" s="272"/>
      <c r="P222" s="272"/>
      <c r="Q222" s="279">
        <v>0</v>
      </c>
      <c r="R222" s="360">
        <v>0</v>
      </c>
      <c r="S222" s="272"/>
      <c r="T222" s="361"/>
      <c r="U222" s="369"/>
      <c r="V222" s="5"/>
    </row>
    <row r="223" spans="1:22" ht="15.6" x14ac:dyDescent="0.3">
      <c r="A223" s="376"/>
      <c r="B223" s="272" t="s">
        <v>92</v>
      </c>
      <c r="C223" s="306"/>
      <c r="D223" s="306"/>
      <c r="E223" s="306"/>
      <c r="F223" s="377"/>
      <c r="G223" s="272"/>
      <c r="H223" s="272"/>
      <c r="I223" s="272"/>
      <c r="J223" s="272"/>
      <c r="K223" s="272"/>
      <c r="L223" s="272"/>
      <c r="M223" s="272"/>
      <c r="N223" s="272"/>
      <c r="O223" s="272"/>
      <c r="P223" s="272"/>
      <c r="Q223" s="279"/>
      <c r="R223" s="365">
        <v>0</v>
      </c>
      <c r="S223" s="272"/>
      <c r="T223" s="361"/>
      <c r="U223" s="369"/>
      <c r="V223" s="5"/>
    </row>
    <row r="224" spans="1:22" ht="15.6" x14ac:dyDescent="0.3">
      <c r="A224" s="376"/>
      <c r="B224" s="272" t="s">
        <v>93</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58"/>
      <c r="B225" s="293" t="s">
        <v>258</v>
      </c>
      <c r="C225" s="378"/>
      <c r="D225" s="378"/>
      <c r="E225" s="378"/>
      <c r="F225" s="379"/>
      <c r="G225" s="337"/>
      <c r="H225" s="337"/>
      <c r="I225" s="337"/>
      <c r="J225" s="337"/>
      <c r="K225" s="337"/>
      <c r="L225" s="337"/>
      <c r="M225" s="337"/>
      <c r="N225" s="337"/>
      <c r="O225" s="337"/>
      <c r="P225" s="337"/>
      <c r="Q225" s="374"/>
      <c r="R225" s="380"/>
      <c r="S225" s="337"/>
      <c r="T225" s="364"/>
      <c r="U225" s="369"/>
      <c r="V225" s="5"/>
    </row>
    <row r="226" spans="1:23" ht="15.6" x14ac:dyDescent="0.3">
      <c r="A226" s="376"/>
      <c r="B226" s="272" t="s">
        <v>286</v>
      </c>
      <c r="C226" s="306"/>
      <c r="D226" s="306"/>
      <c r="E226" s="306"/>
      <c r="F226" s="377"/>
      <c r="G226" s="272"/>
      <c r="H226" s="272"/>
      <c r="I226" s="272"/>
      <c r="J226" s="272"/>
      <c r="K226" s="272"/>
      <c r="L226" s="272"/>
      <c r="M226" s="272"/>
      <c r="N226" s="272"/>
      <c r="O226" s="272"/>
      <c r="P226" s="272"/>
      <c r="Q226" s="279">
        <v>7</v>
      </c>
      <c r="R226" s="360">
        <v>855</v>
      </c>
      <c r="S226" s="272"/>
      <c r="T226" s="364"/>
      <c r="U226" s="369"/>
      <c r="V226" s="5"/>
    </row>
    <row r="227" spans="1:23" ht="15.6" x14ac:dyDescent="0.3">
      <c r="A227" s="376"/>
      <c r="B227" s="272" t="s">
        <v>259</v>
      </c>
      <c r="C227" s="306"/>
      <c r="D227" s="306"/>
      <c r="E227" s="306"/>
      <c r="F227" s="377"/>
      <c r="G227" s="272"/>
      <c r="H227" s="272"/>
      <c r="I227" s="272"/>
      <c r="J227" s="272"/>
      <c r="K227" s="272"/>
      <c r="L227" s="272"/>
      <c r="M227" s="272"/>
      <c r="N227" s="272"/>
      <c r="O227" s="272"/>
      <c r="P227" s="272"/>
      <c r="Q227" s="272"/>
      <c r="R227" s="365">
        <v>26.06</v>
      </c>
      <c r="S227" s="272"/>
      <c r="T227" s="364"/>
      <c r="U227" s="369"/>
      <c r="V227" s="5"/>
    </row>
    <row r="228" spans="1:23" ht="15.6" x14ac:dyDescent="0.3">
      <c r="A228" s="358"/>
      <c r="B228" s="367"/>
      <c r="C228" s="378"/>
      <c r="D228" s="378"/>
      <c r="E228" s="378"/>
      <c r="F228" s="379"/>
      <c r="G228" s="337"/>
      <c r="H228" s="337"/>
      <c r="I228" s="337"/>
      <c r="J228" s="337"/>
      <c r="K228" s="337"/>
      <c r="L228" s="337"/>
      <c r="M228" s="337"/>
      <c r="N228" s="337"/>
      <c r="O228" s="337"/>
      <c r="P228" s="337"/>
      <c r="Q228" s="337"/>
      <c r="R228" s="381"/>
      <c r="S228" s="337"/>
      <c r="T228" s="364"/>
      <c r="U228" s="369"/>
      <c r="V228" s="5"/>
    </row>
    <row r="229" spans="1:23" ht="17.399999999999999" x14ac:dyDescent="0.3">
      <c r="A229" s="358"/>
      <c r="B229" s="382" t="s">
        <v>208</v>
      </c>
      <c r="C229" s="378"/>
      <c r="D229" s="378"/>
      <c r="E229" s="378"/>
      <c r="F229" s="379"/>
      <c r="G229" s="337"/>
      <c r="H229" s="337"/>
      <c r="I229" s="337"/>
      <c r="J229" s="337"/>
      <c r="K229" s="337"/>
      <c r="L229" s="337"/>
      <c r="M229" s="337"/>
      <c r="N229" s="383" t="s">
        <v>207</v>
      </c>
      <c r="O229" s="337"/>
      <c r="P229" s="337"/>
      <c r="Q229" s="337"/>
      <c r="R229" s="381"/>
      <c r="S229" s="337"/>
      <c r="T229" s="364"/>
      <c r="U229" s="369"/>
      <c r="V229" s="5"/>
    </row>
    <row r="230" spans="1:23" ht="15.6" x14ac:dyDescent="0.3">
      <c r="A230" s="351"/>
      <c r="B230" s="352"/>
      <c r="C230" s="353"/>
      <c r="D230" s="353"/>
      <c r="E230" s="353"/>
      <c r="F230" s="354"/>
      <c r="G230" s="314"/>
      <c r="H230" s="314"/>
      <c r="I230" s="314"/>
      <c r="J230" s="314"/>
      <c r="K230" s="314"/>
      <c r="L230" s="314"/>
      <c r="M230" s="314"/>
      <c r="N230" s="314"/>
      <c r="O230" s="314"/>
      <c r="P230" s="314"/>
      <c r="Q230" s="314"/>
      <c r="R230" s="355"/>
      <c r="S230" s="314"/>
      <c r="T230" s="356"/>
      <c r="U230" s="357"/>
      <c r="V230" s="5"/>
    </row>
    <row r="231" spans="1:23" ht="15.6" x14ac:dyDescent="0.3">
      <c r="A231" s="258"/>
      <c r="B231" s="259" t="s">
        <v>302</v>
      </c>
      <c r="C231" s="260"/>
      <c r="D231" s="260"/>
      <c r="E231" s="260"/>
      <c r="F231" s="261"/>
      <c r="G231" s="260"/>
      <c r="H231" s="260"/>
      <c r="I231" s="260"/>
      <c r="J231" s="260"/>
      <c r="K231" s="260"/>
      <c r="L231" s="260"/>
      <c r="M231" s="260"/>
      <c r="N231" s="260"/>
      <c r="O231" s="260"/>
      <c r="P231" s="261" t="s">
        <v>108</v>
      </c>
      <c r="Q231" s="260" t="s">
        <v>109</v>
      </c>
      <c r="R231" s="261" t="s">
        <v>117</v>
      </c>
      <c r="S231" s="260" t="s">
        <v>109</v>
      </c>
      <c r="T231" s="262"/>
      <c r="U231" s="259"/>
      <c r="V231" s="5"/>
    </row>
    <row r="232" spans="1:23" ht="15.6" x14ac:dyDescent="0.3">
      <c r="A232" s="232"/>
      <c r="B232" s="231" t="s">
        <v>94</v>
      </c>
      <c r="C232" s="249"/>
      <c r="D232" s="249"/>
      <c r="E232" s="249"/>
      <c r="F232" s="228"/>
      <c r="G232" s="249"/>
      <c r="H232" s="249"/>
      <c r="I232" s="249"/>
      <c r="J232" s="249"/>
      <c r="K232" s="249"/>
      <c r="L232" s="249"/>
      <c r="M232" s="249"/>
      <c r="N232" s="249"/>
      <c r="O232" s="249"/>
      <c r="P232" s="317">
        <f t="shared" ref="P232:P239" si="1">+P244+P256+P268</f>
        <v>2493</v>
      </c>
      <c r="Q232" s="388">
        <f t="shared" ref="Q232:Q239" si="2">P232/$P$241</f>
        <v>0.98889329631098766</v>
      </c>
      <c r="R232" s="318">
        <f t="shared" ref="R232:R239" si="3">+R244+R256+R268</f>
        <v>300551</v>
      </c>
      <c r="S232" s="388">
        <f t="shared" ref="S232:S239" si="4">R232/$R$241</f>
        <v>0.98512242289160579</v>
      </c>
      <c r="T232" s="247"/>
      <c r="U232" s="229"/>
      <c r="V232" s="5"/>
    </row>
    <row r="233" spans="1:23" ht="15.6" x14ac:dyDescent="0.3">
      <c r="A233" s="302"/>
      <c r="B233" s="317" t="s">
        <v>95</v>
      </c>
      <c r="C233" s="387"/>
      <c r="D233" s="387"/>
      <c r="E233" s="387"/>
      <c r="F233" s="272"/>
      <c r="G233" s="388"/>
      <c r="H233" s="387"/>
      <c r="I233" s="387"/>
      <c r="J233" s="387"/>
      <c r="K233" s="387"/>
      <c r="L233" s="387"/>
      <c r="M233" s="387"/>
      <c r="N233" s="387"/>
      <c r="O233" s="387"/>
      <c r="P233" s="317">
        <f t="shared" si="1"/>
        <v>12</v>
      </c>
      <c r="Q233" s="388">
        <f t="shared" si="2"/>
        <v>4.7600158667195558E-3</v>
      </c>
      <c r="R233" s="318">
        <f t="shared" si="3"/>
        <v>1700</v>
      </c>
      <c r="S233" s="388">
        <f t="shared" si="4"/>
        <v>5.5721262578255597E-3</v>
      </c>
      <c r="T233" s="361"/>
      <c r="U233" s="389"/>
      <c r="V233" s="5"/>
      <c r="W233" s="110"/>
    </row>
    <row r="234" spans="1:23" ht="15.6" x14ac:dyDescent="0.3">
      <c r="A234" s="302"/>
      <c r="B234" s="317" t="s">
        <v>96</v>
      </c>
      <c r="C234" s="387"/>
      <c r="D234" s="387"/>
      <c r="E234" s="387"/>
      <c r="F234" s="272"/>
      <c r="G234" s="388"/>
      <c r="H234" s="387"/>
      <c r="I234" s="387"/>
      <c r="J234" s="387"/>
      <c r="K234" s="387"/>
      <c r="L234" s="387"/>
      <c r="M234" s="387"/>
      <c r="N234" s="387"/>
      <c r="O234" s="387"/>
      <c r="P234" s="317">
        <f t="shared" si="1"/>
        <v>3</v>
      </c>
      <c r="Q234" s="388">
        <f t="shared" si="2"/>
        <v>1.1900039666798889E-3</v>
      </c>
      <c r="R234" s="318">
        <f t="shared" si="3"/>
        <v>287</v>
      </c>
      <c r="S234" s="388">
        <f t="shared" si="4"/>
        <v>9.4070602117407977E-4</v>
      </c>
      <c r="T234" s="361"/>
      <c r="U234" s="389"/>
      <c r="V234" s="5"/>
    </row>
    <row r="235" spans="1:23" ht="15.6" x14ac:dyDescent="0.3">
      <c r="A235" s="302"/>
      <c r="B235" s="317" t="s">
        <v>171</v>
      </c>
      <c r="C235" s="387"/>
      <c r="D235" s="387"/>
      <c r="E235" s="387"/>
      <c r="F235" s="272"/>
      <c r="G235" s="388"/>
      <c r="H235" s="387"/>
      <c r="I235" s="387"/>
      <c r="J235" s="387"/>
      <c r="K235" s="387"/>
      <c r="L235" s="387"/>
      <c r="M235" s="387"/>
      <c r="N235" s="387"/>
      <c r="O235" s="387"/>
      <c r="P235" s="317">
        <f t="shared" si="1"/>
        <v>0</v>
      </c>
      <c r="Q235" s="388">
        <f t="shared" si="2"/>
        <v>0</v>
      </c>
      <c r="R235" s="318">
        <f t="shared" si="3"/>
        <v>0</v>
      </c>
      <c r="S235" s="388">
        <f t="shared" si="4"/>
        <v>0</v>
      </c>
      <c r="T235" s="361"/>
      <c r="U235" s="389"/>
      <c r="V235" s="5"/>
      <c r="W235" s="110"/>
    </row>
    <row r="236" spans="1:23" ht="15.6" x14ac:dyDescent="0.3">
      <c r="A236" s="302"/>
      <c r="B236" s="317" t="s">
        <v>172</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row>
    <row r="237" spans="1:23" ht="15.6" x14ac:dyDescent="0.3">
      <c r="A237" s="302"/>
      <c r="B237" s="317" t="s">
        <v>173</v>
      </c>
      <c r="C237" s="387"/>
      <c r="D237" s="387"/>
      <c r="E237" s="387"/>
      <c r="F237" s="272"/>
      <c r="G237" s="388"/>
      <c r="H237" s="387"/>
      <c r="I237" s="387"/>
      <c r="J237" s="387"/>
      <c r="K237" s="387"/>
      <c r="L237" s="387"/>
      <c r="M237" s="387"/>
      <c r="N237" s="387"/>
      <c r="O237" s="387"/>
      <c r="P237" s="317">
        <f t="shared" si="1"/>
        <v>2</v>
      </c>
      <c r="Q237" s="388">
        <f t="shared" si="2"/>
        <v>7.9333597778659263E-4</v>
      </c>
      <c r="R237" s="318">
        <f t="shared" si="3"/>
        <v>198</v>
      </c>
      <c r="S237" s="388">
        <f t="shared" si="4"/>
        <v>6.4898882297027111E-4</v>
      </c>
      <c r="T237" s="361"/>
      <c r="U237" s="389"/>
      <c r="V237" s="5"/>
      <c r="W237" s="110"/>
    </row>
    <row r="238" spans="1:23" ht="15.6" x14ac:dyDescent="0.3">
      <c r="A238" s="302"/>
      <c r="B238" s="317" t="s">
        <v>174</v>
      </c>
      <c r="C238" s="387"/>
      <c r="D238" s="387"/>
      <c r="E238" s="387"/>
      <c r="F238" s="272"/>
      <c r="G238" s="388"/>
      <c r="H238" s="387"/>
      <c r="I238" s="387"/>
      <c r="J238" s="387"/>
      <c r="K238" s="387"/>
      <c r="L238" s="387"/>
      <c r="M238" s="387"/>
      <c r="N238" s="387"/>
      <c r="O238" s="387"/>
      <c r="P238" s="317">
        <f t="shared" si="1"/>
        <v>1</v>
      </c>
      <c r="Q238" s="388">
        <f t="shared" si="2"/>
        <v>3.9666798889329631E-4</v>
      </c>
      <c r="R238" s="318">
        <f t="shared" si="3"/>
        <v>121</v>
      </c>
      <c r="S238" s="388">
        <f t="shared" si="4"/>
        <v>3.9660428070405456E-4</v>
      </c>
      <c r="T238" s="361"/>
      <c r="U238" s="389"/>
      <c r="V238" s="5"/>
    </row>
    <row r="239" spans="1:23" ht="15.6" x14ac:dyDescent="0.3">
      <c r="A239" s="302"/>
      <c r="B239" s="317" t="s">
        <v>175</v>
      </c>
      <c r="C239" s="387"/>
      <c r="D239" s="387"/>
      <c r="E239" s="387"/>
      <c r="F239" s="272"/>
      <c r="G239" s="388"/>
      <c r="H239" s="387"/>
      <c r="I239" s="387"/>
      <c r="J239" s="387"/>
      <c r="K239" s="387"/>
      <c r="L239" s="387"/>
      <c r="M239" s="387"/>
      <c r="N239" s="387"/>
      <c r="O239" s="387"/>
      <c r="P239" s="317">
        <f t="shared" si="1"/>
        <v>10</v>
      </c>
      <c r="Q239" s="388">
        <f t="shared" si="2"/>
        <v>3.9666798889329627E-3</v>
      </c>
      <c r="R239" s="318">
        <f t="shared" si="3"/>
        <v>2233</v>
      </c>
      <c r="S239" s="388">
        <f t="shared" si="4"/>
        <v>7.3191517257202793E-3</v>
      </c>
      <c r="T239" s="361"/>
      <c r="U239" s="389"/>
      <c r="V239" s="5"/>
      <c r="W239" s="110"/>
    </row>
    <row r="240" spans="1:23" ht="15.6" x14ac:dyDescent="0.3">
      <c r="A240" s="302"/>
      <c r="B240" s="317"/>
      <c r="C240" s="387"/>
      <c r="D240" s="387"/>
      <c r="E240" s="387"/>
      <c r="F240" s="272"/>
      <c r="G240" s="388"/>
      <c r="H240" s="387"/>
      <c r="I240" s="387"/>
      <c r="J240" s="387"/>
      <c r="K240" s="387"/>
      <c r="L240" s="387"/>
      <c r="M240" s="387"/>
      <c r="N240" s="387"/>
      <c r="O240" s="387"/>
      <c r="P240" s="317"/>
      <c r="Q240" s="388"/>
      <c r="R240" s="318"/>
      <c r="S240" s="388"/>
      <c r="T240" s="361"/>
      <c r="U240" s="389"/>
      <c r="V240" s="5"/>
    </row>
    <row r="241" spans="1:23" ht="15.6" x14ac:dyDescent="0.3">
      <c r="A241" s="302"/>
      <c r="B241" s="272"/>
      <c r="C241" s="272"/>
      <c r="D241" s="272"/>
      <c r="E241" s="272"/>
      <c r="F241" s="272"/>
      <c r="G241" s="272"/>
      <c r="H241" s="390"/>
      <c r="I241" s="390"/>
      <c r="J241" s="390"/>
      <c r="K241" s="390"/>
      <c r="L241" s="390"/>
      <c r="M241" s="390"/>
      <c r="N241" s="390"/>
      <c r="O241" s="390"/>
      <c r="P241" s="317">
        <f>SUM(P232:P240)</f>
        <v>2521</v>
      </c>
      <c r="Q241" s="388">
        <f>SUM(Q232:Q240)</f>
        <v>1</v>
      </c>
      <c r="R241" s="318">
        <f>SUM(R232:R240)</f>
        <v>305090</v>
      </c>
      <c r="S241" s="388">
        <f>SUM(S232:S240)</f>
        <v>1</v>
      </c>
      <c r="T241" s="272"/>
      <c r="U241" s="275"/>
      <c r="V241" s="5"/>
    </row>
    <row r="242" spans="1:23" ht="15.6" x14ac:dyDescent="0.3">
      <c r="A242" s="351"/>
      <c r="B242" s="352"/>
      <c r="C242" s="353"/>
      <c r="D242" s="353"/>
      <c r="E242" s="353"/>
      <c r="F242" s="354"/>
      <c r="G242" s="314"/>
      <c r="H242" s="314"/>
      <c r="I242" s="314"/>
      <c r="J242" s="314"/>
      <c r="K242" s="314"/>
      <c r="L242" s="314"/>
      <c r="M242" s="314"/>
      <c r="N242" s="314"/>
      <c r="O242" s="314"/>
      <c r="P242" s="314"/>
      <c r="Q242" s="314"/>
      <c r="R242" s="355"/>
      <c r="S242" s="314"/>
      <c r="T242" s="356"/>
      <c r="U242" s="357"/>
      <c r="V242" s="5"/>
    </row>
    <row r="243" spans="1:23" ht="15.6" x14ac:dyDescent="0.3">
      <c r="A243" s="258"/>
      <c r="B243" s="259" t="s">
        <v>177</v>
      </c>
      <c r="C243" s="260"/>
      <c r="D243" s="260"/>
      <c r="E243" s="260"/>
      <c r="F243" s="261"/>
      <c r="G243" s="260"/>
      <c r="H243" s="260"/>
      <c r="I243" s="260"/>
      <c r="J243" s="260"/>
      <c r="K243" s="260"/>
      <c r="L243" s="260"/>
      <c r="M243" s="260"/>
      <c r="N243" s="260"/>
      <c r="O243" s="260"/>
      <c r="P243" s="261" t="s">
        <v>108</v>
      </c>
      <c r="Q243" s="260" t="s">
        <v>109</v>
      </c>
      <c r="R243" s="261" t="s">
        <v>117</v>
      </c>
      <c r="S243" s="260" t="s">
        <v>109</v>
      </c>
      <c r="T243" s="262"/>
      <c r="U243" s="259"/>
      <c r="V243" s="5"/>
    </row>
    <row r="244" spans="1:23" ht="15.6" x14ac:dyDescent="0.3">
      <c r="A244" s="232"/>
      <c r="B244" s="231" t="s">
        <v>94</v>
      </c>
      <c r="C244" s="249"/>
      <c r="D244" s="249"/>
      <c r="E244" s="249"/>
      <c r="F244" s="228"/>
      <c r="G244" s="249"/>
      <c r="H244" s="249"/>
      <c r="I244" s="249"/>
      <c r="J244" s="249"/>
      <c r="K244" s="249"/>
      <c r="L244" s="249"/>
      <c r="M244" s="249"/>
      <c r="N244" s="249"/>
      <c r="O244" s="249"/>
      <c r="P244" s="231">
        <v>2443</v>
      </c>
      <c r="Q244" s="250">
        <f t="shared" ref="Q244:Q251" si="5">P244/$P$253</f>
        <v>0.99389747762408465</v>
      </c>
      <c r="R244" s="242">
        <v>293627</v>
      </c>
      <c r="S244" s="250">
        <f t="shared" ref="S244:S251" si="6">R244/$R$253</f>
        <v>0.99312049949097103</v>
      </c>
      <c r="T244" s="247"/>
      <c r="U244" s="229"/>
      <c r="V244" s="5"/>
    </row>
    <row r="245" spans="1:23" ht="15.6" x14ac:dyDescent="0.3">
      <c r="A245" s="302"/>
      <c r="B245" s="317" t="s">
        <v>95</v>
      </c>
      <c r="C245" s="387"/>
      <c r="D245" s="387"/>
      <c r="E245" s="387"/>
      <c r="F245" s="272"/>
      <c r="G245" s="388"/>
      <c r="H245" s="387"/>
      <c r="I245" s="387"/>
      <c r="J245" s="387"/>
      <c r="K245" s="387"/>
      <c r="L245" s="387"/>
      <c r="M245" s="387"/>
      <c r="N245" s="387"/>
      <c r="O245" s="387"/>
      <c r="P245" s="317">
        <v>11</v>
      </c>
      <c r="Q245" s="388">
        <f t="shared" si="5"/>
        <v>4.4751830756712772E-3</v>
      </c>
      <c r="R245" s="318">
        <v>1636</v>
      </c>
      <c r="S245" s="388">
        <f t="shared" si="6"/>
        <v>5.533364224568002E-3</v>
      </c>
      <c r="T245" s="361"/>
      <c r="U245" s="389"/>
      <c r="V245" s="5"/>
      <c r="W245" s="110"/>
    </row>
    <row r="246" spans="1:23" ht="15.6" x14ac:dyDescent="0.3">
      <c r="A246" s="302"/>
      <c r="B246" s="317" t="s">
        <v>96</v>
      </c>
      <c r="C246" s="387"/>
      <c r="D246" s="387"/>
      <c r="E246" s="387"/>
      <c r="F246" s="272"/>
      <c r="G246" s="388"/>
      <c r="H246" s="387"/>
      <c r="I246" s="387"/>
      <c r="J246" s="387"/>
      <c r="K246" s="387"/>
      <c r="L246" s="387"/>
      <c r="M246" s="387"/>
      <c r="N246" s="387"/>
      <c r="O246" s="387"/>
      <c r="P246" s="317">
        <v>3</v>
      </c>
      <c r="Q246" s="388">
        <f t="shared" si="5"/>
        <v>1.2205044751830757E-3</v>
      </c>
      <c r="R246" s="318">
        <v>287</v>
      </c>
      <c r="S246" s="388">
        <f t="shared" si="6"/>
        <v>9.7070631567910547E-4</v>
      </c>
      <c r="T246" s="361"/>
      <c r="U246" s="389"/>
      <c r="V246" s="5"/>
    </row>
    <row r="247" spans="1:23" ht="15.6" x14ac:dyDescent="0.3">
      <c r="A247" s="302"/>
      <c r="B247" s="317" t="s">
        <v>171</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c r="W247" s="110"/>
    </row>
    <row r="248" spans="1:23" ht="15.6" x14ac:dyDescent="0.3">
      <c r="A248" s="302"/>
      <c r="B248" s="317" t="s">
        <v>172</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row>
    <row r="249" spans="1:23" ht="15.6" x14ac:dyDescent="0.3">
      <c r="A249" s="302"/>
      <c r="B249" s="317" t="s">
        <v>173</v>
      </c>
      <c r="C249" s="387"/>
      <c r="D249" s="387"/>
      <c r="E249" s="387"/>
      <c r="F249" s="272"/>
      <c r="G249" s="388"/>
      <c r="H249" s="387"/>
      <c r="I249" s="387"/>
      <c r="J249" s="387"/>
      <c r="K249" s="387"/>
      <c r="L249" s="387"/>
      <c r="M249" s="387"/>
      <c r="N249" s="387"/>
      <c r="O249" s="387"/>
      <c r="P249" s="317">
        <v>1</v>
      </c>
      <c r="Q249" s="388">
        <f t="shared" si="5"/>
        <v>4.0683482506102521E-4</v>
      </c>
      <c r="R249" s="318">
        <v>111</v>
      </c>
      <c r="S249" s="388">
        <f t="shared" si="6"/>
        <v>3.754299687818143E-4</v>
      </c>
      <c r="T249" s="361"/>
      <c r="U249" s="389"/>
      <c r="V249" s="5"/>
      <c r="W249" s="110"/>
    </row>
    <row r="250" spans="1:23" ht="15.6" x14ac:dyDescent="0.3">
      <c r="A250" s="302"/>
      <c r="B250" s="317" t="s">
        <v>174</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row>
    <row r="251" spans="1:23" ht="15.6" x14ac:dyDescent="0.3">
      <c r="A251" s="302"/>
      <c r="B251" s="317" t="s">
        <v>175</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c r="W251" s="110"/>
    </row>
    <row r="252" spans="1:23" ht="15.6" x14ac:dyDescent="0.3">
      <c r="A252" s="302"/>
      <c r="B252" s="317"/>
      <c r="C252" s="387"/>
      <c r="D252" s="387"/>
      <c r="E252" s="387"/>
      <c r="F252" s="272"/>
      <c r="G252" s="388"/>
      <c r="H252" s="387"/>
      <c r="I252" s="387"/>
      <c r="J252" s="387"/>
      <c r="K252" s="387"/>
      <c r="L252" s="387"/>
      <c r="M252" s="387"/>
      <c r="N252" s="387"/>
      <c r="O252" s="387"/>
      <c r="P252" s="317"/>
      <c r="Q252" s="388"/>
      <c r="R252" s="318"/>
      <c r="S252" s="388"/>
      <c r="T252" s="361"/>
      <c r="U252" s="389"/>
      <c r="V252" s="5"/>
    </row>
    <row r="253" spans="1:23" ht="15.6" x14ac:dyDescent="0.3">
      <c r="A253" s="302"/>
      <c r="B253" s="272"/>
      <c r="C253" s="272"/>
      <c r="D253" s="272"/>
      <c r="E253" s="272"/>
      <c r="F253" s="272"/>
      <c r="G253" s="272"/>
      <c r="H253" s="390"/>
      <c r="I253" s="390"/>
      <c r="J253" s="390"/>
      <c r="K253" s="390"/>
      <c r="L253" s="390"/>
      <c r="M253" s="390"/>
      <c r="N253" s="390"/>
      <c r="O253" s="390"/>
      <c r="P253" s="317">
        <f>SUM(P244:P252)</f>
        <v>2458</v>
      </c>
      <c r="Q253" s="388">
        <f>SUM(Q244:Q252)</f>
        <v>1</v>
      </c>
      <c r="R253" s="318">
        <f>SUM(R244:R252)</f>
        <v>295661</v>
      </c>
      <c r="S253" s="388">
        <f>SUM(S244:S252)</f>
        <v>0.99999999999999989</v>
      </c>
      <c r="T253" s="272"/>
      <c r="U253" s="275"/>
      <c r="V253" s="5"/>
    </row>
    <row r="254" spans="1:23" ht="15.6" x14ac:dyDescent="0.3">
      <c r="A254" s="177"/>
      <c r="B254" s="314"/>
      <c r="C254" s="314"/>
      <c r="D254" s="314"/>
      <c r="E254" s="314"/>
      <c r="F254" s="314"/>
      <c r="G254" s="314"/>
      <c r="H254" s="384"/>
      <c r="I254" s="384"/>
      <c r="J254" s="384"/>
      <c r="K254" s="384"/>
      <c r="L254" s="384"/>
      <c r="M254" s="384"/>
      <c r="N254" s="384"/>
      <c r="O254" s="384"/>
      <c r="P254" s="315"/>
      <c r="Q254" s="385"/>
      <c r="R254" s="386"/>
      <c r="S254" s="385"/>
      <c r="T254" s="314"/>
      <c r="U254" s="314"/>
      <c r="V254" s="5"/>
    </row>
    <row r="255" spans="1:23" ht="15.6" x14ac:dyDescent="0.3">
      <c r="A255" s="263"/>
      <c r="B255" s="259" t="s">
        <v>279</v>
      </c>
      <c r="C255" s="260"/>
      <c r="D255" s="260"/>
      <c r="E255" s="260"/>
      <c r="F255" s="261"/>
      <c r="G255" s="260"/>
      <c r="H255" s="260"/>
      <c r="I255" s="260"/>
      <c r="J255" s="260"/>
      <c r="K255" s="260"/>
      <c r="L255" s="260"/>
      <c r="M255" s="260"/>
      <c r="N255" s="260"/>
      <c r="O255" s="260"/>
      <c r="P255" s="261" t="s">
        <v>108</v>
      </c>
      <c r="Q255" s="260" t="s">
        <v>109</v>
      </c>
      <c r="R255" s="261" t="s">
        <v>117</v>
      </c>
      <c r="S255" s="260" t="s">
        <v>109</v>
      </c>
      <c r="T255" s="264"/>
      <c r="U255" s="265"/>
      <c r="V255" s="5"/>
    </row>
    <row r="256" spans="1:23" ht="15.6" x14ac:dyDescent="0.3">
      <c r="A256" s="232"/>
      <c r="B256" s="231" t="s">
        <v>94</v>
      </c>
      <c r="C256" s="249"/>
      <c r="D256" s="249"/>
      <c r="E256" s="249"/>
      <c r="F256" s="228"/>
      <c r="G256" s="249"/>
      <c r="H256" s="249"/>
      <c r="I256" s="249"/>
      <c r="J256" s="249"/>
      <c r="K256" s="249"/>
      <c r="L256" s="249"/>
      <c r="M256" s="249"/>
      <c r="N256" s="249"/>
      <c r="O256" s="249"/>
      <c r="P256" s="231">
        <v>50</v>
      </c>
      <c r="Q256" s="250">
        <f t="shared" ref="Q256:Q263" si="7">P256/$P$265</f>
        <v>0.79365079365079361</v>
      </c>
      <c r="R256" s="242">
        <v>6924</v>
      </c>
      <c r="S256" s="250">
        <f t="shared" ref="S256:S263" si="8">R256/$R$265</f>
        <v>0.73433025771555838</v>
      </c>
      <c r="T256" s="228"/>
      <c r="U256" s="194"/>
      <c r="V256" s="5"/>
    </row>
    <row r="257" spans="1:22" ht="15.6" x14ac:dyDescent="0.3">
      <c r="A257" s="302"/>
      <c r="B257" s="317" t="s">
        <v>95</v>
      </c>
      <c r="C257" s="387"/>
      <c r="D257" s="387"/>
      <c r="E257" s="387"/>
      <c r="F257" s="272"/>
      <c r="G257" s="388"/>
      <c r="H257" s="387"/>
      <c r="I257" s="387"/>
      <c r="J257" s="387"/>
      <c r="K257" s="387"/>
      <c r="L257" s="387"/>
      <c r="M257" s="387"/>
      <c r="N257" s="387"/>
      <c r="O257" s="387"/>
      <c r="P257" s="317">
        <v>1</v>
      </c>
      <c r="Q257" s="388">
        <f t="shared" si="7"/>
        <v>1.5873015873015872E-2</v>
      </c>
      <c r="R257" s="318">
        <v>64</v>
      </c>
      <c r="S257" s="388">
        <f t="shared" si="8"/>
        <v>6.7875702619577894E-3</v>
      </c>
      <c r="T257" s="272"/>
      <c r="U257" s="340"/>
      <c r="V257" s="5"/>
    </row>
    <row r="258" spans="1:22" ht="15.6" x14ac:dyDescent="0.3">
      <c r="A258" s="302"/>
      <c r="B258" s="317" t="s">
        <v>96</v>
      </c>
      <c r="C258" s="387"/>
      <c r="D258" s="387"/>
      <c r="E258" s="387"/>
      <c r="F258" s="272"/>
      <c r="G258" s="388"/>
      <c r="H258" s="387"/>
      <c r="I258" s="387"/>
      <c r="J258" s="387"/>
      <c r="K258" s="387"/>
      <c r="L258" s="387"/>
      <c r="M258" s="387"/>
      <c r="N258" s="387"/>
      <c r="O258" s="387"/>
      <c r="P258" s="317">
        <v>0</v>
      </c>
      <c r="Q258" s="388">
        <f t="shared" si="7"/>
        <v>0</v>
      </c>
      <c r="R258" s="318">
        <v>0</v>
      </c>
      <c r="S258" s="388">
        <f t="shared" si="8"/>
        <v>0</v>
      </c>
      <c r="T258" s="272"/>
      <c r="U258" s="340"/>
      <c r="V258" s="5"/>
    </row>
    <row r="259" spans="1:22" ht="15.6" x14ac:dyDescent="0.3">
      <c r="A259" s="302"/>
      <c r="B259" s="317" t="s">
        <v>171</v>
      </c>
      <c r="C259" s="387"/>
      <c r="D259" s="387"/>
      <c r="E259" s="387"/>
      <c r="F259" s="272"/>
      <c r="G259" s="388"/>
      <c r="H259" s="387"/>
      <c r="I259" s="387"/>
      <c r="J259" s="387"/>
      <c r="K259" s="387"/>
      <c r="L259" s="387"/>
      <c r="M259" s="387"/>
      <c r="N259" s="387"/>
      <c r="O259" s="387"/>
      <c r="P259" s="317">
        <v>0</v>
      </c>
      <c r="Q259" s="388">
        <f t="shared" si="7"/>
        <v>0</v>
      </c>
      <c r="R259" s="318">
        <v>0</v>
      </c>
      <c r="S259" s="388">
        <f t="shared" si="8"/>
        <v>0</v>
      </c>
      <c r="T259" s="272"/>
      <c r="U259" s="340"/>
      <c r="V259" s="5"/>
    </row>
    <row r="260" spans="1:22" ht="15.6" x14ac:dyDescent="0.3">
      <c r="A260" s="302"/>
      <c r="B260" s="317" t="s">
        <v>172</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173</v>
      </c>
      <c r="C261" s="387"/>
      <c r="D261" s="387"/>
      <c r="E261" s="387"/>
      <c r="F261" s="272"/>
      <c r="G261" s="388"/>
      <c r="H261" s="387"/>
      <c r="I261" s="387"/>
      <c r="J261" s="387"/>
      <c r="K261" s="387"/>
      <c r="L261" s="387"/>
      <c r="M261" s="387"/>
      <c r="N261" s="387"/>
      <c r="O261" s="387"/>
      <c r="P261" s="317">
        <v>1</v>
      </c>
      <c r="Q261" s="388">
        <f t="shared" si="7"/>
        <v>1.5873015873015872E-2</v>
      </c>
      <c r="R261" s="318">
        <v>87</v>
      </c>
      <c r="S261" s="388">
        <f t="shared" si="8"/>
        <v>9.2268533248488702E-3</v>
      </c>
      <c r="T261" s="272"/>
      <c r="U261" s="340"/>
      <c r="V261" s="5"/>
    </row>
    <row r="262" spans="1:22" ht="15.6" x14ac:dyDescent="0.3">
      <c r="A262" s="302"/>
      <c r="B262" s="317" t="s">
        <v>174</v>
      </c>
      <c r="C262" s="387"/>
      <c r="D262" s="387"/>
      <c r="E262" s="387"/>
      <c r="F262" s="272"/>
      <c r="G262" s="388"/>
      <c r="H262" s="387"/>
      <c r="I262" s="387"/>
      <c r="J262" s="387"/>
      <c r="K262" s="387"/>
      <c r="L262" s="387"/>
      <c r="M262" s="387"/>
      <c r="N262" s="387"/>
      <c r="O262" s="387"/>
      <c r="P262" s="317">
        <v>1</v>
      </c>
      <c r="Q262" s="388">
        <f t="shared" si="7"/>
        <v>1.5873015873015872E-2</v>
      </c>
      <c r="R262" s="318">
        <v>121</v>
      </c>
      <c r="S262" s="388">
        <f t="shared" si="8"/>
        <v>1.2832750026513946E-2</v>
      </c>
      <c r="T262" s="272"/>
      <c r="U262" s="340"/>
      <c r="V262" s="5"/>
    </row>
    <row r="263" spans="1:22" ht="15.6" x14ac:dyDescent="0.3">
      <c r="A263" s="302"/>
      <c r="B263" s="317" t="s">
        <v>175</v>
      </c>
      <c r="C263" s="387"/>
      <c r="D263" s="387"/>
      <c r="E263" s="387"/>
      <c r="F263" s="272"/>
      <c r="G263" s="388"/>
      <c r="H263" s="387"/>
      <c r="I263" s="387"/>
      <c r="J263" s="387"/>
      <c r="K263" s="387"/>
      <c r="L263" s="387"/>
      <c r="M263" s="387"/>
      <c r="N263" s="387"/>
      <c r="O263" s="387"/>
      <c r="P263" s="317">
        <v>10</v>
      </c>
      <c r="Q263" s="388">
        <f t="shared" si="7"/>
        <v>0.15873015873015872</v>
      </c>
      <c r="R263" s="318">
        <v>2233</v>
      </c>
      <c r="S263" s="388">
        <f t="shared" si="8"/>
        <v>0.236822568671121</v>
      </c>
      <c r="T263" s="272"/>
      <c r="U263" s="340"/>
      <c r="V263" s="5"/>
    </row>
    <row r="264" spans="1:22" ht="15.6" x14ac:dyDescent="0.3">
      <c r="A264" s="302"/>
      <c r="B264" s="317"/>
      <c r="C264" s="387"/>
      <c r="D264" s="387"/>
      <c r="E264" s="387"/>
      <c r="F264" s="272"/>
      <c r="G264" s="388"/>
      <c r="H264" s="387"/>
      <c r="I264" s="387"/>
      <c r="J264" s="387"/>
      <c r="K264" s="387"/>
      <c r="L264" s="387"/>
      <c r="M264" s="387"/>
      <c r="N264" s="387"/>
      <c r="O264" s="387"/>
      <c r="P264" s="317"/>
      <c r="Q264" s="388"/>
      <c r="R264" s="318"/>
      <c r="S264" s="388"/>
      <c r="T264" s="272"/>
      <c r="U264" s="340"/>
      <c r="V264" s="5"/>
    </row>
    <row r="265" spans="1:22" ht="15.6" x14ac:dyDescent="0.3">
      <c r="A265" s="302"/>
      <c r="B265" s="272"/>
      <c r="C265" s="272"/>
      <c r="D265" s="272"/>
      <c r="E265" s="272"/>
      <c r="F265" s="272"/>
      <c r="G265" s="272"/>
      <c r="H265" s="390"/>
      <c r="I265" s="390"/>
      <c r="J265" s="390"/>
      <c r="K265" s="390"/>
      <c r="L265" s="390"/>
      <c r="M265" s="390"/>
      <c r="N265" s="390"/>
      <c r="O265" s="390"/>
      <c r="P265" s="317">
        <f>SUM(P256:P264)</f>
        <v>63</v>
      </c>
      <c r="Q265" s="388">
        <f>SUM(Q256:Q264)</f>
        <v>0.99999999999999989</v>
      </c>
      <c r="R265" s="318">
        <f>SUM(R256:R264)</f>
        <v>9429</v>
      </c>
      <c r="S265" s="388">
        <f>SUM(S256:S264)</f>
        <v>1</v>
      </c>
      <c r="T265" s="272"/>
      <c r="U265" s="340"/>
      <c r="V265" s="5"/>
    </row>
    <row r="266" spans="1:22" ht="15.6" x14ac:dyDescent="0.3">
      <c r="A266" s="233"/>
      <c r="B266" s="268"/>
      <c r="C266" s="268"/>
      <c r="D266" s="268"/>
      <c r="E266" s="268"/>
      <c r="F266" s="268"/>
      <c r="G266" s="268"/>
      <c r="H266" s="391"/>
      <c r="I266" s="391"/>
      <c r="J266" s="391"/>
      <c r="K266" s="391"/>
      <c r="L266" s="391"/>
      <c r="M266" s="391"/>
      <c r="N266" s="391"/>
      <c r="O266" s="391"/>
      <c r="P266" s="333"/>
      <c r="Q266" s="392"/>
      <c r="R266" s="393"/>
      <c r="S266" s="392"/>
      <c r="T266" s="268"/>
      <c r="U266" s="314"/>
      <c r="V266" s="5"/>
    </row>
    <row r="267" spans="1:22" ht="15.6" x14ac:dyDescent="0.3">
      <c r="A267" s="263"/>
      <c r="B267" s="259" t="s">
        <v>179</v>
      </c>
      <c r="C267" s="264"/>
      <c r="D267" s="264"/>
      <c r="E267" s="264"/>
      <c r="F267" s="264"/>
      <c r="G267" s="264"/>
      <c r="H267" s="266"/>
      <c r="I267" s="266"/>
      <c r="J267" s="266"/>
      <c r="K267" s="266"/>
      <c r="L267" s="266"/>
      <c r="M267" s="266"/>
      <c r="N267" s="266"/>
      <c r="O267" s="266"/>
      <c r="P267" s="261" t="s">
        <v>108</v>
      </c>
      <c r="Q267" s="260" t="s">
        <v>109</v>
      </c>
      <c r="R267" s="261" t="s">
        <v>117</v>
      </c>
      <c r="S267" s="260" t="s">
        <v>109</v>
      </c>
      <c r="T267" s="264"/>
      <c r="U267" s="265"/>
      <c r="V267" s="5"/>
    </row>
    <row r="268" spans="1:22" ht="15.6" x14ac:dyDescent="0.3">
      <c r="A268" s="232"/>
      <c r="B268" s="231" t="s">
        <v>94</v>
      </c>
      <c r="C268" s="228"/>
      <c r="D268" s="228"/>
      <c r="E268" s="228"/>
      <c r="F268" s="228"/>
      <c r="G268" s="228"/>
      <c r="H268" s="251"/>
      <c r="I268" s="251"/>
      <c r="J268" s="251"/>
      <c r="K268" s="251"/>
      <c r="L268" s="251"/>
      <c r="M268" s="251"/>
      <c r="N268" s="251"/>
      <c r="O268" s="251"/>
      <c r="P268" s="231">
        <v>0</v>
      </c>
      <c r="Q268" s="250">
        <v>0</v>
      </c>
      <c r="R268" s="242">
        <v>0</v>
      </c>
      <c r="S268" s="250">
        <v>0</v>
      </c>
      <c r="T268" s="228"/>
      <c r="U268" s="194"/>
      <c r="V268" s="5"/>
    </row>
    <row r="269" spans="1:22" ht="15.6" x14ac:dyDescent="0.3">
      <c r="A269" s="302"/>
      <c r="B269" s="317" t="s">
        <v>95</v>
      </c>
      <c r="C269" s="272"/>
      <c r="D269" s="272"/>
      <c r="E269" s="272"/>
      <c r="F269" s="272"/>
      <c r="G269" s="272"/>
      <c r="H269" s="390"/>
      <c r="I269" s="390"/>
      <c r="J269" s="390"/>
      <c r="K269" s="390"/>
      <c r="L269" s="390"/>
      <c r="M269" s="390"/>
      <c r="N269" s="390"/>
      <c r="O269" s="390"/>
      <c r="P269" s="317">
        <v>0</v>
      </c>
      <c r="Q269" s="388">
        <v>0</v>
      </c>
      <c r="R269" s="318">
        <v>0</v>
      </c>
      <c r="S269" s="388">
        <v>0</v>
      </c>
      <c r="T269" s="272"/>
      <c r="U269" s="340"/>
      <c r="V269" s="5"/>
    </row>
    <row r="270" spans="1:22" ht="15.6" x14ac:dyDescent="0.3">
      <c r="A270" s="302"/>
      <c r="B270" s="317" t="s">
        <v>96</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171</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172</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173</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174</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175</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c r="C276" s="272"/>
      <c r="D276" s="272"/>
      <c r="E276" s="272"/>
      <c r="F276" s="272"/>
      <c r="G276" s="272"/>
      <c r="H276" s="390"/>
      <c r="I276" s="390"/>
      <c r="J276" s="390"/>
      <c r="K276" s="390"/>
      <c r="L276" s="390"/>
      <c r="M276" s="390"/>
      <c r="N276" s="390"/>
      <c r="O276" s="390"/>
      <c r="P276" s="317"/>
      <c r="Q276" s="388"/>
      <c r="R276" s="318"/>
      <c r="S276" s="388"/>
      <c r="T276" s="272"/>
      <c r="U276" s="340"/>
      <c r="V276" s="5"/>
    </row>
    <row r="277" spans="1:22" ht="15.6" x14ac:dyDescent="0.3">
      <c r="A277" s="302"/>
      <c r="B277" s="272" t="s">
        <v>123</v>
      </c>
      <c r="C277" s="272"/>
      <c r="D277" s="272"/>
      <c r="E277" s="272"/>
      <c r="F277" s="272"/>
      <c r="G277" s="272"/>
      <c r="H277" s="390"/>
      <c r="I277" s="390"/>
      <c r="J277" s="390"/>
      <c r="K277" s="390"/>
      <c r="L277" s="390"/>
      <c r="M277" s="390"/>
      <c r="N277" s="390"/>
      <c r="O277" s="390"/>
      <c r="P277" s="317">
        <f>SUM(P268:P275)</f>
        <v>0</v>
      </c>
      <c r="Q277" s="388">
        <f>SUM(Q268:Q275)</f>
        <v>0</v>
      </c>
      <c r="R277" s="318">
        <f>SUM(R268:R275)</f>
        <v>0</v>
      </c>
      <c r="S277" s="388">
        <f>SUM(S268:S275)</f>
        <v>0</v>
      </c>
      <c r="T277" s="272"/>
      <c r="U277" s="340"/>
      <c r="V277" s="5"/>
    </row>
    <row r="278" spans="1:22" ht="15.6" x14ac:dyDescent="0.3">
      <c r="A278" s="302"/>
      <c r="B278" s="272"/>
      <c r="C278" s="272"/>
      <c r="D278" s="272"/>
      <c r="E278" s="272"/>
      <c r="F278" s="272"/>
      <c r="G278" s="272"/>
      <c r="H278" s="390"/>
      <c r="I278" s="390"/>
      <c r="J278" s="390"/>
      <c r="K278" s="390"/>
      <c r="L278" s="390"/>
      <c r="M278" s="390"/>
      <c r="N278" s="390"/>
      <c r="O278" s="390"/>
      <c r="P278" s="317"/>
      <c r="Q278" s="388"/>
      <c r="R278" s="318"/>
      <c r="S278" s="388"/>
      <c r="T278" s="272"/>
      <c r="U278" s="340"/>
      <c r="V278" s="5"/>
    </row>
    <row r="279" spans="1:22" ht="15.6" x14ac:dyDescent="0.3">
      <c r="A279" s="302"/>
      <c r="B279" s="277" t="s">
        <v>180</v>
      </c>
      <c r="C279" s="272"/>
      <c r="D279" s="272"/>
      <c r="E279" s="272"/>
      <c r="F279" s="272"/>
      <c r="G279" s="272"/>
      <c r="H279" s="390"/>
      <c r="I279" s="390"/>
      <c r="J279" s="390"/>
      <c r="K279" s="390"/>
      <c r="L279" s="390"/>
      <c r="M279" s="390"/>
      <c r="N279" s="390"/>
      <c r="O279" s="390"/>
      <c r="P279" s="399">
        <f>+P253+P265+P277</f>
        <v>2521</v>
      </c>
      <c r="Q279" s="388"/>
      <c r="R279" s="396">
        <f>+R277+R265+R253</f>
        <v>305090</v>
      </c>
      <c r="S279" s="388"/>
      <c r="T279" s="272"/>
      <c r="U279" s="340"/>
      <c r="V279" s="5"/>
    </row>
    <row r="280" spans="1:22" ht="15.6" x14ac:dyDescent="0.3">
      <c r="A280" s="233"/>
      <c r="B280" s="268"/>
      <c r="C280" s="268"/>
      <c r="D280" s="268"/>
      <c r="E280" s="268"/>
      <c r="F280" s="268"/>
      <c r="G280" s="268"/>
      <c r="H280" s="391"/>
      <c r="I280" s="391"/>
      <c r="J280" s="391"/>
      <c r="K280" s="391"/>
      <c r="L280" s="391"/>
      <c r="M280" s="391"/>
      <c r="N280" s="391"/>
      <c r="O280" s="391"/>
      <c r="P280" s="391"/>
      <c r="Q280" s="391"/>
      <c r="R280" s="393"/>
      <c r="S280" s="391"/>
      <c r="T280" s="268"/>
      <c r="U280" s="314"/>
      <c r="V280" s="5"/>
    </row>
    <row r="281" spans="1:22" ht="15.6" x14ac:dyDescent="0.3">
      <c r="A281" s="233"/>
      <c r="B281" s="234"/>
      <c r="C281" s="234"/>
      <c r="D281" s="234"/>
      <c r="E281" s="234"/>
      <c r="F281" s="234"/>
      <c r="G281" s="234"/>
      <c r="H281" s="252"/>
      <c r="I281" s="252"/>
      <c r="J281" s="252"/>
      <c r="K281" s="252"/>
      <c r="L281" s="252"/>
      <c r="M281" s="252"/>
      <c r="N281" s="252"/>
      <c r="O281" s="252"/>
      <c r="P281" s="252"/>
      <c r="Q281" s="252"/>
      <c r="R281" s="253"/>
      <c r="S281" s="252"/>
      <c r="T281" s="234"/>
      <c r="U281" s="179"/>
      <c r="V281" s="5"/>
    </row>
    <row r="282" spans="1:22" ht="15.6" x14ac:dyDescent="0.3">
      <c r="A282" s="254"/>
      <c r="B282" s="220" t="s">
        <v>97</v>
      </c>
      <c r="C282" s="234"/>
      <c r="D282" s="234"/>
      <c r="E282" s="234"/>
      <c r="F282" s="225" t="s">
        <v>103</v>
      </c>
      <c r="G282" s="234"/>
      <c r="H282" s="220" t="s">
        <v>105</v>
      </c>
      <c r="I282" s="255"/>
      <c r="J282" s="255"/>
      <c r="K282" s="255"/>
      <c r="L282" s="255"/>
      <c r="M282" s="255"/>
      <c r="N282" s="255"/>
      <c r="O282" s="255"/>
      <c r="P282" s="255"/>
      <c r="Q282" s="255"/>
      <c r="R282" s="255"/>
      <c r="S282" s="255"/>
      <c r="T282" s="255"/>
      <c r="U282" s="192"/>
      <c r="V282" s="5"/>
    </row>
    <row r="283" spans="1:22" ht="15.6" x14ac:dyDescent="0.3">
      <c r="A283" s="254"/>
      <c r="B283" s="255"/>
      <c r="C283" s="234"/>
      <c r="D283" s="234"/>
      <c r="E283" s="234"/>
      <c r="F283" s="234"/>
      <c r="G283" s="234"/>
      <c r="H283" s="234"/>
      <c r="I283" s="255"/>
      <c r="J283" s="255"/>
      <c r="K283" s="255"/>
      <c r="L283" s="255"/>
      <c r="M283" s="255"/>
      <c r="N283" s="255"/>
      <c r="O283" s="255"/>
      <c r="P283" s="255"/>
      <c r="Q283" s="255"/>
      <c r="R283" s="255"/>
      <c r="S283" s="255"/>
      <c r="T283" s="255"/>
      <c r="U283" s="192"/>
      <c r="V283" s="5"/>
    </row>
    <row r="284" spans="1:22" ht="15.6" x14ac:dyDescent="0.3">
      <c r="A284" s="254"/>
      <c r="B284" s="220" t="s">
        <v>98</v>
      </c>
      <c r="C284" s="220"/>
      <c r="D284" s="220"/>
      <c r="E284" s="220"/>
      <c r="F284" s="256" t="s">
        <v>159</v>
      </c>
      <c r="G284" s="220"/>
      <c r="H284" s="220" t="s">
        <v>167</v>
      </c>
      <c r="I284" s="255"/>
      <c r="J284" s="255"/>
      <c r="K284" s="255"/>
      <c r="L284" s="255"/>
      <c r="M284" s="255"/>
      <c r="N284" s="255"/>
      <c r="O284" s="255"/>
      <c r="P284" s="255"/>
      <c r="Q284" s="255"/>
      <c r="R284" s="255"/>
      <c r="S284" s="255"/>
      <c r="T284" s="255"/>
      <c r="U284" s="192"/>
      <c r="V284" s="5"/>
    </row>
    <row r="285" spans="1:22" ht="15.6" x14ac:dyDescent="0.3">
      <c r="A285" s="254"/>
      <c r="B285" s="220" t="s">
        <v>273</v>
      </c>
      <c r="C285" s="220"/>
      <c r="D285" s="220"/>
      <c r="E285" s="220"/>
      <c r="F285" s="256" t="s">
        <v>274</v>
      </c>
      <c r="G285" s="220"/>
      <c r="H285" s="220" t="s">
        <v>275</v>
      </c>
      <c r="I285" s="255"/>
      <c r="J285" s="255"/>
      <c r="K285" s="255"/>
      <c r="L285" s="255"/>
      <c r="M285" s="255"/>
      <c r="N285" s="255"/>
      <c r="O285" s="255"/>
      <c r="P285" s="255"/>
      <c r="Q285" s="255"/>
      <c r="R285" s="255"/>
      <c r="S285" s="255"/>
      <c r="T285" s="255"/>
      <c r="U285" s="192"/>
      <c r="V285" s="5"/>
    </row>
    <row r="286" spans="1:22" ht="15.6" x14ac:dyDescent="0.3">
      <c r="A286" s="254"/>
      <c r="B286" s="220" t="s">
        <v>99</v>
      </c>
      <c r="C286" s="220"/>
      <c r="D286" s="220"/>
      <c r="E286" s="220"/>
      <c r="F286" s="256" t="s">
        <v>158</v>
      </c>
      <c r="G286" s="220"/>
      <c r="H286" s="220" t="s">
        <v>168</v>
      </c>
      <c r="I286" s="255"/>
      <c r="J286" s="255"/>
      <c r="K286" s="255"/>
      <c r="L286" s="255"/>
      <c r="M286" s="255"/>
      <c r="N286" s="255"/>
      <c r="O286" s="255"/>
      <c r="P286" s="255"/>
      <c r="Q286" s="255"/>
      <c r="R286" s="255"/>
      <c r="S286" s="255"/>
      <c r="T286" s="255"/>
      <c r="U286" s="192"/>
      <c r="V286" s="5"/>
    </row>
    <row r="287" spans="1:22" ht="15.6" x14ac:dyDescent="0.3">
      <c r="A287" s="254"/>
      <c r="B287" s="220"/>
      <c r="C287" s="220"/>
      <c r="D287" s="220"/>
      <c r="E287" s="220"/>
      <c r="F287" s="220"/>
      <c r="G287" s="257"/>
      <c r="H287" s="255"/>
      <c r="I287" s="255"/>
      <c r="J287" s="255"/>
      <c r="K287" s="255"/>
      <c r="L287" s="255"/>
      <c r="M287" s="255"/>
      <c r="N287" s="255"/>
      <c r="O287" s="255"/>
      <c r="P287" s="255"/>
      <c r="Q287" s="255"/>
      <c r="R287" s="255"/>
      <c r="S287" s="255"/>
      <c r="T287" s="255"/>
      <c r="U287" s="192"/>
      <c r="V287" s="5"/>
    </row>
    <row r="288" spans="1:22" ht="15.6" x14ac:dyDescent="0.3">
      <c r="A288" s="216"/>
      <c r="B288" s="185"/>
      <c r="C288" s="185"/>
      <c r="D288" s="185"/>
      <c r="E288" s="185"/>
      <c r="F288" s="185"/>
      <c r="G288" s="217"/>
      <c r="H288" s="192"/>
      <c r="I288" s="192"/>
      <c r="J288" s="192"/>
      <c r="K288" s="192"/>
      <c r="L288" s="192"/>
      <c r="M288" s="192"/>
      <c r="N288" s="192"/>
      <c r="O288" s="192"/>
      <c r="P288" s="192"/>
      <c r="Q288" s="192"/>
      <c r="R288" s="192"/>
      <c r="S288" s="192"/>
      <c r="T288" s="192"/>
      <c r="U288" s="192"/>
      <c r="V288" s="5"/>
    </row>
    <row r="289" spans="1:22" ht="18" thickBot="1" x14ac:dyDescent="0.35">
      <c r="A289" s="216"/>
      <c r="B289" s="267" t="str">
        <f>B194</f>
        <v>PM9 INVESTOR REPORT QUARTER ENDING OCTOBER 2012</v>
      </c>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x14ac:dyDescent="0.25">
      <c r="A290" s="101"/>
      <c r="B290" s="101"/>
      <c r="C290" s="101"/>
      <c r="D290" s="101"/>
      <c r="E290" s="101"/>
      <c r="F290" s="101"/>
      <c r="G290" s="101"/>
      <c r="H290" s="101"/>
      <c r="I290" s="101"/>
      <c r="J290" s="101"/>
      <c r="K290" s="101"/>
      <c r="L290" s="101"/>
      <c r="M290" s="101"/>
      <c r="N290" s="101"/>
      <c r="O290" s="101"/>
      <c r="P290" s="101"/>
      <c r="Q290" s="101"/>
      <c r="R290" s="101"/>
      <c r="S290" s="101"/>
      <c r="T290" s="101"/>
      <c r="U290" s="101"/>
    </row>
  </sheetData>
  <hyperlinks>
    <hyperlink ref="J9" r:id="rId1" xr:uid="{00000000-0004-0000-1C00-000000000000}"/>
    <hyperlink ref="N229" r:id="rId2" xr:uid="{00000000-0004-0000-1C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1" man="1"/>
    <brk id="133" max="14" man="1"/>
    <brk id="194" max="14"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9CB31"/>
  </sheetPr>
  <dimension ref="A1:W275"/>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0.58599999999999997</v>
      </c>
      <c r="R16" s="17" t="s">
        <v>149</v>
      </c>
      <c r="S16" s="140">
        <v>0.41399999999999998</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38855</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326837.48200000002</v>
      </c>
      <c r="E30" s="32"/>
      <c r="F30" s="125">
        <f>F29*F36</f>
        <v>335339.03500000003</v>
      </c>
      <c r="G30" s="31"/>
      <c r="H30" s="150">
        <f>H29*H36</f>
        <v>56677.020000000004</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317526.27600000001</v>
      </c>
      <c r="E31" s="36"/>
      <c r="F31" s="126">
        <f>F35*F29</f>
        <v>325785.63</v>
      </c>
      <c r="G31" s="35"/>
      <c r="H31" s="155">
        <f>H35*H29</f>
        <v>55062.36</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326837.48200000002</v>
      </c>
      <c r="E33" s="32"/>
      <c r="F33" s="31">
        <f>F32*F36</f>
        <v>230958.85650000002</v>
      </c>
      <c r="G33" s="31"/>
      <c r="H33" s="31">
        <f>H32*H36</f>
        <v>32022.516300000003</v>
      </c>
      <c r="I33" s="31"/>
      <c r="J33" s="31">
        <f>J32*J36</f>
        <v>7000</v>
      </c>
      <c r="K33" s="31"/>
      <c r="L33" s="31">
        <f>L32*L36</f>
        <v>20300</v>
      </c>
      <c r="M33" s="31"/>
      <c r="N33" s="31">
        <f>N32*N36</f>
        <v>3000</v>
      </c>
      <c r="O33" s="31"/>
      <c r="P33" s="31">
        <f>P32*P36</f>
        <v>45300</v>
      </c>
      <c r="Q33" s="31"/>
      <c r="R33" s="31"/>
      <c r="S33" s="161"/>
      <c r="T33" s="31">
        <f>SUM(C33:P33)</f>
        <v>665418.85480000009</v>
      </c>
      <c r="U33" s="34"/>
      <c r="V33" s="5"/>
    </row>
    <row r="34" spans="1:22" ht="15.6" x14ac:dyDescent="0.3">
      <c r="A34" s="28"/>
      <c r="B34" s="29" t="s">
        <v>291</v>
      </c>
      <c r="C34" s="36"/>
      <c r="D34" s="35">
        <f>D35*D32</f>
        <v>317526.27600000001</v>
      </c>
      <c r="E34" s="36"/>
      <c r="F34" s="35">
        <f>F35*F32</f>
        <v>224379.117</v>
      </c>
      <c r="G34" s="35"/>
      <c r="H34" s="35">
        <f>H35*H32</f>
        <v>31110.233400000001</v>
      </c>
      <c r="I34" s="35"/>
      <c r="J34" s="35">
        <f>J35*J32</f>
        <v>7000</v>
      </c>
      <c r="K34" s="35"/>
      <c r="L34" s="35">
        <f>L35*L32</f>
        <v>20300</v>
      </c>
      <c r="M34" s="35"/>
      <c r="N34" s="35">
        <f>N35*N32</f>
        <v>3000</v>
      </c>
      <c r="O34" s="35"/>
      <c r="P34" s="35">
        <f>P35*P32</f>
        <v>45300</v>
      </c>
      <c r="Q34" s="35"/>
      <c r="R34" s="35"/>
      <c r="S34" s="37"/>
      <c r="T34" s="35">
        <f>SUM(C34:P34)</f>
        <v>648615.62640000007</v>
      </c>
      <c r="U34" s="34"/>
      <c r="V34" s="5"/>
    </row>
    <row r="35" spans="1:22" ht="15.6" x14ac:dyDescent="0.3">
      <c r="A35" s="28"/>
      <c r="B35" s="123" t="s">
        <v>139</v>
      </c>
      <c r="C35" s="127"/>
      <c r="D35" s="138">
        <v>0.91770600000000002</v>
      </c>
      <c r="E35" s="139"/>
      <c r="F35" s="138">
        <v>0.91770600000000002</v>
      </c>
      <c r="G35" s="138"/>
      <c r="H35" s="138">
        <v>0.91770600000000002</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38">
        <v>0.94461700000000004</v>
      </c>
      <c r="E36" s="139"/>
      <c r="F36" s="138">
        <v>0.94461700000000004</v>
      </c>
      <c r="G36" s="138"/>
      <c r="H36" s="138">
        <v>0.94461700000000004</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4.7543799999999997E-2</v>
      </c>
      <c r="E38" s="25"/>
      <c r="F38" s="38">
        <v>2.7740000000000001E-2</v>
      </c>
      <c r="G38" s="39"/>
      <c r="H38" s="38">
        <v>4.9287499999999998E-2</v>
      </c>
      <c r="I38" s="39"/>
      <c r="J38" s="38">
        <v>4.8643800000000001E-2</v>
      </c>
      <c r="K38" s="39"/>
      <c r="L38" s="38">
        <v>2.8840000000000001E-2</v>
      </c>
      <c r="M38" s="39"/>
      <c r="N38" s="38">
        <v>5.0943799999999997E-2</v>
      </c>
      <c r="O38" s="39"/>
      <c r="P38" s="38">
        <v>3.1140000000000001E-2</v>
      </c>
      <c r="Q38" s="39"/>
      <c r="R38" s="38"/>
      <c r="S38" s="160"/>
      <c r="T38" s="39"/>
      <c r="U38" s="25"/>
      <c r="V38" s="5"/>
    </row>
    <row r="39" spans="1:22" ht="15.6" x14ac:dyDescent="0.3">
      <c r="A39" s="24"/>
      <c r="B39" s="25" t="s">
        <v>14</v>
      </c>
      <c r="C39" s="25"/>
      <c r="D39" s="38">
        <v>4.8062500000000001E-2</v>
      </c>
      <c r="E39" s="25"/>
      <c r="F39" s="38">
        <v>2.5010000000000001E-2</v>
      </c>
      <c r="G39" s="39"/>
      <c r="H39" s="38">
        <v>4.5199999999999997E-2</v>
      </c>
      <c r="I39" s="39"/>
      <c r="J39" s="38">
        <v>4.9162499999999998E-2</v>
      </c>
      <c r="K39" s="39"/>
      <c r="L39" s="38">
        <v>2.6110000000000001E-2</v>
      </c>
      <c r="M39" s="39"/>
      <c r="N39" s="38">
        <v>5.1462500000000001E-2</v>
      </c>
      <c r="O39" s="39"/>
      <c r="P39" s="38">
        <v>2.8410000000000001E-2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4.7543799999999997E-2</v>
      </c>
      <c r="E41" s="25"/>
      <c r="F41" s="38">
        <v>4.76438E-2</v>
      </c>
      <c r="G41" s="39"/>
      <c r="H41" s="38">
        <v>4.7773799999999998E-2</v>
      </c>
      <c r="I41" s="39"/>
      <c r="J41" s="38">
        <f>+J38</f>
        <v>4.8643800000000001E-2</v>
      </c>
      <c r="K41" s="39"/>
      <c r="L41" s="38">
        <v>4.8938799999999998E-2</v>
      </c>
      <c r="M41" s="39"/>
      <c r="N41" s="38">
        <f>+N38</f>
        <v>5.0943799999999997E-2</v>
      </c>
      <c r="O41" s="39"/>
      <c r="P41" s="38">
        <v>5.13838E-2</v>
      </c>
      <c r="Q41" s="39"/>
      <c r="R41" s="38"/>
      <c r="S41" s="160"/>
      <c r="T41" s="39">
        <f>SUMPRODUCT(D41:P41,D33:P33)/T33</f>
        <v>4.7920452333475479E-2</v>
      </c>
      <c r="U41" s="25"/>
      <c r="V41" s="5"/>
    </row>
    <row r="42" spans="1:22" ht="15.6" x14ac:dyDescent="0.3">
      <c r="A42" s="24"/>
      <c r="B42" s="25" t="s">
        <v>294</v>
      </c>
      <c r="C42" s="25"/>
      <c r="D42" s="38">
        <f>+D39</f>
        <v>4.8062500000000001E-2</v>
      </c>
      <c r="E42" s="25"/>
      <c r="F42" s="38">
        <v>4.8162499999999997E-2</v>
      </c>
      <c r="G42" s="39"/>
      <c r="H42" s="38">
        <v>4.8292500000000002E-2</v>
      </c>
      <c r="I42" s="39"/>
      <c r="J42" s="38">
        <f>+J39</f>
        <v>4.9162499999999998E-2</v>
      </c>
      <c r="K42" s="39"/>
      <c r="L42" s="38">
        <v>4.9457500000000001E-2</v>
      </c>
      <c r="M42" s="39"/>
      <c r="N42" s="38">
        <f>+N39</f>
        <v>5.1462500000000001E-2</v>
      </c>
      <c r="O42" s="39"/>
      <c r="P42" s="38">
        <v>5.1902499999999997E-2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0.13193357478741174</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38852</v>
      </c>
      <c r="U53" s="25"/>
      <c r="V53" s="5"/>
    </row>
    <row r="54" spans="1:23" ht="15.6" x14ac:dyDescent="0.3">
      <c r="A54" s="24"/>
      <c r="B54" s="25" t="s">
        <v>130</v>
      </c>
      <c r="C54" s="25"/>
      <c r="D54" s="25"/>
      <c r="E54" s="25"/>
      <c r="F54" s="25"/>
      <c r="G54" s="25"/>
      <c r="H54" s="58"/>
      <c r="I54" s="58"/>
      <c r="J54" s="58"/>
      <c r="K54" s="58"/>
      <c r="L54" s="58"/>
      <c r="M54" s="58"/>
      <c r="N54" s="58"/>
      <c r="O54" s="58"/>
      <c r="P54" s="25">
        <f>+T54-R54+1</f>
        <v>92</v>
      </c>
      <c r="Q54" s="25"/>
      <c r="R54" s="45">
        <v>38671</v>
      </c>
      <c r="S54" s="46"/>
      <c r="T54" s="45">
        <v>38762</v>
      </c>
      <c r="U54" s="25"/>
      <c r="V54" s="5"/>
    </row>
    <row r="55" spans="1:23" ht="15.6" x14ac:dyDescent="0.3">
      <c r="A55" s="24"/>
      <c r="B55" s="25" t="s">
        <v>131</v>
      </c>
      <c r="C55" s="25"/>
      <c r="D55" s="25"/>
      <c r="E55" s="25"/>
      <c r="F55" s="25"/>
      <c r="G55" s="25"/>
      <c r="H55" s="25"/>
      <c r="I55" s="25"/>
      <c r="J55" s="25"/>
      <c r="K55" s="25"/>
      <c r="L55" s="25"/>
      <c r="M55" s="25"/>
      <c r="N55" s="25"/>
      <c r="O55" s="25"/>
      <c r="P55" s="25">
        <f>+T55-R55+1</f>
        <v>89</v>
      </c>
      <c r="Q55" s="25"/>
      <c r="R55" s="45">
        <v>38763</v>
      </c>
      <c r="S55" s="46"/>
      <c r="T55" s="45">
        <v>38851</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38839</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261</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665419</v>
      </c>
      <c r="M66" s="34"/>
      <c r="N66" s="34">
        <f>16803+4105+646</f>
        <v>21554</v>
      </c>
      <c r="O66" s="34"/>
      <c r="P66" s="34">
        <f>4105+646</f>
        <v>4751</v>
      </c>
      <c r="Q66" s="34"/>
      <c r="R66" s="34">
        <v>0</v>
      </c>
      <c r="S66" s="34"/>
      <c r="T66" s="53">
        <f>+L66-N66+P66-R66</f>
        <v>648616</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665419</v>
      </c>
      <c r="M69" s="34"/>
      <c r="N69" s="34">
        <f>SUM(N66:N68)</f>
        <v>21554</v>
      </c>
      <c r="O69" s="34"/>
      <c r="P69" s="34">
        <f>SUM(P66:P68)</f>
        <v>4751</v>
      </c>
      <c r="Q69" s="34"/>
      <c r="R69" s="34">
        <f>SUM(R66:R68)</f>
        <v>0</v>
      </c>
      <c r="S69" s="34"/>
      <c r="T69" s="54">
        <f>SUM(T66:T68)</f>
        <v>648616</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3"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3" ht="15.6" x14ac:dyDescent="0.3">
      <c r="A82" s="24"/>
      <c r="B82" s="25" t="s">
        <v>27</v>
      </c>
      <c r="C82" s="34"/>
      <c r="D82" s="34"/>
      <c r="E82" s="34"/>
      <c r="F82" s="54"/>
      <c r="G82" s="34"/>
      <c r="H82" s="54"/>
      <c r="I82" s="54"/>
      <c r="J82" s="54">
        <f>SUM(J69:J81)</f>
        <v>700000</v>
      </c>
      <c r="K82" s="34"/>
      <c r="L82" s="54">
        <f>SUM(L69:L81)</f>
        <v>665419</v>
      </c>
      <c r="M82" s="34"/>
      <c r="N82" s="34"/>
      <c r="O82" s="34"/>
      <c r="P82" s="34"/>
      <c r="Q82" s="34"/>
      <c r="R82" s="54"/>
      <c r="S82" s="34"/>
      <c r="T82" s="54">
        <f>SUM(T69:T81)</f>
        <v>648616</v>
      </c>
      <c r="U82" s="25"/>
      <c r="V82" s="5"/>
    </row>
    <row r="83" spans="1:23"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3" ht="15.6" x14ac:dyDescent="0.3">
      <c r="A84" s="6"/>
      <c r="B84" s="8"/>
      <c r="C84" s="8"/>
      <c r="D84" s="8"/>
      <c r="E84" s="8"/>
      <c r="F84" s="8"/>
      <c r="G84" s="8"/>
      <c r="H84" s="8"/>
      <c r="I84" s="8"/>
      <c r="J84" s="8"/>
      <c r="K84" s="8"/>
      <c r="L84" s="8"/>
      <c r="M84" s="8"/>
      <c r="N84" s="8"/>
      <c r="O84" s="8"/>
      <c r="P84" s="8"/>
      <c r="Q84" s="8"/>
      <c r="R84" s="8"/>
      <c r="S84" s="8"/>
      <c r="T84" s="8"/>
      <c r="U84" s="8"/>
      <c r="V84" s="5"/>
    </row>
    <row r="85" spans="1:23" ht="15.6" x14ac:dyDescent="0.3">
      <c r="A85" s="6"/>
      <c r="B85" s="51" t="s">
        <v>28</v>
      </c>
      <c r="C85" s="14"/>
      <c r="D85" s="14"/>
      <c r="E85" s="14"/>
      <c r="F85" s="14"/>
      <c r="G85" s="14"/>
      <c r="H85" s="17"/>
      <c r="I85" s="17"/>
      <c r="J85" s="158" t="s">
        <v>101</v>
      </c>
      <c r="K85" s="17"/>
      <c r="L85" s="157">
        <f>+R193</f>
        <v>38837</v>
      </c>
      <c r="M85" s="17"/>
      <c r="N85" s="17"/>
      <c r="O85" s="17"/>
      <c r="P85" s="17"/>
      <c r="Q85" s="17"/>
      <c r="R85" s="17" t="s">
        <v>114</v>
      </c>
      <c r="S85" s="17"/>
      <c r="T85" s="17" t="s">
        <v>122</v>
      </c>
      <c r="U85" s="8"/>
      <c r="V85" s="5"/>
    </row>
    <row r="86" spans="1:23"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3" ht="15.6" x14ac:dyDescent="0.3">
      <c r="A87" s="24"/>
      <c r="B87" s="25" t="s">
        <v>30</v>
      </c>
      <c r="C87" s="25"/>
      <c r="D87" s="25"/>
      <c r="E87" s="25"/>
      <c r="F87" s="25"/>
      <c r="G87" s="25"/>
      <c r="H87" s="40"/>
      <c r="I87" s="57"/>
      <c r="J87" s="40"/>
      <c r="K87" s="25"/>
      <c r="L87" s="128"/>
      <c r="M87" s="25"/>
      <c r="N87" s="25"/>
      <c r="O87" s="25"/>
      <c r="P87" s="25"/>
      <c r="Q87" s="25"/>
      <c r="R87" s="34">
        <v>21554</v>
      </c>
      <c r="S87" s="25"/>
      <c r="T87" s="53"/>
      <c r="U87" s="25"/>
      <c r="V87" s="5"/>
    </row>
    <row r="88" spans="1:23" ht="15.6" x14ac:dyDescent="0.3">
      <c r="A88" s="24"/>
      <c r="B88" s="25" t="s">
        <v>254</v>
      </c>
      <c r="C88" s="25"/>
      <c r="D88" s="25"/>
      <c r="E88" s="25"/>
      <c r="F88" s="25"/>
      <c r="G88" s="25"/>
      <c r="H88" s="40"/>
      <c r="I88" s="57"/>
      <c r="J88" s="40"/>
      <c r="K88" s="25"/>
      <c r="L88" s="128"/>
      <c r="M88" s="25"/>
      <c r="N88" s="25"/>
      <c r="O88" s="25"/>
      <c r="P88" s="25"/>
      <c r="Q88" s="25"/>
      <c r="R88" s="34"/>
      <c r="S88" s="25"/>
      <c r="T88" s="53">
        <f>6398+3892-757-339</f>
        <v>9194</v>
      </c>
      <c r="U88" s="25"/>
      <c r="V88" s="5"/>
    </row>
    <row r="89" spans="1:23" ht="15.6" x14ac:dyDescent="0.3">
      <c r="A89" s="24"/>
      <c r="B89" s="25" t="s">
        <v>255</v>
      </c>
      <c r="C89" s="25"/>
      <c r="D89" s="25"/>
      <c r="E89" s="25"/>
      <c r="F89" s="25"/>
      <c r="G89" s="25"/>
      <c r="H89" s="40"/>
      <c r="I89" s="57"/>
      <c r="J89" s="40"/>
      <c r="K89" s="25"/>
      <c r="L89" s="128"/>
      <c r="M89" s="25"/>
      <c r="N89" s="25"/>
      <c r="O89" s="25"/>
      <c r="P89" s="25"/>
      <c r="Q89" s="25"/>
      <c r="R89" s="34"/>
      <c r="S89" s="25"/>
      <c r="T89" s="53">
        <f>189+96</f>
        <v>285</v>
      </c>
      <c r="U89" s="25"/>
      <c r="V89" s="5"/>
    </row>
    <row r="90" spans="1:23" ht="15.6" x14ac:dyDescent="0.3">
      <c r="A90" s="24"/>
      <c r="B90" s="25" t="s">
        <v>256</v>
      </c>
      <c r="C90" s="25"/>
      <c r="D90" s="25"/>
      <c r="E90" s="25"/>
      <c r="F90" s="25"/>
      <c r="G90" s="25"/>
      <c r="H90" s="40"/>
      <c r="I90" s="57"/>
      <c r="J90" s="40"/>
      <c r="K90" s="25"/>
      <c r="L90" s="128"/>
      <c r="M90" s="25"/>
      <c r="N90" s="25"/>
      <c r="O90" s="25"/>
      <c r="P90" s="25"/>
      <c r="Q90" s="25"/>
      <c r="R90" s="34"/>
      <c r="S90" s="25"/>
      <c r="T90" s="53">
        <v>341</v>
      </c>
      <c r="U90" s="25"/>
      <c r="V90" s="5"/>
    </row>
    <row r="91" spans="1:23" ht="15.6" x14ac:dyDescent="0.3">
      <c r="A91" s="24"/>
      <c r="B91" s="25" t="s">
        <v>144</v>
      </c>
      <c r="C91" s="25"/>
      <c r="D91" s="25"/>
      <c r="E91" s="25"/>
      <c r="F91" s="25"/>
      <c r="G91" s="25"/>
      <c r="H91" s="25"/>
      <c r="I91" s="25"/>
      <c r="J91" s="25"/>
      <c r="K91" s="25"/>
      <c r="L91" s="25"/>
      <c r="M91" s="25"/>
      <c r="N91" s="25"/>
      <c r="O91" s="25"/>
      <c r="P91" s="25"/>
      <c r="Q91" s="25"/>
      <c r="R91" s="34"/>
      <c r="S91" s="25"/>
      <c r="T91" s="53">
        <v>0</v>
      </c>
      <c r="U91" s="25"/>
      <c r="V91" s="5"/>
    </row>
    <row r="92" spans="1:23" ht="15.6" x14ac:dyDescent="0.3">
      <c r="A92" s="24"/>
      <c r="B92" s="25" t="s">
        <v>233</v>
      </c>
      <c r="C92" s="25"/>
      <c r="D92" s="25"/>
      <c r="E92" s="25"/>
      <c r="F92" s="25"/>
      <c r="G92" s="25"/>
      <c r="H92" s="25"/>
      <c r="I92" s="25"/>
      <c r="J92" s="25"/>
      <c r="K92" s="25"/>
      <c r="L92" s="25"/>
      <c r="M92" s="25"/>
      <c r="N92" s="25"/>
      <c r="O92" s="25"/>
      <c r="P92" s="25"/>
      <c r="Q92" s="25"/>
      <c r="R92" s="34"/>
      <c r="S92" s="25"/>
      <c r="T92" s="53">
        <v>293</v>
      </c>
      <c r="U92" s="25"/>
      <c r="V92" s="5"/>
    </row>
    <row r="93" spans="1:23" ht="15.6" x14ac:dyDescent="0.3">
      <c r="A93" s="24"/>
      <c r="B93" s="25" t="s">
        <v>32</v>
      </c>
      <c r="C93" s="25"/>
      <c r="D93" s="25"/>
      <c r="E93" s="25"/>
      <c r="F93" s="25"/>
      <c r="G93" s="25"/>
      <c r="H93" s="25"/>
      <c r="I93" s="25"/>
      <c r="J93" s="25"/>
      <c r="K93" s="25"/>
      <c r="L93" s="25"/>
      <c r="M93" s="25"/>
      <c r="N93" s="25"/>
      <c r="O93" s="25"/>
      <c r="P93" s="25"/>
      <c r="Q93" s="25"/>
      <c r="R93" s="34">
        <f>SUM(R86:R92)</f>
        <v>21554</v>
      </c>
      <c r="S93" s="25"/>
      <c r="T93" s="54">
        <f>SUM(T86:T92)</f>
        <v>10113</v>
      </c>
      <c r="U93" s="25"/>
      <c r="V93" s="5"/>
    </row>
    <row r="94" spans="1:23" ht="15.6" x14ac:dyDescent="0.3">
      <c r="A94" s="24"/>
      <c r="B94" s="25" t="s">
        <v>176</v>
      </c>
      <c r="C94" s="25"/>
      <c r="D94" s="25"/>
      <c r="E94" s="25"/>
      <c r="F94" s="25"/>
      <c r="G94" s="25"/>
      <c r="H94" s="25"/>
      <c r="I94" s="25"/>
      <c r="J94" s="25"/>
      <c r="K94" s="25"/>
      <c r="L94" s="25"/>
      <c r="M94" s="25"/>
      <c r="N94" s="25"/>
      <c r="O94" s="25"/>
      <c r="P94" s="25"/>
      <c r="Q94" s="25"/>
      <c r="R94" s="34">
        <v>-63</v>
      </c>
      <c r="S94" s="25"/>
      <c r="T94" s="54">
        <f>-R94</f>
        <v>63</v>
      </c>
      <c r="U94" s="25"/>
      <c r="V94" s="5"/>
    </row>
    <row r="95" spans="1:23" ht="15.6" x14ac:dyDescent="0.3">
      <c r="A95" s="24"/>
      <c r="B95" s="25" t="s">
        <v>33</v>
      </c>
      <c r="C95" s="25"/>
      <c r="D95" s="25"/>
      <c r="E95" s="25"/>
      <c r="F95" s="25"/>
      <c r="G95" s="25"/>
      <c r="H95" s="25"/>
      <c r="I95" s="25"/>
      <c r="J95" s="25"/>
      <c r="K95" s="25"/>
      <c r="L95" s="25"/>
      <c r="M95" s="25"/>
      <c r="N95" s="25"/>
      <c r="O95" s="25"/>
      <c r="P95" s="25"/>
      <c r="Q95" s="25"/>
      <c r="R95" s="34">
        <f>-T95</f>
        <v>0</v>
      </c>
      <c r="S95" s="25"/>
      <c r="T95" s="53">
        <v>0</v>
      </c>
      <c r="U95" s="25"/>
      <c r="V95" s="5"/>
    </row>
    <row r="96" spans="1:23" ht="15.6" x14ac:dyDescent="0.3">
      <c r="A96" s="24"/>
      <c r="B96" s="25" t="s">
        <v>34</v>
      </c>
      <c r="C96" s="25"/>
      <c r="D96" s="25"/>
      <c r="E96" s="25"/>
      <c r="F96" s="25"/>
      <c r="G96" s="25"/>
      <c r="H96" s="25"/>
      <c r="I96" s="25"/>
      <c r="J96" s="25"/>
      <c r="K96" s="25"/>
      <c r="L96" s="25"/>
      <c r="M96" s="25"/>
      <c r="N96" s="25"/>
      <c r="O96" s="25"/>
      <c r="P96" s="25"/>
      <c r="Q96" s="25"/>
      <c r="R96" s="34">
        <f>R93+R95+R94</f>
        <v>21491</v>
      </c>
      <c r="S96" s="25"/>
      <c r="T96" s="54">
        <f>T93+T95+T94</f>
        <v>10176</v>
      </c>
      <c r="U96" s="25"/>
      <c r="V96" s="5"/>
      <c r="W96" s="166"/>
    </row>
    <row r="97" spans="1:23" ht="15.6" x14ac:dyDescent="0.3">
      <c r="A97" s="24"/>
      <c r="B97" s="119" t="s">
        <v>35</v>
      </c>
      <c r="C97" s="25"/>
      <c r="D97" s="25"/>
      <c r="E97" s="25"/>
      <c r="F97" s="25"/>
      <c r="G97" s="25"/>
      <c r="H97" s="25"/>
      <c r="I97" s="25"/>
      <c r="J97" s="25"/>
      <c r="K97" s="25"/>
      <c r="L97" s="25"/>
      <c r="M97" s="25"/>
      <c r="N97" s="25"/>
      <c r="O97" s="25"/>
      <c r="P97" s="25"/>
      <c r="Q97" s="25"/>
      <c r="R97" s="34"/>
      <c r="S97" s="25"/>
      <c r="T97" s="53"/>
      <c r="U97" s="25"/>
      <c r="V97" s="5"/>
    </row>
    <row r="98" spans="1:23" ht="15.6" x14ac:dyDescent="0.3">
      <c r="A98" s="24">
        <v>1</v>
      </c>
      <c r="B98" s="25" t="s">
        <v>36</v>
      </c>
      <c r="C98" s="25"/>
      <c r="D98" s="25"/>
      <c r="E98" s="25"/>
      <c r="F98" s="25"/>
      <c r="G98" s="25"/>
      <c r="H98" s="25"/>
      <c r="I98" s="25"/>
      <c r="J98" s="25"/>
      <c r="K98" s="25"/>
      <c r="L98" s="25"/>
      <c r="M98" s="25"/>
      <c r="N98" s="25"/>
      <c r="O98" s="25"/>
      <c r="P98" s="25"/>
      <c r="Q98" s="25"/>
      <c r="R98" s="25"/>
      <c r="S98" s="25"/>
      <c r="T98" s="53">
        <v>0</v>
      </c>
      <c r="U98" s="25"/>
      <c r="V98" s="5"/>
    </row>
    <row r="99" spans="1:23" ht="15.6" x14ac:dyDescent="0.3">
      <c r="A99" s="24">
        <f>+A98+1</f>
        <v>2</v>
      </c>
      <c r="B99" s="25" t="s">
        <v>37</v>
      </c>
      <c r="C99" s="25"/>
      <c r="D99" s="25"/>
      <c r="E99" s="25"/>
      <c r="F99" s="25"/>
      <c r="G99" s="25"/>
      <c r="H99" s="25"/>
      <c r="I99" s="25"/>
      <c r="J99" s="25"/>
      <c r="K99" s="25"/>
      <c r="L99" s="25"/>
      <c r="M99" s="25"/>
      <c r="N99" s="25"/>
      <c r="O99" s="25"/>
      <c r="P99" s="25"/>
      <c r="Q99" s="25"/>
      <c r="R99" s="25"/>
      <c r="S99" s="25"/>
      <c r="T99" s="53">
        <v>-2</v>
      </c>
      <c r="U99" s="25"/>
      <c r="V99" s="5"/>
    </row>
    <row r="100" spans="1:23" ht="15.6" x14ac:dyDescent="0.3">
      <c r="A100" s="24">
        <f>+A99+1</f>
        <v>3</v>
      </c>
      <c r="B100" s="25" t="s">
        <v>160</v>
      </c>
      <c r="C100" s="25"/>
      <c r="D100" s="25"/>
      <c r="E100" s="25"/>
      <c r="F100" s="25"/>
      <c r="G100" s="25"/>
      <c r="H100" s="25"/>
      <c r="I100" s="25"/>
      <c r="J100" s="25"/>
      <c r="K100" s="25"/>
      <c r="L100" s="25"/>
      <c r="M100" s="25"/>
      <c r="N100" s="25"/>
      <c r="O100" s="25"/>
      <c r="P100" s="25"/>
      <c r="Q100" s="25"/>
      <c r="R100" s="25"/>
      <c r="S100" s="25"/>
      <c r="T100" s="53">
        <f>-244-15-12</f>
        <v>-271</v>
      </c>
      <c r="U100" s="25"/>
      <c r="V100" s="5"/>
    </row>
    <row r="101" spans="1:23" ht="15.6" x14ac:dyDescent="0.3">
      <c r="A101" s="24" t="s">
        <v>136</v>
      </c>
      <c r="B101" s="25" t="s">
        <v>125</v>
      </c>
      <c r="C101" s="25"/>
      <c r="D101" s="25"/>
      <c r="E101" s="25"/>
      <c r="F101" s="25"/>
      <c r="G101" s="25"/>
      <c r="H101" s="25"/>
      <c r="I101" s="25"/>
      <c r="J101" s="25"/>
      <c r="K101" s="25"/>
      <c r="L101" s="25"/>
      <c r="M101" s="25"/>
      <c r="N101" s="25"/>
      <c r="O101" s="25"/>
      <c r="P101" s="25"/>
      <c r="Q101" s="25"/>
      <c r="R101" s="25"/>
      <c r="S101" s="25"/>
      <c r="T101" s="53">
        <v>-92</v>
      </c>
      <c r="U101" s="25"/>
      <c r="V101" s="5"/>
    </row>
    <row r="102" spans="1:23" ht="15.6" x14ac:dyDescent="0.3">
      <c r="A102" s="24" t="s">
        <v>137</v>
      </c>
      <c r="B102" s="25" t="s">
        <v>267</v>
      </c>
      <c r="C102" s="25"/>
      <c r="D102" s="25"/>
      <c r="E102" s="25"/>
      <c r="F102" s="25"/>
      <c r="G102" s="25"/>
      <c r="H102" s="25"/>
      <c r="I102" s="25"/>
      <c r="J102" s="25"/>
      <c r="K102" s="25"/>
      <c r="L102" s="25"/>
      <c r="M102" s="25"/>
      <c r="N102" s="25"/>
      <c r="O102" s="25"/>
      <c r="P102" s="25"/>
      <c r="Q102" s="25"/>
      <c r="R102" s="25"/>
      <c r="S102" s="25"/>
      <c r="T102" s="53">
        <v>-2</v>
      </c>
      <c r="U102" s="25"/>
      <c r="V102" s="5"/>
    </row>
    <row r="103" spans="1:23" ht="15.6" x14ac:dyDescent="0.3">
      <c r="A103" s="24" t="s">
        <v>162</v>
      </c>
      <c r="B103" s="25" t="s">
        <v>218</v>
      </c>
      <c r="C103" s="25"/>
      <c r="D103" s="25"/>
      <c r="E103" s="25"/>
      <c r="F103" s="25"/>
      <c r="G103" s="25"/>
      <c r="H103" s="25"/>
      <c r="I103" s="25"/>
      <c r="J103" s="25"/>
      <c r="K103" s="25"/>
      <c r="L103" s="25"/>
      <c r="M103" s="25"/>
      <c r="N103" s="25"/>
      <c r="O103" s="25"/>
      <c r="P103" s="25"/>
      <c r="Q103" s="25"/>
      <c r="R103" s="25"/>
      <c r="S103" s="25"/>
      <c r="T103" s="53">
        <v>-3789</v>
      </c>
      <c r="U103" s="25"/>
      <c r="V103" s="5"/>
      <c r="W103" s="110"/>
    </row>
    <row r="104" spans="1:23" ht="15.6" x14ac:dyDescent="0.3">
      <c r="A104" s="24" t="s">
        <v>163</v>
      </c>
      <c r="B104" s="25" t="s">
        <v>219</v>
      </c>
      <c r="C104" s="25"/>
      <c r="D104" s="25"/>
      <c r="E104" s="25"/>
      <c r="F104" s="25"/>
      <c r="G104" s="25"/>
      <c r="H104" s="25"/>
      <c r="I104" s="25"/>
      <c r="J104" s="25"/>
      <c r="K104" s="25"/>
      <c r="L104" s="25"/>
      <c r="M104" s="25"/>
      <c r="N104" s="25"/>
      <c r="O104" s="25"/>
      <c r="P104" s="25"/>
      <c r="Q104" s="25"/>
      <c r="R104" s="25"/>
      <c r="S104" s="25"/>
      <c r="T104" s="53">
        <v>-2683</v>
      </c>
      <c r="U104" s="25"/>
      <c r="V104" s="5"/>
    </row>
    <row r="105" spans="1:23" ht="15.6" x14ac:dyDescent="0.3">
      <c r="A105" s="24" t="s">
        <v>252</v>
      </c>
      <c r="B105" s="25" t="s">
        <v>242</v>
      </c>
      <c r="C105" s="25"/>
      <c r="D105" s="25"/>
      <c r="E105" s="25"/>
      <c r="F105" s="25"/>
      <c r="G105" s="25"/>
      <c r="H105" s="25"/>
      <c r="I105" s="25"/>
      <c r="J105" s="25"/>
      <c r="K105" s="25"/>
      <c r="L105" s="25"/>
      <c r="M105" s="25"/>
      <c r="N105" s="25"/>
      <c r="O105" s="25"/>
      <c r="P105" s="25"/>
      <c r="Q105" s="25"/>
      <c r="R105" s="25"/>
      <c r="S105" s="25"/>
      <c r="T105" s="53">
        <v>-373</v>
      </c>
      <c r="U105" s="25"/>
      <c r="V105" s="5"/>
      <c r="W105" s="110"/>
    </row>
    <row r="106" spans="1:23" ht="15.6" x14ac:dyDescent="0.3">
      <c r="A106" s="24" t="s">
        <v>245</v>
      </c>
      <c r="B106" s="25" t="s">
        <v>220</v>
      </c>
      <c r="C106" s="25"/>
      <c r="D106" s="25"/>
      <c r="E106" s="25"/>
      <c r="F106" s="25"/>
      <c r="G106" s="25"/>
      <c r="H106" s="25"/>
      <c r="I106" s="25"/>
      <c r="J106" s="25"/>
      <c r="K106" s="25"/>
      <c r="L106" s="25"/>
      <c r="M106" s="25"/>
      <c r="N106" s="25"/>
      <c r="O106" s="25"/>
      <c r="P106" s="25"/>
      <c r="Q106" s="25"/>
      <c r="R106" s="25"/>
      <c r="S106" s="25"/>
      <c r="T106" s="53">
        <v>-83</v>
      </c>
      <c r="U106" s="25"/>
      <c r="V106" s="5"/>
      <c r="W106" s="110"/>
    </row>
    <row r="107" spans="1:23" ht="15.6" x14ac:dyDescent="0.3">
      <c r="A107" s="24" t="s">
        <v>246</v>
      </c>
      <c r="B107" s="25" t="s">
        <v>221</v>
      </c>
      <c r="C107" s="25"/>
      <c r="D107" s="25"/>
      <c r="E107" s="25"/>
      <c r="F107" s="25"/>
      <c r="G107" s="25"/>
      <c r="H107" s="25"/>
      <c r="I107" s="25"/>
      <c r="J107" s="25"/>
      <c r="K107" s="25"/>
      <c r="L107" s="25"/>
      <c r="M107" s="25"/>
      <c r="N107" s="25"/>
      <c r="O107" s="25"/>
      <c r="P107" s="25"/>
      <c r="Q107" s="25"/>
      <c r="R107" s="25"/>
      <c r="S107" s="25"/>
      <c r="T107" s="53">
        <v>-242</v>
      </c>
      <c r="U107" s="25"/>
      <c r="V107" s="5"/>
      <c r="W107" s="110"/>
    </row>
    <row r="108" spans="1:23" ht="15.6" x14ac:dyDescent="0.3">
      <c r="A108" s="24" t="s">
        <v>247</v>
      </c>
      <c r="B108" s="25" t="s">
        <v>222</v>
      </c>
      <c r="C108" s="25"/>
      <c r="D108" s="25"/>
      <c r="E108" s="25"/>
      <c r="F108" s="25"/>
      <c r="G108" s="25"/>
      <c r="H108" s="25"/>
      <c r="I108" s="25"/>
      <c r="J108" s="25"/>
      <c r="K108" s="25"/>
      <c r="L108" s="25"/>
      <c r="M108" s="25"/>
      <c r="N108" s="25"/>
      <c r="O108" s="25"/>
      <c r="P108" s="25"/>
      <c r="Q108" s="25"/>
      <c r="R108" s="25"/>
      <c r="S108" s="25"/>
      <c r="T108" s="53">
        <v>-37</v>
      </c>
      <c r="U108" s="25"/>
      <c r="V108" s="5"/>
      <c r="W108" s="110"/>
    </row>
    <row r="109" spans="1:23" ht="15.6" x14ac:dyDescent="0.3">
      <c r="A109" s="24" t="s">
        <v>248</v>
      </c>
      <c r="B109" s="25" t="s">
        <v>223</v>
      </c>
      <c r="C109" s="25"/>
      <c r="D109" s="25"/>
      <c r="E109" s="25"/>
      <c r="F109" s="25"/>
      <c r="G109" s="25"/>
      <c r="H109" s="25"/>
      <c r="I109" s="25"/>
      <c r="J109" s="25"/>
      <c r="K109" s="25"/>
      <c r="L109" s="25"/>
      <c r="M109" s="25"/>
      <c r="N109" s="25"/>
      <c r="O109" s="25"/>
      <c r="P109" s="25"/>
      <c r="Q109" s="25"/>
      <c r="R109" s="25"/>
      <c r="S109" s="25"/>
      <c r="T109" s="53">
        <v>-568</v>
      </c>
      <c r="U109" s="25"/>
      <c r="V109" s="5"/>
      <c r="W109" s="110"/>
    </row>
    <row r="110" spans="1:23" ht="15.6" x14ac:dyDescent="0.3">
      <c r="A110" s="24">
        <v>7</v>
      </c>
      <c r="B110" s="25" t="s">
        <v>38</v>
      </c>
      <c r="C110" s="25"/>
      <c r="D110" s="25"/>
      <c r="E110" s="25"/>
      <c r="F110" s="25"/>
      <c r="G110" s="25"/>
      <c r="H110" s="25"/>
      <c r="I110" s="25"/>
      <c r="J110" s="25"/>
      <c r="K110" s="25"/>
      <c r="L110" s="25"/>
      <c r="M110" s="25"/>
      <c r="N110" s="25"/>
      <c r="O110" s="25"/>
      <c r="P110" s="25"/>
      <c r="Q110" s="25"/>
      <c r="R110" s="25"/>
      <c r="S110" s="25"/>
      <c r="T110" s="53">
        <v>-8</v>
      </c>
      <c r="U110" s="25"/>
      <c r="V110" s="5"/>
    </row>
    <row r="111" spans="1:23" ht="15.6" x14ac:dyDescent="0.3">
      <c r="A111" s="24">
        <f t="shared" ref="A111:A116" si="0">+A110+1</f>
        <v>8</v>
      </c>
      <c r="B111" s="25" t="s">
        <v>49</v>
      </c>
      <c r="C111" s="25"/>
      <c r="D111" s="25"/>
      <c r="E111" s="25"/>
      <c r="F111" s="25"/>
      <c r="G111" s="25"/>
      <c r="H111" s="25"/>
      <c r="I111" s="25"/>
      <c r="J111" s="25"/>
      <c r="K111" s="25"/>
      <c r="L111" s="25"/>
      <c r="M111" s="25"/>
      <c r="N111" s="25"/>
      <c r="O111" s="25"/>
      <c r="P111" s="25"/>
      <c r="Q111" s="25"/>
      <c r="R111" s="25"/>
      <c r="S111" s="25"/>
      <c r="T111" s="53">
        <v>0</v>
      </c>
      <c r="U111" s="25"/>
      <c r="V111" s="5"/>
    </row>
    <row r="112" spans="1:23" ht="15.6" x14ac:dyDescent="0.3">
      <c r="A112" s="24">
        <f t="shared" si="0"/>
        <v>9</v>
      </c>
      <c r="B112" s="25" t="s">
        <v>134</v>
      </c>
      <c r="C112" s="25"/>
      <c r="D112" s="25"/>
      <c r="E112" s="25"/>
      <c r="F112" s="25"/>
      <c r="G112" s="25"/>
      <c r="H112" s="25"/>
      <c r="I112" s="25"/>
      <c r="J112" s="25"/>
      <c r="K112" s="25"/>
      <c r="L112" s="25"/>
      <c r="M112" s="25"/>
      <c r="N112" s="25"/>
      <c r="O112" s="25"/>
      <c r="P112" s="25"/>
      <c r="Q112" s="25"/>
      <c r="R112" s="25"/>
      <c r="S112" s="25"/>
      <c r="T112" s="53">
        <v>0</v>
      </c>
      <c r="U112" s="25"/>
      <c r="V112" s="5"/>
    </row>
    <row r="113" spans="1:22" ht="15.6" x14ac:dyDescent="0.3">
      <c r="A113" s="24">
        <f t="shared" si="0"/>
        <v>10</v>
      </c>
      <c r="B113" s="25" t="s">
        <v>39</v>
      </c>
      <c r="C113" s="25"/>
      <c r="D113" s="25"/>
      <c r="E113" s="25"/>
      <c r="F113" s="25"/>
      <c r="G113" s="25"/>
      <c r="H113" s="25"/>
      <c r="I113" s="25"/>
      <c r="J113" s="25"/>
      <c r="K113" s="25"/>
      <c r="L113" s="25"/>
      <c r="M113" s="25"/>
      <c r="N113" s="25"/>
      <c r="O113" s="25"/>
      <c r="P113" s="25"/>
      <c r="Q113" s="25"/>
      <c r="R113" s="25"/>
      <c r="S113" s="25"/>
      <c r="T113" s="53">
        <v>0</v>
      </c>
      <c r="U113" s="25"/>
      <c r="V113" s="5"/>
    </row>
    <row r="114" spans="1:22" ht="15.6" x14ac:dyDescent="0.3">
      <c r="A114" s="24">
        <f t="shared" si="0"/>
        <v>11</v>
      </c>
      <c r="B114" s="25" t="s">
        <v>40</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12</v>
      </c>
      <c r="B115" s="25" t="s">
        <v>161</v>
      </c>
      <c r="C115" s="25"/>
      <c r="D115" s="25"/>
      <c r="E115" s="25"/>
      <c r="F115" s="25"/>
      <c r="G115" s="25"/>
      <c r="H115" s="25"/>
      <c r="I115" s="25"/>
      <c r="J115" s="25"/>
      <c r="K115" s="25"/>
      <c r="L115" s="25"/>
      <c r="M115" s="25"/>
      <c r="N115" s="25"/>
      <c r="O115" s="25"/>
      <c r="P115" s="25"/>
      <c r="Q115" s="25"/>
      <c r="R115" s="25"/>
      <c r="S115" s="25"/>
      <c r="T115" s="53">
        <v>-243</v>
      </c>
      <c r="U115" s="25"/>
      <c r="V115" s="5"/>
    </row>
    <row r="116" spans="1:22" ht="15.6" x14ac:dyDescent="0.3">
      <c r="A116" s="24">
        <f t="shared" si="0"/>
        <v>13</v>
      </c>
      <c r="B116" s="25" t="s">
        <v>135</v>
      </c>
      <c r="C116" s="25"/>
      <c r="D116" s="25"/>
      <c r="E116" s="25"/>
      <c r="F116" s="25"/>
      <c r="G116" s="25"/>
      <c r="H116" s="25"/>
      <c r="I116" s="25"/>
      <c r="J116" s="25"/>
      <c r="K116" s="25"/>
      <c r="L116" s="25"/>
      <c r="M116" s="25"/>
      <c r="N116" s="25"/>
      <c r="O116" s="25"/>
      <c r="P116" s="25"/>
      <c r="Q116" s="25"/>
      <c r="R116" s="25"/>
      <c r="S116" s="25"/>
      <c r="T116" s="53">
        <f>-T96-SUM(T98:T115)</f>
        <v>-1783</v>
      </c>
      <c r="U116" s="25"/>
      <c r="V116" s="5"/>
    </row>
    <row r="117" spans="1:22" ht="15.6" x14ac:dyDescent="0.3">
      <c r="A117" s="24"/>
      <c r="B117" s="119" t="s">
        <v>41</v>
      </c>
      <c r="C117" s="25"/>
      <c r="D117" s="25"/>
      <c r="E117" s="25"/>
      <c r="F117" s="25"/>
      <c r="G117" s="25"/>
      <c r="H117" s="25"/>
      <c r="I117" s="25"/>
      <c r="J117" s="25"/>
      <c r="K117" s="25"/>
      <c r="L117" s="25"/>
      <c r="M117" s="25"/>
      <c r="N117" s="25"/>
      <c r="O117" s="25"/>
      <c r="P117" s="25"/>
      <c r="Q117" s="25"/>
      <c r="R117" s="25"/>
      <c r="S117" s="25"/>
      <c r="T117" s="59"/>
      <c r="U117" s="25"/>
      <c r="V117" s="5"/>
    </row>
    <row r="118" spans="1:22" ht="15.6" x14ac:dyDescent="0.3">
      <c r="A118" s="24"/>
      <c r="B118" s="25" t="s">
        <v>229</v>
      </c>
      <c r="C118" s="25"/>
      <c r="D118" s="25"/>
      <c r="E118" s="25"/>
      <c r="F118" s="25"/>
      <c r="G118" s="25"/>
      <c r="H118" s="25"/>
      <c r="I118" s="25"/>
      <c r="J118" s="25"/>
      <c r="K118" s="25"/>
      <c r="L118" s="25"/>
      <c r="M118" s="25"/>
      <c r="N118" s="25"/>
      <c r="O118" s="25"/>
      <c r="P118" s="25"/>
      <c r="Q118" s="25"/>
      <c r="R118" s="34">
        <f>-R177</f>
        <v>-181</v>
      </c>
      <c r="S118" s="34"/>
      <c r="T118" s="53"/>
      <c r="U118" s="25"/>
      <c r="V118" s="5"/>
    </row>
    <row r="119" spans="1:22" ht="15.6" x14ac:dyDescent="0.3">
      <c r="A119" s="24"/>
      <c r="B119" s="25" t="s">
        <v>230</v>
      </c>
      <c r="C119" s="25"/>
      <c r="D119" s="25"/>
      <c r="E119" s="25"/>
      <c r="F119" s="25"/>
      <c r="G119" s="25"/>
      <c r="H119" s="25"/>
      <c r="I119" s="25"/>
      <c r="J119" s="25"/>
      <c r="K119" s="25"/>
      <c r="L119" s="25"/>
      <c r="M119" s="25"/>
      <c r="N119" s="25"/>
      <c r="O119" s="25"/>
      <c r="P119" s="25"/>
      <c r="Q119" s="25"/>
      <c r="R119" s="34">
        <v>-329</v>
      </c>
      <c r="S119" s="34"/>
      <c r="T119" s="53"/>
      <c r="U119" s="25"/>
      <c r="V119" s="5"/>
    </row>
    <row r="120" spans="1:22" ht="15.6" x14ac:dyDescent="0.3">
      <c r="A120" s="24"/>
      <c r="B120" s="25" t="s">
        <v>42</v>
      </c>
      <c r="C120" s="25"/>
      <c r="D120" s="25"/>
      <c r="E120" s="25"/>
      <c r="F120" s="25"/>
      <c r="G120" s="25"/>
      <c r="H120" s="25"/>
      <c r="I120" s="25"/>
      <c r="J120" s="25"/>
      <c r="K120" s="25"/>
      <c r="L120" s="25"/>
      <c r="M120" s="25"/>
      <c r="N120" s="25"/>
      <c r="O120" s="25"/>
      <c r="P120" s="25"/>
      <c r="Q120" s="25"/>
      <c r="R120" s="34">
        <f>-Q177</f>
        <v>-4178</v>
      </c>
      <c r="S120" s="34"/>
      <c r="T120" s="53"/>
      <c r="U120" s="25"/>
      <c r="V120" s="5"/>
    </row>
    <row r="121" spans="1:22" ht="15.6" x14ac:dyDescent="0.3">
      <c r="A121" s="24"/>
      <c r="B121" s="25" t="s">
        <v>235</v>
      </c>
      <c r="C121" s="25"/>
      <c r="D121" s="25"/>
      <c r="E121" s="25"/>
      <c r="F121" s="25"/>
      <c r="G121" s="25"/>
      <c r="H121" s="25"/>
      <c r="I121" s="25"/>
      <c r="J121" s="25"/>
      <c r="K121" s="25"/>
      <c r="L121" s="25"/>
      <c r="M121" s="25"/>
      <c r="N121" s="25"/>
      <c r="O121" s="25"/>
      <c r="P121" s="25"/>
      <c r="Q121" s="25"/>
      <c r="R121" s="34">
        <v>-9311</v>
      </c>
      <c r="S121" s="34"/>
      <c r="T121" s="53"/>
      <c r="U121" s="25"/>
      <c r="V121" s="5"/>
    </row>
    <row r="122" spans="1:22" ht="15.6" x14ac:dyDescent="0.3">
      <c r="A122" s="24"/>
      <c r="B122" s="25" t="s">
        <v>236</v>
      </c>
      <c r="C122" s="25"/>
      <c r="D122" s="25"/>
      <c r="E122" s="25"/>
      <c r="F122" s="25"/>
      <c r="G122" s="25"/>
      <c r="H122" s="25"/>
      <c r="I122" s="25"/>
      <c r="J122" s="25"/>
      <c r="K122" s="25"/>
      <c r="L122" s="25"/>
      <c r="M122" s="25"/>
      <c r="N122" s="25"/>
      <c r="O122" s="25"/>
      <c r="P122" s="25"/>
      <c r="Q122" s="25"/>
      <c r="R122" s="34">
        <v>-6580</v>
      </c>
      <c r="S122" s="34"/>
      <c r="T122" s="53"/>
      <c r="U122" s="25"/>
      <c r="V122" s="5"/>
    </row>
    <row r="123" spans="1:22" ht="15.6" x14ac:dyDescent="0.3">
      <c r="A123" s="24"/>
      <c r="B123" s="25" t="s">
        <v>241</v>
      </c>
      <c r="C123" s="25"/>
      <c r="D123" s="25"/>
      <c r="E123" s="25"/>
      <c r="F123" s="25"/>
      <c r="G123" s="25"/>
      <c r="H123" s="25"/>
      <c r="I123" s="25"/>
      <c r="J123" s="25"/>
      <c r="K123" s="25"/>
      <c r="L123" s="25"/>
      <c r="M123" s="25"/>
      <c r="N123" s="25"/>
      <c r="O123" s="25"/>
      <c r="P123" s="25"/>
      <c r="Q123" s="25"/>
      <c r="R123" s="34">
        <v>-912</v>
      </c>
      <c r="S123" s="34"/>
      <c r="T123" s="53"/>
      <c r="U123" s="25"/>
      <c r="V123" s="5"/>
    </row>
    <row r="124" spans="1:22" ht="15.6" x14ac:dyDescent="0.3">
      <c r="A124" s="24"/>
      <c r="B124" s="25" t="s">
        <v>237</v>
      </c>
      <c r="C124" s="25"/>
      <c r="D124" s="25"/>
      <c r="E124" s="25"/>
      <c r="F124" s="25"/>
      <c r="G124" s="25"/>
      <c r="H124" s="25"/>
      <c r="I124" s="25"/>
      <c r="J124" s="25"/>
      <c r="K124" s="25"/>
      <c r="L124" s="25"/>
      <c r="M124" s="25"/>
      <c r="N124" s="25"/>
      <c r="O124" s="25"/>
      <c r="P124" s="25"/>
      <c r="Q124" s="25"/>
      <c r="R124" s="34">
        <v>0</v>
      </c>
      <c r="S124" s="34"/>
      <c r="T124" s="53"/>
      <c r="U124" s="25"/>
      <c r="V124" s="5"/>
    </row>
    <row r="125" spans="1:22" ht="15.6" x14ac:dyDescent="0.3">
      <c r="A125" s="24"/>
      <c r="B125" s="25" t="s">
        <v>238</v>
      </c>
      <c r="C125" s="25"/>
      <c r="D125" s="25"/>
      <c r="E125" s="25"/>
      <c r="F125" s="25"/>
      <c r="G125" s="25"/>
      <c r="H125" s="25"/>
      <c r="I125" s="25"/>
      <c r="J125" s="25"/>
      <c r="K125" s="25"/>
      <c r="L125" s="25"/>
      <c r="M125" s="25"/>
      <c r="N125" s="25"/>
      <c r="O125" s="25"/>
      <c r="P125" s="25"/>
      <c r="Q125" s="25"/>
      <c r="R125" s="34">
        <v>0</v>
      </c>
      <c r="S125" s="34"/>
      <c r="T125" s="53"/>
      <c r="U125" s="25"/>
      <c r="V125" s="5"/>
    </row>
    <row r="126" spans="1:22" ht="15.6" x14ac:dyDescent="0.3">
      <c r="A126" s="24"/>
      <c r="B126" s="25" t="s">
        <v>239</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240</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43</v>
      </c>
      <c r="C128" s="25"/>
      <c r="D128" s="25"/>
      <c r="E128" s="25"/>
      <c r="F128" s="25"/>
      <c r="G128" s="25"/>
      <c r="H128" s="25"/>
      <c r="I128" s="25"/>
      <c r="J128" s="25"/>
      <c r="K128" s="25"/>
      <c r="L128" s="25"/>
      <c r="M128" s="25"/>
      <c r="N128" s="25"/>
      <c r="O128" s="25"/>
      <c r="P128" s="25"/>
      <c r="Q128" s="25"/>
      <c r="R128" s="34">
        <f>SUM(R118:R127)</f>
        <v>-21491</v>
      </c>
      <c r="S128" s="34"/>
      <c r="T128" s="34">
        <f>SUM(T97:T126)</f>
        <v>-10176</v>
      </c>
      <c r="U128" s="25"/>
      <c r="V128" s="5"/>
    </row>
    <row r="129" spans="1:23" ht="15.6" x14ac:dyDescent="0.3">
      <c r="A129" s="24"/>
      <c r="B129" s="25" t="s">
        <v>44</v>
      </c>
      <c r="C129" s="25"/>
      <c r="D129" s="25"/>
      <c r="E129" s="25"/>
      <c r="F129" s="25"/>
      <c r="G129" s="25"/>
      <c r="H129" s="25"/>
      <c r="I129" s="25"/>
      <c r="J129" s="25"/>
      <c r="K129" s="25"/>
      <c r="L129" s="25"/>
      <c r="M129" s="25"/>
      <c r="N129" s="25"/>
      <c r="O129" s="25"/>
      <c r="P129" s="25"/>
      <c r="Q129" s="25"/>
      <c r="R129" s="34">
        <f>R96+R128</f>
        <v>0</v>
      </c>
      <c r="S129" s="34"/>
      <c r="T129" s="34">
        <f>T96+T128</f>
        <v>0</v>
      </c>
      <c r="U129" s="25"/>
      <c r="V129" s="5"/>
    </row>
    <row r="130" spans="1:23" ht="15.6" x14ac:dyDescent="0.3">
      <c r="A130" s="24"/>
      <c r="B130" s="25"/>
      <c r="C130" s="25"/>
      <c r="D130" s="25"/>
      <c r="E130" s="25"/>
      <c r="F130" s="25"/>
      <c r="G130" s="25"/>
      <c r="H130" s="25"/>
      <c r="I130" s="25"/>
      <c r="J130" s="25"/>
      <c r="K130" s="25"/>
      <c r="L130" s="25"/>
      <c r="M130" s="25"/>
      <c r="N130" s="25"/>
      <c r="O130" s="25"/>
      <c r="P130" s="25"/>
      <c r="Q130" s="25"/>
      <c r="R130" s="34"/>
      <c r="S130" s="34"/>
      <c r="T130" s="34"/>
      <c r="U130" s="25"/>
      <c r="V130" s="5"/>
    </row>
    <row r="131" spans="1:23" ht="15.6" x14ac:dyDescent="0.3">
      <c r="A131" s="6"/>
      <c r="B131" s="8"/>
      <c r="C131" s="8"/>
      <c r="D131" s="8"/>
      <c r="E131" s="8"/>
      <c r="F131" s="8"/>
      <c r="G131" s="8"/>
      <c r="H131" s="8"/>
      <c r="I131" s="8"/>
      <c r="J131" s="8"/>
      <c r="K131" s="8"/>
      <c r="L131" s="8"/>
      <c r="M131" s="8"/>
      <c r="N131" s="8"/>
      <c r="O131" s="8"/>
      <c r="P131" s="8"/>
      <c r="Q131" s="8"/>
      <c r="R131" s="8"/>
      <c r="S131" s="8"/>
      <c r="T131" s="52"/>
      <c r="U131" s="8"/>
      <c r="V131" s="5"/>
    </row>
    <row r="132" spans="1:23" ht="18" thickBot="1" x14ac:dyDescent="0.35">
      <c r="A132" s="102"/>
      <c r="B132" s="103" t="str">
        <f>B61</f>
        <v>PM9 INVESTOR REPORT QUARTER ENDING APRIL 2006</v>
      </c>
      <c r="C132" s="104"/>
      <c r="D132" s="104"/>
      <c r="E132" s="104"/>
      <c r="F132" s="104"/>
      <c r="G132" s="104"/>
      <c r="H132" s="104"/>
      <c r="I132" s="104"/>
      <c r="J132" s="104"/>
      <c r="K132" s="104"/>
      <c r="L132" s="104"/>
      <c r="M132" s="104"/>
      <c r="N132" s="104"/>
      <c r="O132" s="104"/>
      <c r="P132" s="104"/>
      <c r="Q132" s="104"/>
      <c r="R132" s="104"/>
      <c r="S132" s="104"/>
      <c r="T132" s="107"/>
      <c r="U132" s="106"/>
      <c r="V132" s="5"/>
    </row>
    <row r="133" spans="1:23" ht="15.6" x14ac:dyDescent="0.3">
      <c r="A133" s="2"/>
      <c r="B133" s="60" t="s">
        <v>45</v>
      </c>
      <c r="C133" s="4"/>
      <c r="D133" s="4"/>
      <c r="E133" s="4"/>
      <c r="F133" s="4"/>
      <c r="G133" s="4"/>
      <c r="H133" s="4"/>
      <c r="I133" s="4"/>
      <c r="J133" s="4"/>
      <c r="K133" s="4"/>
      <c r="L133" s="4"/>
      <c r="M133" s="4"/>
      <c r="N133" s="4"/>
      <c r="O133" s="4"/>
      <c r="P133" s="4"/>
      <c r="Q133" s="4"/>
      <c r="R133" s="4"/>
      <c r="S133" s="4"/>
      <c r="T133" s="50"/>
      <c r="U133" s="4"/>
      <c r="V133" s="5"/>
    </row>
    <row r="134" spans="1:23" ht="15.6" x14ac:dyDescent="0.3">
      <c r="A134" s="6"/>
      <c r="B134" s="21"/>
      <c r="C134" s="8"/>
      <c r="D134" s="8"/>
      <c r="E134" s="8"/>
      <c r="F134" s="8"/>
      <c r="G134" s="8"/>
      <c r="H134" s="8"/>
      <c r="I134" s="8"/>
      <c r="J134" s="8"/>
      <c r="K134" s="8"/>
      <c r="L134" s="8"/>
      <c r="M134" s="8"/>
      <c r="N134" s="8"/>
      <c r="O134" s="8"/>
      <c r="P134" s="8"/>
      <c r="Q134" s="8"/>
      <c r="R134" s="8"/>
      <c r="S134" s="8"/>
      <c r="T134" s="52"/>
      <c r="U134" s="8"/>
      <c r="V134" s="5"/>
    </row>
    <row r="135" spans="1:23" ht="15.6" x14ac:dyDescent="0.3">
      <c r="A135" s="6"/>
      <c r="B135" s="120" t="s">
        <v>46</v>
      </c>
      <c r="C135" s="8"/>
      <c r="D135" s="8"/>
      <c r="E135" s="8"/>
      <c r="F135" s="8"/>
      <c r="G135" s="8"/>
      <c r="H135" s="8"/>
      <c r="I135" s="8"/>
      <c r="J135" s="8"/>
      <c r="K135" s="8"/>
      <c r="L135" s="8"/>
      <c r="M135" s="8"/>
      <c r="N135" s="8"/>
      <c r="O135" s="8"/>
      <c r="P135" s="8"/>
      <c r="Q135" s="8"/>
      <c r="R135" s="8"/>
      <c r="S135" s="8"/>
      <c r="T135" s="52"/>
      <c r="U135" s="8"/>
      <c r="V135" s="5"/>
    </row>
    <row r="136" spans="1:23" ht="15.6" x14ac:dyDescent="0.3">
      <c r="A136" s="24"/>
      <c r="B136" s="25" t="s">
        <v>47</v>
      </c>
      <c r="C136" s="25"/>
      <c r="D136" s="25"/>
      <c r="E136" s="25"/>
      <c r="F136" s="25"/>
      <c r="G136" s="25"/>
      <c r="H136" s="25"/>
      <c r="I136" s="25"/>
      <c r="J136" s="25"/>
      <c r="K136" s="25"/>
      <c r="L136" s="25"/>
      <c r="M136" s="25"/>
      <c r="N136" s="25"/>
      <c r="O136" s="25"/>
      <c r="P136" s="25"/>
      <c r="Q136" s="25"/>
      <c r="R136" s="25"/>
      <c r="S136" s="25"/>
      <c r="T136" s="53">
        <f>+T32*0.0176</f>
        <v>12320</v>
      </c>
      <c r="U136" s="25"/>
      <c r="V136" s="5"/>
    </row>
    <row r="137" spans="1:23" ht="15.6" x14ac:dyDescent="0.3">
      <c r="A137" s="24"/>
      <c r="B137" s="25" t="s">
        <v>48</v>
      </c>
      <c r="C137" s="25"/>
      <c r="D137" s="25"/>
      <c r="E137" s="25"/>
      <c r="F137" s="25"/>
      <c r="G137" s="25"/>
      <c r="H137" s="25"/>
      <c r="I137" s="25"/>
      <c r="J137" s="25"/>
      <c r="K137" s="25"/>
      <c r="L137" s="25"/>
      <c r="M137" s="25"/>
      <c r="N137" s="25"/>
      <c r="O137" s="25"/>
      <c r="P137" s="25"/>
      <c r="Q137" s="25"/>
      <c r="R137" s="25"/>
      <c r="S137" s="25"/>
      <c r="T137" s="53">
        <v>12320</v>
      </c>
      <c r="U137" s="25"/>
      <c r="V137" s="5"/>
    </row>
    <row r="138" spans="1:23" ht="15.6" x14ac:dyDescent="0.3">
      <c r="A138" s="24"/>
      <c r="B138" s="25" t="s">
        <v>145</v>
      </c>
      <c r="C138" s="25"/>
      <c r="D138" s="25"/>
      <c r="E138" s="25"/>
      <c r="F138" s="25"/>
      <c r="G138" s="25"/>
      <c r="H138" s="25"/>
      <c r="I138" s="25"/>
      <c r="J138" s="25"/>
      <c r="K138" s="25"/>
      <c r="L138" s="25"/>
      <c r="M138" s="25"/>
      <c r="N138" s="25"/>
      <c r="O138" s="25"/>
      <c r="P138" s="25"/>
      <c r="Q138" s="25"/>
      <c r="R138" s="25"/>
      <c r="S138" s="25"/>
      <c r="T138" s="53">
        <v>0</v>
      </c>
      <c r="U138" s="25"/>
      <c r="V138" s="5"/>
    </row>
    <row r="139" spans="1:23" ht="15.6" x14ac:dyDescent="0.3">
      <c r="A139" s="24"/>
      <c r="B139" s="25" t="s">
        <v>132</v>
      </c>
      <c r="C139" s="25"/>
      <c r="D139" s="25"/>
      <c r="E139" s="25"/>
      <c r="F139" s="25"/>
      <c r="G139" s="25"/>
      <c r="H139" s="25"/>
      <c r="I139" s="25"/>
      <c r="J139" s="25"/>
      <c r="K139" s="25"/>
      <c r="L139" s="25"/>
      <c r="M139" s="25"/>
      <c r="N139" s="25"/>
      <c r="O139" s="25"/>
      <c r="P139" s="25"/>
      <c r="Q139" s="25"/>
      <c r="R139" s="25"/>
      <c r="S139" s="25"/>
      <c r="T139" s="53">
        <v>0</v>
      </c>
      <c r="U139" s="25"/>
      <c r="V139" s="5"/>
    </row>
    <row r="140" spans="1:23" ht="15.6" x14ac:dyDescent="0.3">
      <c r="A140" s="24"/>
      <c r="B140" s="25" t="s">
        <v>133</v>
      </c>
      <c r="C140" s="25"/>
      <c r="D140" s="25"/>
      <c r="E140" s="25"/>
      <c r="F140" s="25"/>
      <c r="G140" s="25"/>
      <c r="H140" s="25"/>
      <c r="I140" s="25"/>
      <c r="J140" s="25"/>
      <c r="K140" s="25"/>
      <c r="L140" s="25"/>
      <c r="M140" s="25"/>
      <c r="N140" s="25"/>
      <c r="O140" s="25"/>
      <c r="P140" s="25"/>
      <c r="Q140" s="25"/>
      <c r="R140" s="25"/>
      <c r="S140" s="25"/>
      <c r="T140" s="53">
        <v>0</v>
      </c>
      <c r="U140" s="25"/>
      <c r="V140" s="5"/>
    </row>
    <row r="141" spans="1:23" ht="15.6" x14ac:dyDescent="0.3">
      <c r="A141" s="24"/>
      <c r="B141" s="25" t="s">
        <v>232</v>
      </c>
      <c r="C141" s="25"/>
      <c r="D141" s="25"/>
      <c r="E141" s="25"/>
      <c r="F141" s="25"/>
      <c r="G141" s="25"/>
      <c r="H141" s="25"/>
      <c r="I141" s="25"/>
      <c r="J141" s="25"/>
      <c r="K141" s="25"/>
      <c r="L141" s="25"/>
      <c r="M141" s="25"/>
      <c r="N141" s="25"/>
      <c r="O141" s="25"/>
      <c r="P141" s="25"/>
      <c r="Q141" s="25"/>
      <c r="R141" s="25"/>
      <c r="S141" s="25"/>
      <c r="T141" s="53">
        <v>0</v>
      </c>
      <c r="U141" s="25"/>
      <c r="V141" s="5"/>
    </row>
    <row r="142" spans="1:23" ht="15.6" x14ac:dyDescent="0.3">
      <c r="A142" s="24"/>
      <c r="B142" s="25" t="s">
        <v>49</v>
      </c>
      <c r="C142" s="25"/>
      <c r="D142" s="25"/>
      <c r="E142" s="25"/>
      <c r="F142" s="25"/>
      <c r="G142" s="25"/>
      <c r="H142" s="25"/>
      <c r="I142" s="25"/>
      <c r="J142" s="25"/>
      <c r="K142" s="25"/>
      <c r="L142" s="25"/>
      <c r="M142" s="25"/>
      <c r="N142" s="25"/>
      <c r="O142" s="25"/>
      <c r="P142" s="25"/>
      <c r="Q142" s="25"/>
      <c r="R142" s="25"/>
      <c r="S142" s="25"/>
      <c r="T142" s="53">
        <v>0</v>
      </c>
      <c r="U142" s="25"/>
      <c r="V142" s="5"/>
    </row>
    <row r="143" spans="1:23" ht="15.6" x14ac:dyDescent="0.3">
      <c r="A143" s="24"/>
      <c r="B143" s="25" t="s">
        <v>138</v>
      </c>
      <c r="C143" s="25"/>
      <c r="D143" s="25"/>
      <c r="E143" s="25"/>
      <c r="F143" s="25"/>
      <c r="G143" s="25"/>
      <c r="H143" s="25"/>
      <c r="I143" s="25"/>
      <c r="J143" s="25"/>
      <c r="K143" s="25"/>
      <c r="L143" s="25"/>
      <c r="M143" s="25"/>
      <c r="N143" s="25"/>
      <c r="O143" s="25"/>
      <c r="P143" s="25"/>
      <c r="Q143" s="25"/>
      <c r="R143" s="25"/>
      <c r="S143" s="25"/>
      <c r="T143" s="53">
        <v>0</v>
      </c>
      <c r="U143" s="25"/>
      <c r="V143" s="5"/>
    </row>
    <row r="144" spans="1:23" ht="15.6" x14ac:dyDescent="0.3">
      <c r="A144" s="24"/>
      <c r="B144" s="25" t="s">
        <v>231</v>
      </c>
      <c r="C144" s="25"/>
      <c r="D144" s="25"/>
      <c r="E144" s="25"/>
      <c r="F144" s="25"/>
      <c r="G144" s="25"/>
      <c r="H144" s="25"/>
      <c r="I144" s="25"/>
      <c r="J144" s="25"/>
      <c r="K144" s="25"/>
      <c r="L144" s="25"/>
      <c r="M144" s="25"/>
      <c r="N144" s="25"/>
      <c r="O144" s="25"/>
      <c r="P144" s="25"/>
      <c r="Q144" s="25"/>
      <c r="R144" s="25"/>
      <c r="S144" s="25"/>
      <c r="T144" s="53">
        <v>0</v>
      </c>
      <c r="U144" s="25"/>
      <c r="V144" s="5"/>
      <c r="W144" s="110"/>
    </row>
    <row r="145" spans="1:22" ht="15.6" x14ac:dyDescent="0.3">
      <c r="A145" s="24"/>
      <c r="B145" s="25" t="s">
        <v>50</v>
      </c>
      <c r="C145" s="25"/>
      <c r="D145" s="25"/>
      <c r="E145" s="25"/>
      <c r="F145" s="25"/>
      <c r="G145" s="25"/>
      <c r="H145" s="25"/>
      <c r="I145" s="25"/>
      <c r="J145" s="25"/>
      <c r="K145" s="25"/>
      <c r="L145" s="25"/>
      <c r="M145" s="25"/>
      <c r="N145" s="25"/>
      <c r="O145" s="25"/>
      <c r="P145" s="25"/>
      <c r="Q145" s="25"/>
      <c r="R145" s="25"/>
      <c r="S145" s="25"/>
      <c r="T145" s="53">
        <f>SUM(T137:T144)</f>
        <v>12320</v>
      </c>
      <c r="U145" s="25"/>
      <c r="V145" s="5"/>
    </row>
    <row r="146" spans="1:22" ht="15.6" x14ac:dyDescent="0.3">
      <c r="A146" s="24"/>
      <c r="B146" s="25"/>
      <c r="C146" s="25"/>
      <c r="D146" s="25"/>
      <c r="E146" s="25"/>
      <c r="F146" s="25"/>
      <c r="G146" s="25"/>
      <c r="H146" s="25"/>
      <c r="I146" s="25"/>
      <c r="J146" s="25"/>
      <c r="K146" s="25"/>
      <c r="L146" s="25"/>
      <c r="M146" s="25"/>
      <c r="N146" s="25"/>
      <c r="O146" s="25"/>
      <c r="P146" s="25"/>
      <c r="Q146" s="25"/>
      <c r="R146" s="25"/>
      <c r="S146" s="25"/>
      <c r="T146" s="53"/>
      <c r="U146" s="25"/>
      <c r="V146" s="5"/>
    </row>
    <row r="147" spans="1:22" ht="15.6" x14ac:dyDescent="0.3">
      <c r="A147" s="24"/>
      <c r="B147" s="141" t="s">
        <v>264</v>
      </c>
      <c r="C147" s="25"/>
      <c r="D147" s="25"/>
      <c r="E147" s="25"/>
      <c r="F147" s="25"/>
      <c r="G147" s="25"/>
      <c r="H147" s="25"/>
      <c r="I147" s="25"/>
      <c r="J147" s="25"/>
      <c r="K147" s="25"/>
      <c r="L147" s="25"/>
      <c r="M147" s="25"/>
      <c r="N147" s="25"/>
      <c r="O147" s="25"/>
      <c r="P147" s="25"/>
      <c r="Q147" s="25"/>
      <c r="R147" s="25"/>
      <c r="S147" s="25"/>
      <c r="T147" s="53"/>
      <c r="U147" s="25"/>
      <c r="V147" s="5"/>
    </row>
    <row r="148" spans="1:22" ht="15.6" x14ac:dyDescent="0.3">
      <c r="A148" s="24"/>
      <c r="B148" s="25" t="s">
        <v>170</v>
      </c>
      <c r="C148" s="25"/>
      <c r="D148" s="25"/>
      <c r="E148" s="25"/>
      <c r="F148" s="25"/>
      <c r="G148" s="25"/>
      <c r="H148" s="25"/>
      <c r="I148" s="25"/>
      <c r="J148" s="25"/>
      <c r="K148" s="25"/>
      <c r="L148" s="25"/>
      <c r="M148" s="25"/>
      <c r="N148" s="25"/>
      <c r="O148" s="25"/>
      <c r="P148" s="25"/>
      <c r="Q148" s="25"/>
      <c r="R148" s="25"/>
      <c r="S148" s="25"/>
      <c r="T148" s="53">
        <v>10000</v>
      </c>
      <c r="U148" s="25"/>
      <c r="V148" s="5"/>
    </row>
    <row r="149" spans="1:22" ht="15.6" x14ac:dyDescent="0.3">
      <c r="A149" s="24"/>
      <c r="B149" s="25" t="s">
        <v>260</v>
      </c>
      <c r="C149" s="25"/>
      <c r="D149" s="25"/>
      <c r="E149" s="25"/>
      <c r="F149" s="25"/>
      <c r="G149" s="25"/>
      <c r="H149" s="25"/>
      <c r="I149" s="25"/>
      <c r="J149" s="25"/>
      <c r="K149" s="25"/>
      <c r="L149" s="25"/>
      <c r="M149" s="25"/>
      <c r="N149" s="25"/>
      <c r="O149" s="25"/>
      <c r="P149" s="25"/>
      <c r="Q149" s="25"/>
      <c r="R149" s="25"/>
      <c r="S149" s="25"/>
      <c r="T149" s="53">
        <f>'Jan 06'!T151</f>
        <v>8430</v>
      </c>
      <c r="U149" s="25"/>
      <c r="V149" s="5"/>
    </row>
    <row r="150" spans="1:22" ht="15.6" x14ac:dyDescent="0.3">
      <c r="A150" s="24"/>
      <c r="B150" s="25" t="s">
        <v>228</v>
      </c>
      <c r="C150" s="25"/>
      <c r="D150" s="25"/>
      <c r="E150" s="25"/>
      <c r="F150" s="25"/>
      <c r="G150" s="25"/>
      <c r="H150" s="25"/>
      <c r="I150" s="25"/>
      <c r="J150" s="25"/>
      <c r="K150" s="25"/>
      <c r="L150" s="25"/>
      <c r="M150" s="25"/>
      <c r="N150" s="25"/>
      <c r="O150" s="25"/>
      <c r="P150" s="25"/>
      <c r="Q150" s="25"/>
      <c r="R150" s="25"/>
      <c r="S150" s="25"/>
      <c r="T150" s="53">
        <v>0</v>
      </c>
      <c r="U150" s="25"/>
      <c r="V150" s="5"/>
    </row>
    <row r="151" spans="1:22" ht="15.6" x14ac:dyDescent="0.3">
      <c r="A151" s="24"/>
      <c r="B151" s="25" t="s">
        <v>266</v>
      </c>
      <c r="C151" s="25"/>
      <c r="D151" s="25"/>
      <c r="E151" s="25"/>
      <c r="F151" s="25"/>
      <c r="G151" s="25"/>
      <c r="H151" s="25"/>
      <c r="I151" s="25"/>
      <c r="J151" s="25"/>
      <c r="K151" s="25"/>
      <c r="L151" s="25"/>
      <c r="M151" s="25"/>
      <c r="N151" s="25"/>
      <c r="O151" s="25"/>
      <c r="P151" s="25"/>
      <c r="Q151" s="25"/>
      <c r="R151" s="25"/>
      <c r="S151" s="25"/>
      <c r="T151" s="53">
        <v>8133</v>
      </c>
      <c r="U151" s="25"/>
      <c r="V151" s="5"/>
    </row>
    <row r="152" spans="1:22" ht="15.6" x14ac:dyDescent="0.3">
      <c r="A152" s="24"/>
      <c r="B152" s="25"/>
      <c r="C152" s="25"/>
      <c r="D152" s="25"/>
      <c r="E152" s="25"/>
      <c r="F152" s="25"/>
      <c r="G152" s="25"/>
      <c r="H152" s="25"/>
      <c r="I152" s="25"/>
      <c r="J152" s="25"/>
      <c r="K152" s="25"/>
      <c r="L152" s="25"/>
      <c r="M152" s="25"/>
      <c r="N152" s="25"/>
      <c r="O152" s="25"/>
      <c r="P152" s="25"/>
      <c r="Q152" s="25"/>
      <c r="R152" s="25"/>
      <c r="S152" s="25"/>
      <c r="T152" s="53"/>
      <c r="U152" s="25"/>
      <c r="V152" s="5"/>
    </row>
    <row r="153" spans="1:22" ht="15.6" x14ac:dyDescent="0.3">
      <c r="A153" s="24"/>
      <c r="B153" s="25"/>
      <c r="C153" s="25"/>
      <c r="D153" s="25"/>
      <c r="E153" s="25"/>
      <c r="F153" s="25"/>
      <c r="G153" s="25"/>
      <c r="H153" s="25"/>
      <c r="I153" s="25"/>
      <c r="J153" s="25"/>
      <c r="K153" s="25"/>
      <c r="L153" s="25"/>
      <c r="M153" s="25"/>
      <c r="N153" s="25"/>
      <c r="O153" s="25"/>
      <c r="P153" s="25"/>
      <c r="Q153" s="25"/>
      <c r="R153" s="25"/>
      <c r="S153" s="25"/>
      <c r="T153" s="61"/>
      <c r="U153" s="25"/>
      <c r="V153" s="5"/>
    </row>
    <row r="154" spans="1:22" ht="15.6" x14ac:dyDescent="0.3">
      <c r="A154" s="6"/>
      <c r="B154" s="120" t="s">
        <v>25</v>
      </c>
      <c r="C154" s="8"/>
      <c r="D154" s="8"/>
      <c r="E154" s="8"/>
      <c r="F154" s="8"/>
      <c r="G154" s="8"/>
      <c r="H154" s="8"/>
      <c r="I154" s="8"/>
      <c r="J154" s="8"/>
      <c r="K154" s="8"/>
      <c r="L154" s="8"/>
      <c r="M154" s="8"/>
      <c r="N154" s="8"/>
      <c r="O154" s="8"/>
      <c r="P154" s="8"/>
      <c r="Q154" s="8"/>
      <c r="R154" s="8"/>
      <c r="S154" s="8"/>
      <c r="T154" s="52"/>
      <c r="U154" s="8"/>
      <c r="V154" s="5"/>
    </row>
    <row r="155" spans="1:22" ht="15.6" x14ac:dyDescent="0.3">
      <c r="A155" s="24"/>
      <c r="B155" s="25" t="s">
        <v>51</v>
      </c>
      <c r="C155" s="25"/>
      <c r="D155" s="25"/>
      <c r="E155" s="25"/>
      <c r="F155" s="25"/>
      <c r="G155" s="25"/>
      <c r="H155" s="25"/>
      <c r="I155" s="25"/>
      <c r="J155" s="25"/>
      <c r="K155" s="25"/>
      <c r="L155" s="25"/>
      <c r="M155" s="25"/>
      <c r="N155" s="25"/>
      <c r="O155" s="25"/>
      <c r="P155" s="25"/>
      <c r="Q155" s="25"/>
      <c r="R155" s="25"/>
      <c r="S155" s="25"/>
      <c r="T155" s="59" t="s">
        <v>127</v>
      </c>
      <c r="U155" s="25"/>
      <c r="V155" s="5"/>
    </row>
    <row r="156" spans="1:22" ht="15.6" x14ac:dyDescent="0.3">
      <c r="A156" s="24"/>
      <c r="B156" s="25" t="s">
        <v>52</v>
      </c>
      <c r="C156" s="160"/>
      <c r="D156" s="160"/>
      <c r="E156" s="160"/>
      <c r="F156" s="160"/>
      <c r="G156" s="160"/>
      <c r="H156" s="160"/>
      <c r="I156" s="160"/>
      <c r="J156" s="160"/>
      <c r="K156" s="160"/>
      <c r="L156" s="160"/>
      <c r="M156" s="160"/>
      <c r="N156" s="160"/>
      <c r="O156" s="160"/>
      <c r="P156" s="160"/>
      <c r="Q156" s="160"/>
      <c r="R156" s="160"/>
      <c r="S156" s="160"/>
      <c r="T156" s="59" t="s">
        <v>127</v>
      </c>
      <c r="U156" s="25"/>
      <c r="V156" s="5"/>
    </row>
    <row r="157" spans="1:22" ht="15.6" x14ac:dyDescent="0.3">
      <c r="A157" s="24"/>
      <c r="B157" s="25" t="s">
        <v>53</v>
      </c>
      <c r="C157" s="25"/>
      <c r="D157" s="25"/>
      <c r="E157" s="25"/>
      <c r="F157" s="25"/>
      <c r="G157" s="25"/>
      <c r="H157" s="25"/>
      <c r="I157" s="25"/>
      <c r="J157" s="25"/>
      <c r="K157" s="25"/>
      <c r="L157" s="25"/>
      <c r="M157" s="25"/>
      <c r="N157" s="25"/>
      <c r="O157" s="25"/>
      <c r="P157" s="25"/>
      <c r="Q157" s="25"/>
      <c r="R157" s="25"/>
      <c r="S157" s="25"/>
      <c r="T157" s="59" t="s">
        <v>127</v>
      </c>
      <c r="U157" s="25"/>
      <c r="V157" s="5"/>
    </row>
    <row r="158" spans="1:22" ht="15.6" x14ac:dyDescent="0.3">
      <c r="A158" s="24"/>
      <c r="B158" s="25" t="s">
        <v>54</v>
      </c>
      <c r="C158" s="25"/>
      <c r="D158" s="25"/>
      <c r="E158" s="25"/>
      <c r="F158" s="25"/>
      <c r="G158" s="25"/>
      <c r="H158" s="25"/>
      <c r="I158" s="25"/>
      <c r="J158" s="25"/>
      <c r="K158" s="25"/>
      <c r="L158" s="25"/>
      <c r="M158" s="25"/>
      <c r="N158" s="25"/>
      <c r="O158" s="25"/>
      <c r="P158" s="25"/>
      <c r="Q158" s="25"/>
      <c r="R158" s="25"/>
      <c r="S158" s="25"/>
      <c r="T158" s="59" t="s">
        <v>127</v>
      </c>
      <c r="U158" s="25"/>
      <c r="V158" s="5"/>
    </row>
    <row r="159" spans="1:22" ht="15.6" x14ac:dyDescent="0.3">
      <c r="A159" s="24"/>
      <c r="B159" s="25"/>
      <c r="C159" s="25"/>
      <c r="D159" s="25"/>
      <c r="E159" s="25"/>
      <c r="F159" s="25"/>
      <c r="G159" s="25"/>
      <c r="H159" s="25"/>
      <c r="I159" s="25"/>
      <c r="J159" s="25"/>
      <c r="K159" s="25"/>
      <c r="L159" s="25"/>
      <c r="M159" s="25"/>
      <c r="N159" s="25"/>
      <c r="O159" s="25"/>
      <c r="P159" s="25"/>
      <c r="Q159" s="25"/>
      <c r="R159" s="25"/>
      <c r="S159" s="25"/>
      <c r="T159" s="61"/>
      <c r="U159" s="25"/>
      <c r="V159" s="5"/>
    </row>
    <row r="160" spans="1:22" ht="15.6" x14ac:dyDescent="0.3">
      <c r="A160" s="6"/>
      <c r="B160" s="120" t="s">
        <v>55</v>
      </c>
      <c r="C160" s="8"/>
      <c r="D160" s="8"/>
      <c r="E160" s="8"/>
      <c r="F160" s="8"/>
      <c r="G160" s="8"/>
      <c r="H160" s="8"/>
      <c r="I160" s="8"/>
      <c r="J160" s="8"/>
      <c r="K160" s="8"/>
      <c r="L160" s="8"/>
      <c r="M160" s="8"/>
      <c r="N160" s="8"/>
      <c r="O160" s="8"/>
      <c r="P160" s="8"/>
      <c r="Q160" s="8"/>
      <c r="R160" s="8"/>
      <c r="S160" s="8"/>
      <c r="T160" s="63"/>
      <c r="U160" s="8"/>
      <c r="V160" s="5"/>
    </row>
    <row r="161" spans="1:22" ht="15.6" x14ac:dyDescent="0.3">
      <c r="A161" s="24"/>
      <c r="B161" s="25" t="s">
        <v>56</v>
      </c>
      <c r="C161" s="25"/>
      <c r="D161" s="25"/>
      <c r="E161" s="25"/>
      <c r="F161" s="25"/>
      <c r="G161" s="25"/>
      <c r="H161" s="25"/>
      <c r="I161" s="25"/>
      <c r="J161" s="25"/>
      <c r="K161" s="25"/>
      <c r="L161" s="25"/>
      <c r="M161" s="25"/>
      <c r="N161" s="25"/>
      <c r="O161" s="25"/>
      <c r="P161" s="25"/>
      <c r="Q161" s="25"/>
      <c r="R161" s="25"/>
      <c r="S161" s="25"/>
      <c r="T161" s="53">
        <v>0</v>
      </c>
      <c r="U161" s="25"/>
      <c r="V161" s="5"/>
    </row>
    <row r="162" spans="1:22" ht="15.6" x14ac:dyDescent="0.3">
      <c r="A162" s="24"/>
      <c r="B162" s="25" t="s">
        <v>57</v>
      </c>
      <c r="C162" s="25"/>
      <c r="D162" s="25"/>
      <c r="E162" s="25"/>
      <c r="F162" s="25"/>
      <c r="G162" s="25"/>
      <c r="H162" s="25"/>
      <c r="I162" s="25"/>
      <c r="J162" s="25"/>
      <c r="K162" s="25"/>
      <c r="L162" s="25"/>
      <c r="M162" s="25"/>
      <c r="N162" s="25"/>
      <c r="O162" s="25"/>
      <c r="P162" s="25"/>
      <c r="Q162" s="25"/>
      <c r="R162" s="25"/>
      <c r="S162" s="25"/>
      <c r="T162" s="53">
        <v>0</v>
      </c>
      <c r="U162" s="25"/>
      <c r="V162" s="5"/>
    </row>
    <row r="163" spans="1:22" ht="15.6" x14ac:dyDescent="0.3">
      <c r="A163" s="24"/>
      <c r="B163" s="25" t="s">
        <v>58</v>
      </c>
      <c r="C163" s="25"/>
      <c r="D163" s="25"/>
      <c r="E163" s="25"/>
      <c r="F163" s="25"/>
      <c r="G163" s="25"/>
      <c r="H163" s="25"/>
      <c r="I163" s="25"/>
      <c r="J163" s="25"/>
      <c r="K163" s="25"/>
      <c r="L163" s="25"/>
      <c r="M163" s="25"/>
      <c r="N163" s="25"/>
      <c r="O163" s="25"/>
      <c r="P163" s="25"/>
      <c r="Q163" s="25"/>
      <c r="R163" s="25"/>
      <c r="S163" s="25"/>
      <c r="T163" s="53">
        <f>T162+T161</f>
        <v>0</v>
      </c>
      <c r="U163" s="25"/>
      <c r="V163" s="5"/>
    </row>
    <row r="164" spans="1:22" ht="15.6" x14ac:dyDescent="0.3">
      <c r="A164" s="24"/>
      <c r="B164" s="25" t="s">
        <v>309</v>
      </c>
      <c r="C164" s="25"/>
      <c r="D164" s="25"/>
      <c r="E164" s="25"/>
      <c r="F164" s="25"/>
      <c r="G164" s="25"/>
      <c r="H164" s="25"/>
      <c r="I164" s="25"/>
      <c r="J164" s="25"/>
      <c r="K164" s="25"/>
      <c r="L164" s="25"/>
      <c r="M164" s="25"/>
      <c r="N164" s="25"/>
      <c r="O164" s="25"/>
      <c r="P164" s="25"/>
      <c r="Q164" s="25"/>
      <c r="R164" s="25"/>
      <c r="S164" s="25"/>
      <c r="T164" s="53">
        <f>T112</f>
        <v>0</v>
      </c>
      <c r="U164" s="25"/>
      <c r="V164" s="5"/>
    </row>
    <row r="165" spans="1:22" ht="15.6" x14ac:dyDescent="0.3">
      <c r="A165" s="24"/>
      <c r="B165" s="25" t="s">
        <v>59</v>
      </c>
      <c r="C165" s="25"/>
      <c r="D165" s="25"/>
      <c r="E165" s="25"/>
      <c r="F165" s="25"/>
      <c r="G165" s="25"/>
      <c r="H165" s="25"/>
      <c r="I165" s="25"/>
      <c r="J165" s="25"/>
      <c r="K165" s="25"/>
      <c r="L165" s="25"/>
      <c r="M165" s="25"/>
      <c r="N165" s="25"/>
      <c r="O165" s="25"/>
      <c r="P165" s="25"/>
      <c r="Q165" s="25"/>
      <c r="R165" s="25"/>
      <c r="S165" s="25"/>
      <c r="T165" s="53">
        <f>T163+T164</f>
        <v>0</v>
      </c>
      <c r="U165" s="25"/>
      <c r="V165" s="5"/>
    </row>
    <row r="166" spans="1:22" ht="16.2" thickBot="1" x14ac:dyDescent="0.35">
      <c r="A166" s="24"/>
      <c r="B166" s="25"/>
      <c r="C166" s="25"/>
      <c r="D166" s="25"/>
      <c r="E166" s="25"/>
      <c r="F166" s="25"/>
      <c r="G166" s="25"/>
      <c r="H166" s="25"/>
      <c r="I166" s="25"/>
      <c r="J166" s="25"/>
      <c r="K166" s="25"/>
      <c r="L166" s="25"/>
      <c r="M166" s="25"/>
      <c r="N166" s="25"/>
      <c r="O166" s="25"/>
      <c r="P166" s="25"/>
      <c r="Q166" s="25"/>
      <c r="R166" s="25"/>
      <c r="S166" s="25"/>
      <c r="T166" s="61"/>
      <c r="U166" s="25"/>
      <c r="V166" s="5"/>
    </row>
    <row r="167" spans="1:22" ht="15.6" x14ac:dyDescent="0.3">
      <c r="A167" s="2"/>
      <c r="B167" s="4"/>
      <c r="C167" s="4"/>
      <c r="D167" s="4"/>
      <c r="E167" s="4"/>
      <c r="F167" s="4"/>
      <c r="G167" s="4"/>
      <c r="H167" s="4"/>
      <c r="I167" s="4"/>
      <c r="J167" s="4"/>
      <c r="K167" s="4"/>
      <c r="L167" s="4"/>
      <c r="M167" s="4"/>
      <c r="N167" s="4"/>
      <c r="O167" s="4"/>
      <c r="P167" s="4"/>
      <c r="Q167" s="4"/>
      <c r="R167" s="4"/>
      <c r="S167" s="4"/>
      <c r="T167" s="50"/>
      <c r="U167" s="4"/>
      <c r="V167" s="5"/>
    </row>
    <row r="168" spans="1:22" ht="15.6" x14ac:dyDescent="0.3">
      <c r="A168" s="6"/>
      <c r="B168" s="120" t="s">
        <v>60</v>
      </c>
      <c r="C168" s="8"/>
      <c r="D168" s="8"/>
      <c r="E168" s="8"/>
      <c r="F168" s="8"/>
      <c r="G168" s="8"/>
      <c r="H168" s="8"/>
      <c r="I168" s="8"/>
      <c r="J168" s="8"/>
      <c r="K168" s="8"/>
      <c r="L168" s="8"/>
      <c r="M168" s="8"/>
      <c r="N168" s="8"/>
      <c r="O168" s="8"/>
      <c r="P168" s="8"/>
      <c r="Q168" s="8"/>
      <c r="R168" s="8"/>
      <c r="S168" s="8"/>
      <c r="T168" s="52"/>
      <c r="U168" s="8"/>
      <c r="V168" s="5"/>
    </row>
    <row r="169" spans="1:22" ht="15.6" x14ac:dyDescent="0.3">
      <c r="A169" s="6"/>
      <c r="B169" s="21"/>
      <c r="C169" s="8"/>
      <c r="D169" s="8"/>
      <c r="E169" s="8"/>
      <c r="F169" s="8"/>
      <c r="G169" s="8"/>
      <c r="H169" s="8"/>
      <c r="I169" s="8"/>
      <c r="J169" s="8"/>
      <c r="K169" s="8"/>
      <c r="L169" s="8"/>
      <c r="M169" s="8"/>
      <c r="N169" s="8"/>
      <c r="O169" s="8"/>
      <c r="P169" s="8"/>
      <c r="Q169" s="8"/>
      <c r="R169" s="8"/>
      <c r="S169" s="8"/>
      <c r="T169" s="52"/>
      <c r="U169" s="8"/>
      <c r="V169" s="5"/>
    </row>
    <row r="170" spans="1:22" ht="15.6" x14ac:dyDescent="0.3">
      <c r="A170" s="24"/>
      <c r="B170" s="25" t="s">
        <v>61</v>
      </c>
      <c r="C170" s="25"/>
      <c r="D170" s="25"/>
      <c r="E170" s="25"/>
      <c r="F170" s="25"/>
      <c r="G170" s="25"/>
      <c r="H170" s="25"/>
      <c r="I170" s="25"/>
      <c r="J170" s="25"/>
      <c r="K170" s="25"/>
      <c r="L170" s="25"/>
      <c r="M170" s="25"/>
      <c r="N170" s="25"/>
      <c r="O170" s="25"/>
      <c r="P170" s="25"/>
      <c r="Q170" s="25"/>
      <c r="R170" s="25"/>
      <c r="S170" s="25"/>
      <c r="T170" s="53">
        <f>T69</f>
        <v>648616</v>
      </c>
      <c r="U170" s="25"/>
      <c r="V170" s="5"/>
    </row>
    <row r="171" spans="1:22" ht="15.6" x14ac:dyDescent="0.3">
      <c r="A171" s="24"/>
      <c r="B171" s="25" t="s">
        <v>62</v>
      </c>
      <c r="C171" s="25"/>
      <c r="D171" s="25"/>
      <c r="E171" s="25"/>
      <c r="F171" s="25"/>
      <c r="G171" s="25"/>
      <c r="H171" s="25"/>
      <c r="I171" s="25"/>
      <c r="J171" s="25"/>
      <c r="K171" s="25"/>
      <c r="L171" s="25"/>
      <c r="M171" s="25"/>
      <c r="N171" s="25"/>
      <c r="O171" s="25"/>
      <c r="P171" s="25"/>
      <c r="Q171" s="25"/>
      <c r="R171" s="25"/>
      <c r="S171" s="25"/>
      <c r="T171" s="53">
        <f>T82</f>
        <v>648616</v>
      </c>
      <c r="U171" s="25"/>
      <c r="V171" s="5"/>
    </row>
    <row r="172" spans="1:22" ht="16.2" thickBot="1" x14ac:dyDescent="0.35">
      <c r="A172" s="24"/>
      <c r="B172" s="25"/>
      <c r="C172" s="25"/>
      <c r="D172" s="25"/>
      <c r="E172" s="25"/>
      <c r="F172" s="25"/>
      <c r="G172" s="25"/>
      <c r="H172" s="25"/>
      <c r="I172" s="25"/>
      <c r="J172" s="25"/>
      <c r="K172" s="25"/>
      <c r="L172" s="25"/>
      <c r="M172" s="25"/>
      <c r="N172" s="25"/>
      <c r="O172" s="25"/>
      <c r="P172" s="25"/>
      <c r="Q172" s="25"/>
      <c r="R172" s="25"/>
      <c r="S172" s="25"/>
      <c r="T172" s="61"/>
      <c r="U172" s="25"/>
      <c r="V172" s="5"/>
    </row>
    <row r="173" spans="1:22" ht="15.6" x14ac:dyDescent="0.3">
      <c r="A173" s="2"/>
      <c r="B173" s="4"/>
      <c r="C173" s="4"/>
      <c r="D173" s="4"/>
      <c r="E173" s="4"/>
      <c r="F173" s="4"/>
      <c r="G173" s="4"/>
      <c r="H173" s="4"/>
      <c r="I173" s="4"/>
      <c r="J173" s="4"/>
      <c r="K173" s="4"/>
      <c r="L173" s="4"/>
      <c r="M173" s="4"/>
      <c r="N173" s="4"/>
      <c r="O173" s="4"/>
      <c r="P173" s="4"/>
      <c r="Q173" s="4"/>
      <c r="R173" s="4"/>
      <c r="S173" s="4"/>
      <c r="T173" s="50"/>
      <c r="U173" s="4"/>
      <c r="V173" s="5"/>
    </row>
    <row r="174" spans="1:22" ht="15.6" x14ac:dyDescent="0.3">
      <c r="A174" s="6"/>
      <c r="B174" s="120" t="s">
        <v>63</v>
      </c>
      <c r="C174" s="118"/>
      <c r="D174" s="118"/>
      <c r="E174" s="118"/>
      <c r="F174" s="118"/>
      <c r="G174" s="118"/>
      <c r="H174" s="121"/>
      <c r="I174" s="121"/>
      <c r="J174" s="121"/>
      <c r="K174" s="121"/>
      <c r="L174" s="121"/>
      <c r="M174" s="121"/>
      <c r="N174" s="121"/>
      <c r="O174" s="121"/>
      <c r="P174" s="121"/>
      <c r="Q174" s="121" t="s">
        <v>107</v>
      </c>
      <c r="R174" s="121" t="s">
        <v>234</v>
      </c>
      <c r="S174" s="112"/>
      <c r="T174" s="122" t="s">
        <v>123</v>
      </c>
      <c r="U174" s="10"/>
      <c r="V174" s="5"/>
    </row>
    <row r="175" spans="1:22" ht="15.6" x14ac:dyDescent="0.3">
      <c r="A175" s="24"/>
      <c r="B175" s="25" t="s">
        <v>64</v>
      </c>
      <c r="C175" s="25"/>
      <c r="D175" s="25"/>
      <c r="E175" s="25"/>
      <c r="F175" s="25"/>
      <c r="G175" s="25"/>
      <c r="H175" s="25"/>
      <c r="I175" s="25"/>
      <c r="J175" s="25"/>
      <c r="K175" s="25"/>
      <c r="L175" s="25"/>
      <c r="M175" s="25"/>
      <c r="N175" s="25"/>
      <c r="O175" s="25"/>
      <c r="P175" s="25"/>
      <c r="Q175" s="53">
        <v>112000</v>
      </c>
      <c r="R175" s="40"/>
      <c r="S175" s="25"/>
      <c r="T175" s="53"/>
      <c r="U175" s="25"/>
      <c r="V175" s="5"/>
    </row>
    <row r="176" spans="1:22" ht="15.6" x14ac:dyDescent="0.3">
      <c r="A176" s="24"/>
      <c r="B176" s="25" t="s">
        <v>65</v>
      </c>
      <c r="C176" s="25"/>
      <c r="D176" s="25"/>
      <c r="E176" s="25"/>
      <c r="F176" s="25"/>
      <c r="G176" s="25"/>
      <c r="H176" s="25"/>
      <c r="I176" s="25"/>
      <c r="J176" s="25"/>
      <c r="K176" s="25"/>
      <c r="L176" s="25"/>
      <c r="M176" s="25"/>
      <c r="N176" s="25"/>
      <c r="O176" s="25"/>
      <c r="P176" s="25"/>
      <c r="Q176" s="53">
        <f>'Jan 06'!Q178</f>
        <v>8219</v>
      </c>
      <c r="R176" s="53">
        <f>+'Jan 06'!R178</f>
        <v>1695</v>
      </c>
      <c r="S176" s="25"/>
      <c r="T176" s="53">
        <f>Q176+R176</f>
        <v>9914</v>
      </c>
      <c r="U176" s="25"/>
      <c r="V176" s="5"/>
    </row>
    <row r="177" spans="1:22" ht="15.6" x14ac:dyDescent="0.3">
      <c r="A177" s="24"/>
      <c r="B177" s="25" t="s">
        <v>66</v>
      </c>
      <c r="C177" s="25"/>
      <c r="D177" s="25"/>
      <c r="E177" s="25"/>
      <c r="F177" s="25"/>
      <c r="G177" s="25"/>
      <c r="H177" s="25"/>
      <c r="I177" s="25"/>
      <c r="J177" s="25"/>
      <c r="K177" s="25"/>
      <c r="L177" s="25"/>
      <c r="M177" s="25"/>
      <c r="N177" s="25"/>
      <c r="O177" s="25"/>
      <c r="P177" s="25"/>
      <c r="Q177" s="34">
        <v>4178</v>
      </c>
      <c r="R177" s="34">
        <v>181</v>
      </c>
      <c r="S177" s="25"/>
      <c r="T177" s="53">
        <f>Q177+R177</f>
        <v>4359</v>
      </c>
      <c r="U177" s="25"/>
      <c r="V177" s="5"/>
    </row>
    <row r="178" spans="1:22" ht="15.6" x14ac:dyDescent="0.3">
      <c r="A178" s="24"/>
      <c r="B178" s="25" t="s">
        <v>67</v>
      </c>
      <c r="C178" s="25"/>
      <c r="D178" s="25"/>
      <c r="E178" s="25"/>
      <c r="F178" s="25"/>
      <c r="G178" s="25"/>
      <c r="H178" s="25"/>
      <c r="I178" s="25"/>
      <c r="J178" s="25"/>
      <c r="K178" s="25"/>
      <c r="L178" s="25"/>
      <c r="M178" s="25"/>
      <c r="N178" s="25"/>
      <c r="O178" s="25"/>
      <c r="P178" s="25"/>
      <c r="Q178" s="53">
        <f>Q176+Q177</f>
        <v>12397</v>
      </c>
      <c r="R178" s="53">
        <f>R177+R176</f>
        <v>1876</v>
      </c>
      <c r="S178" s="25"/>
      <c r="T178" s="53">
        <f>Q178+R178</f>
        <v>14273</v>
      </c>
      <c r="U178" s="25"/>
      <c r="V178" s="5"/>
    </row>
    <row r="179" spans="1:22" ht="15.6" x14ac:dyDescent="0.3">
      <c r="A179" s="24"/>
      <c r="B179" s="25" t="s">
        <v>68</v>
      </c>
      <c r="C179" s="25"/>
      <c r="D179" s="25"/>
      <c r="E179" s="25"/>
      <c r="F179" s="25"/>
      <c r="G179" s="25"/>
      <c r="H179" s="25"/>
      <c r="I179" s="25"/>
      <c r="J179" s="25"/>
      <c r="K179" s="25"/>
      <c r="L179" s="25"/>
      <c r="M179" s="25"/>
      <c r="N179" s="25"/>
      <c r="O179" s="25"/>
      <c r="P179" s="25"/>
      <c r="Q179" s="53">
        <f>Q175-Q178-R178</f>
        <v>97727</v>
      </c>
      <c r="R179" s="40"/>
      <c r="S179" s="25"/>
      <c r="T179" s="53"/>
      <c r="U179" s="25"/>
      <c r="V179" s="5"/>
    </row>
    <row r="180" spans="1:22" ht="16.2" thickBot="1" x14ac:dyDescent="0.35">
      <c r="A180" s="24"/>
      <c r="B180" s="25"/>
      <c r="C180" s="25"/>
      <c r="D180" s="25"/>
      <c r="E180" s="25"/>
      <c r="F180" s="25"/>
      <c r="G180" s="25"/>
      <c r="H180" s="25"/>
      <c r="I180" s="25"/>
      <c r="J180" s="25"/>
      <c r="K180" s="25"/>
      <c r="L180" s="25"/>
      <c r="M180" s="25"/>
      <c r="N180" s="25"/>
      <c r="O180" s="25"/>
      <c r="P180" s="25"/>
      <c r="Q180" s="25"/>
      <c r="R180" s="25"/>
      <c r="S180" s="25"/>
      <c r="T180" s="61"/>
      <c r="U180" s="25"/>
      <c r="V180" s="5"/>
    </row>
    <row r="181" spans="1:22" ht="15.6" x14ac:dyDescent="0.3">
      <c r="A181" s="2"/>
      <c r="B181" s="4"/>
      <c r="C181" s="4"/>
      <c r="D181" s="4"/>
      <c r="E181" s="4"/>
      <c r="F181" s="4"/>
      <c r="G181" s="4"/>
      <c r="H181" s="4"/>
      <c r="I181" s="4"/>
      <c r="J181" s="4"/>
      <c r="K181" s="4"/>
      <c r="L181" s="4"/>
      <c r="M181" s="4"/>
      <c r="N181" s="4"/>
      <c r="O181" s="4"/>
      <c r="P181" s="4"/>
      <c r="Q181" s="4"/>
      <c r="R181" s="4"/>
      <c r="S181" s="4"/>
      <c r="T181" s="50"/>
      <c r="U181" s="4"/>
      <c r="V181" s="5"/>
    </row>
    <row r="182" spans="1:22" ht="15.6" x14ac:dyDescent="0.3">
      <c r="A182" s="6"/>
      <c r="B182" s="120" t="s">
        <v>69</v>
      </c>
      <c r="C182" s="8"/>
      <c r="D182" s="8"/>
      <c r="E182" s="8"/>
      <c r="F182" s="8"/>
      <c r="G182" s="8"/>
      <c r="H182" s="8"/>
      <c r="I182" s="8"/>
      <c r="J182" s="8"/>
      <c r="K182" s="8"/>
      <c r="L182" s="8"/>
      <c r="M182" s="8"/>
      <c r="N182" s="8"/>
      <c r="O182" s="8"/>
      <c r="P182" s="8"/>
      <c r="Q182" s="8"/>
      <c r="R182" s="8"/>
      <c r="S182" s="8"/>
      <c r="T182" s="65"/>
      <c r="U182" s="8"/>
      <c r="V182" s="5"/>
    </row>
    <row r="183" spans="1:22" ht="15.6" x14ac:dyDescent="0.3">
      <c r="A183" s="24"/>
      <c r="B183" s="25" t="s">
        <v>70</v>
      </c>
      <c r="C183" s="25"/>
      <c r="D183" s="25"/>
      <c r="E183" s="25"/>
      <c r="F183" s="25"/>
      <c r="G183" s="25"/>
      <c r="H183" s="25"/>
      <c r="I183" s="25"/>
      <c r="J183" s="25"/>
      <c r="K183" s="25"/>
      <c r="L183" s="25"/>
      <c r="M183" s="25"/>
      <c r="N183" s="25"/>
      <c r="O183" s="25"/>
      <c r="P183" s="25"/>
      <c r="Q183" s="25"/>
      <c r="R183" s="25"/>
      <c r="S183" s="25"/>
      <c r="T183" s="59">
        <f>(T96+T98+T99+T100+T101+T102)/-(T103+T104+T105)</f>
        <v>1.4330168005843682</v>
      </c>
      <c r="U183" s="25" t="s">
        <v>124</v>
      </c>
      <c r="V183" s="5"/>
    </row>
    <row r="184" spans="1:22" ht="15.6" x14ac:dyDescent="0.3">
      <c r="A184" s="24"/>
      <c r="B184" s="25" t="s">
        <v>71</v>
      </c>
      <c r="C184" s="25"/>
      <c r="D184" s="25"/>
      <c r="E184" s="25"/>
      <c r="F184" s="25"/>
      <c r="G184" s="25"/>
      <c r="H184" s="25"/>
      <c r="I184" s="25"/>
      <c r="J184" s="25"/>
      <c r="K184" s="25"/>
      <c r="L184" s="25"/>
      <c r="M184" s="25"/>
      <c r="N184" s="25"/>
      <c r="O184" s="25"/>
      <c r="P184" s="25"/>
      <c r="Q184" s="25"/>
      <c r="R184" s="25"/>
      <c r="S184" s="25"/>
      <c r="T184" s="66">
        <v>1.33</v>
      </c>
      <c r="U184" s="25" t="s">
        <v>124</v>
      </c>
      <c r="V184" s="5"/>
    </row>
    <row r="185" spans="1:22" ht="15.6" x14ac:dyDescent="0.3">
      <c r="A185" s="24"/>
      <c r="B185" s="25" t="s">
        <v>72</v>
      </c>
      <c r="C185" s="25"/>
      <c r="D185" s="25"/>
      <c r="E185" s="25"/>
      <c r="F185" s="25"/>
      <c r="G185" s="25"/>
      <c r="H185" s="25"/>
      <c r="I185" s="25"/>
      <c r="J185" s="25"/>
      <c r="K185" s="25"/>
      <c r="L185" s="25"/>
      <c r="M185" s="25"/>
      <c r="N185" s="25"/>
      <c r="O185" s="25"/>
      <c r="P185" s="25"/>
      <c r="Q185" s="25"/>
      <c r="R185" s="25"/>
      <c r="S185" s="25"/>
      <c r="T185" s="59">
        <f>(T96+T98+T99+T100+T101+T102+T103+T104+T105)/-(T106+T107)</f>
        <v>9.1199999999999992</v>
      </c>
      <c r="U185" s="25" t="s">
        <v>124</v>
      </c>
      <c r="V185" s="5"/>
    </row>
    <row r="186" spans="1:22" ht="15.6" x14ac:dyDescent="0.3">
      <c r="A186" s="24"/>
      <c r="B186" s="25" t="s">
        <v>73</v>
      </c>
      <c r="C186" s="25"/>
      <c r="D186" s="25"/>
      <c r="E186" s="25"/>
      <c r="F186" s="25"/>
      <c r="G186" s="25"/>
      <c r="H186" s="25"/>
      <c r="I186" s="25"/>
      <c r="J186" s="25"/>
      <c r="K186" s="25"/>
      <c r="L186" s="25"/>
      <c r="M186" s="25"/>
      <c r="N186" s="25"/>
      <c r="O186" s="25"/>
      <c r="P186" s="25"/>
      <c r="Q186" s="25"/>
      <c r="R186" s="25"/>
      <c r="S186" s="25"/>
      <c r="T186" s="67">
        <v>7.05</v>
      </c>
      <c r="U186" s="25" t="s">
        <v>124</v>
      </c>
      <c r="V186" s="5"/>
    </row>
    <row r="187" spans="1:22" ht="15.6" x14ac:dyDescent="0.3">
      <c r="A187" s="24"/>
      <c r="B187" s="25" t="s">
        <v>243</v>
      </c>
      <c r="C187" s="25"/>
      <c r="D187" s="25"/>
      <c r="E187" s="25"/>
      <c r="F187" s="25"/>
      <c r="G187" s="25"/>
      <c r="H187" s="25"/>
      <c r="I187" s="25"/>
      <c r="J187" s="25"/>
      <c r="K187" s="25"/>
      <c r="L187" s="25"/>
      <c r="M187" s="25"/>
      <c r="N187" s="25"/>
      <c r="O187" s="25"/>
      <c r="P187" s="25"/>
      <c r="Q187" s="25"/>
      <c r="R187" s="25"/>
      <c r="S187" s="25"/>
      <c r="T187" s="59">
        <f>(T96+T98+T99+T100+T101+T102+T103+T104+T105+T106+T107)/-(T108+T109)</f>
        <v>4.3619834710743799</v>
      </c>
      <c r="U187" s="25" t="s">
        <v>124</v>
      </c>
      <c r="V187" s="5"/>
    </row>
    <row r="188" spans="1:22" ht="15.6" x14ac:dyDescent="0.3">
      <c r="A188" s="24"/>
      <c r="B188" s="25" t="s">
        <v>244</v>
      </c>
      <c r="C188" s="25"/>
      <c r="D188" s="25"/>
      <c r="E188" s="25"/>
      <c r="F188" s="25"/>
      <c r="G188" s="25"/>
      <c r="H188" s="25"/>
      <c r="I188" s="25"/>
      <c r="J188" s="25"/>
      <c r="K188" s="25"/>
      <c r="L188" s="25"/>
      <c r="M188" s="25"/>
      <c r="N188" s="25"/>
      <c r="O188" s="25"/>
      <c r="P188" s="25"/>
      <c r="Q188" s="25"/>
      <c r="R188" s="25"/>
      <c r="S188" s="25"/>
      <c r="T188" s="67">
        <v>3.25</v>
      </c>
      <c r="U188" s="25" t="s">
        <v>124</v>
      </c>
      <c r="V188" s="5"/>
    </row>
    <row r="189" spans="1:22" ht="15.6" x14ac:dyDescent="0.3">
      <c r="A189" s="24"/>
      <c r="B189" s="25"/>
      <c r="C189" s="25"/>
      <c r="D189" s="25"/>
      <c r="E189" s="25"/>
      <c r="F189" s="25"/>
      <c r="G189" s="25"/>
      <c r="H189" s="25"/>
      <c r="I189" s="25"/>
      <c r="J189" s="25"/>
      <c r="K189" s="25"/>
      <c r="L189" s="25"/>
      <c r="M189" s="25"/>
      <c r="N189" s="25"/>
      <c r="O189" s="25"/>
      <c r="P189" s="25"/>
      <c r="Q189" s="25"/>
      <c r="R189" s="25"/>
      <c r="S189" s="25"/>
      <c r="T189" s="25"/>
      <c r="U189" s="25"/>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6"/>
      <c r="B191" s="8"/>
      <c r="C191" s="8"/>
      <c r="D191" s="8"/>
      <c r="E191" s="8"/>
      <c r="F191" s="8"/>
      <c r="G191" s="8"/>
      <c r="H191" s="8"/>
      <c r="I191" s="8"/>
      <c r="J191" s="8"/>
      <c r="K191" s="8"/>
      <c r="L191" s="8"/>
      <c r="M191" s="8"/>
      <c r="N191" s="8"/>
      <c r="O191" s="8"/>
      <c r="P191" s="8"/>
      <c r="Q191" s="8"/>
      <c r="R191" s="8"/>
      <c r="S191" s="8"/>
      <c r="T191" s="8"/>
      <c r="U191" s="8"/>
      <c r="V191" s="5"/>
    </row>
    <row r="192" spans="1:22" ht="18" thickBot="1" x14ac:dyDescent="0.35">
      <c r="A192" s="102"/>
      <c r="B192" s="103" t="str">
        <f>B132</f>
        <v>PM9 INVESTOR REPORT QUARTER ENDING APRIL 2006</v>
      </c>
      <c r="C192" s="162"/>
      <c r="D192" s="162"/>
      <c r="E192" s="162"/>
      <c r="F192" s="162"/>
      <c r="G192" s="162"/>
      <c r="H192" s="162"/>
      <c r="I192" s="162"/>
      <c r="J192" s="162"/>
      <c r="K192" s="162"/>
      <c r="L192" s="162"/>
      <c r="M192" s="162"/>
      <c r="N192" s="162"/>
      <c r="O192" s="162"/>
      <c r="P192" s="162"/>
      <c r="Q192" s="162"/>
      <c r="R192" s="162"/>
      <c r="S192" s="162"/>
      <c r="T192" s="162"/>
      <c r="U192" s="163"/>
      <c r="V192" s="5"/>
    </row>
    <row r="193" spans="1:22" ht="15.6" x14ac:dyDescent="0.3">
      <c r="A193" s="68"/>
      <c r="B193" s="60" t="s">
        <v>74</v>
      </c>
      <c r="C193" s="69"/>
      <c r="D193" s="69"/>
      <c r="E193" s="69"/>
      <c r="F193" s="69"/>
      <c r="G193" s="70"/>
      <c r="H193" s="70"/>
      <c r="I193" s="70"/>
      <c r="J193" s="70"/>
      <c r="K193" s="70"/>
      <c r="L193" s="70"/>
      <c r="M193" s="70"/>
      <c r="N193" s="70"/>
      <c r="O193" s="70"/>
      <c r="P193" s="70"/>
      <c r="Q193" s="70"/>
      <c r="R193" s="71">
        <v>38837</v>
      </c>
      <c r="S193" s="4"/>
      <c r="T193" s="4"/>
      <c r="U193" s="4"/>
      <c r="V193" s="5"/>
    </row>
    <row r="194" spans="1:22" ht="15.6" x14ac:dyDescent="0.3">
      <c r="A194" s="72"/>
      <c r="B194" s="73"/>
      <c r="C194" s="74"/>
      <c r="D194" s="74"/>
      <c r="E194" s="74"/>
      <c r="F194" s="74"/>
      <c r="G194" s="75"/>
      <c r="H194" s="75"/>
      <c r="I194" s="75"/>
      <c r="J194" s="75"/>
      <c r="K194" s="75"/>
      <c r="L194" s="75"/>
      <c r="M194" s="75"/>
      <c r="N194" s="75"/>
      <c r="O194" s="75"/>
      <c r="P194" s="75"/>
      <c r="Q194" s="75"/>
      <c r="R194" s="75"/>
      <c r="S194" s="8"/>
      <c r="T194" s="8"/>
      <c r="U194" s="8"/>
      <c r="V194" s="5"/>
    </row>
    <row r="195" spans="1:22" ht="15.6" x14ac:dyDescent="0.3">
      <c r="A195" s="76"/>
      <c r="B195" s="77" t="s">
        <v>75</v>
      </c>
      <c r="C195" s="78"/>
      <c r="D195" s="78"/>
      <c r="E195" s="78"/>
      <c r="F195" s="78"/>
      <c r="G195" s="64"/>
      <c r="H195" s="64"/>
      <c r="I195" s="64"/>
      <c r="J195" s="64"/>
      <c r="K195" s="64"/>
      <c r="L195" s="64"/>
      <c r="M195" s="64"/>
      <c r="N195" s="64"/>
      <c r="O195" s="64"/>
      <c r="P195" s="64"/>
      <c r="Q195" s="64"/>
      <c r="R195" s="79">
        <v>5.8209999999999998E-2</v>
      </c>
      <c r="S195" s="25"/>
      <c r="T195" s="25"/>
      <c r="U195" s="25"/>
      <c r="V195" s="5"/>
    </row>
    <row r="196" spans="1:22" ht="15.6" x14ac:dyDescent="0.3">
      <c r="A196" s="76"/>
      <c r="B196" s="77" t="s">
        <v>164</v>
      </c>
      <c r="C196" s="78"/>
      <c r="D196" s="78"/>
      <c r="E196" s="78"/>
      <c r="F196" s="78"/>
      <c r="G196" s="64"/>
      <c r="H196" s="64"/>
      <c r="I196" s="64"/>
      <c r="J196" s="64"/>
      <c r="K196" s="64"/>
      <c r="L196" s="64"/>
      <c r="M196" s="64"/>
      <c r="N196" s="64"/>
      <c r="O196" s="64"/>
      <c r="P196" s="64"/>
      <c r="Q196" s="64"/>
      <c r="R196" s="39">
        <f>'Oct 05'!R193</f>
        <v>4.8438496428571419E-2</v>
      </c>
      <c r="S196" s="25"/>
      <c r="T196" s="25"/>
      <c r="U196" s="25"/>
      <c r="V196" s="5"/>
    </row>
    <row r="197" spans="1:22" ht="15.6" x14ac:dyDescent="0.3">
      <c r="A197" s="76"/>
      <c r="B197" s="77" t="s">
        <v>76</v>
      </c>
      <c r="C197" s="78"/>
      <c r="D197" s="78"/>
      <c r="E197" s="78"/>
      <c r="F197" s="78"/>
      <c r="G197" s="64"/>
      <c r="H197" s="64"/>
      <c r="I197" s="64"/>
      <c r="J197" s="64"/>
      <c r="K197" s="64"/>
      <c r="L197" s="64"/>
      <c r="M197" s="64"/>
      <c r="N197" s="64"/>
      <c r="O197" s="64"/>
      <c r="P197" s="64"/>
      <c r="Q197" s="64"/>
      <c r="R197" s="79">
        <f>R195-R196</f>
        <v>9.7715035714285789E-3</v>
      </c>
      <c r="S197" s="25"/>
      <c r="T197" s="25"/>
      <c r="U197" s="25"/>
      <c r="V197" s="5"/>
    </row>
    <row r="198" spans="1:22" ht="15.6" x14ac:dyDescent="0.3">
      <c r="A198" s="76"/>
      <c r="B198" s="77" t="s">
        <v>77</v>
      </c>
      <c r="C198" s="78"/>
      <c r="D198" s="78"/>
      <c r="E198" s="78"/>
      <c r="F198" s="78"/>
      <c r="G198" s="64"/>
      <c r="H198" s="64"/>
      <c r="I198" s="64"/>
      <c r="J198" s="64"/>
      <c r="K198" s="64"/>
      <c r="L198" s="64"/>
      <c r="M198" s="64"/>
      <c r="N198" s="64"/>
      <c r="O198" s="64"/>
      <c r="P198" s="64"/>
      <c r="Q198" s="64"/>
      <c r="R198" s="79">
        <v>5.7070000000000003E-2</v>
      </c>
      <c r="S198" s="25"/>
      <c r="T198" s="25"/>
      <c r="U198" s="25"/>
      <c r="V198" s="5"/>
    </row>
    <row r="199" spans="1:22" ht="15.6" x14ac:dyDescent="0.3">
      <c r="A199" s="76"/>
      <c r="B199" s="77" t="s">
        <v>257</v>
      </c>
      <c r="C199" s="78"/>
      <c r="D199" s="78"/>
      <c r="E199" s="78"/>
      <c r="F199" s="78"/>
      <c r="G199" s="64"/>
      <c r="H199" s="64"/>
      <c r="I199" s="64"/>
      <c r="J199" s="64"/>
      <c r="K199" s="64"/>
      <c r="L199" s="64"/>
      <c r="M199" s="64"/>
      <c r="N199" s="64"/>
      <c r="O199" s="64"/>
      <c r="P199" s="64"/>
      <c r="Q199" s="64"/>
      <c r="R199" s="79">
        <f>+T41</f>
        <v>4.7920452333475479E-2</v>
      </c>
      <c r="S199" s="25"/>
      <c r="T199" s="25"/>
      <c r="U199" s="25"/>
      <c r="V199" s="5"/>
    </row>
    <row r="200" spans="1:22" ht="15.6" x14ac:dyDescent="0.3">
      <c r="A200" s="76"/>
      <c r="B200" s="77" t="s">
        <v>78</v>
      </c>
      <c r="C200" s="78"/>
      <c r="D200" s="78"/>
      <c r="E200" s="78"/>
      <c r="F200" s="78"/>
      <c r="G200" s="64"/>
      <c r="H200" s="64"/>
      <c r="I200" s="64"/>
      <c r="J200" s="64"/>
      <c r="K200" s="64"/>
      <c r="L200" s="64"/>
      <c r="M200" s="64"/>
      <c r="N200" s="64"/>
      <c r="O200" s="64"/>
      <c r="P200" s="64"/>
      <c r="Q200" s="64"/>
      <c r="R200" s="79">
        <f>R198-R199</f>
        <v>9.149547666524524E-3</v>
      </c>
      <c r="S200" s="25"/>
      <c r="T200" s="25"/>
      <c r="U200" s="25"/>
      <c r="V200" s="5"/>
    </row>
    <row r="201" spans="1:22" ht="15.6" x14ac:dyDescent="0.3">
      <c r="A201" s="76"/>
      <c r="B201" s="77" t="s">
        <v>268</v>
      </c>
      <c r="C201" s="78"/>
      <c r="D201" s="78"/>
      <c r="E201" s="78"/>
      <c r="F201" s="78"/>
      <c r="G201" s="64"/>
      <c r="H201" s="64"/>
      <c r="I201" s="64"/>
      <c r="J201" s="64"/>
      <c r="K201" s="64"/>
      <c r="L201" s="64"/>
      <c r="M201" s="64"/>
      <c r="N201" s="64"/>
      <c r="O201" s="64"/>
      <c r="P201" s="64"/>
      <c r="Q201" s="64"/>
      <c r="R201" s="79">
        <f>+T96/L69</f>
        <v>1.5292620138589371E-2</v>
      </c>
      <c r="S201" s="25"/>
      <c r="T201" s="25"/>
      <c r="U201" s="25"/>
      <c r="V201" s="5"/>
    </row>
    <row r="202" spans="1:22" ht="15.6" x14ac:dyDescent="0.3">
      <c r="A202" s="76"/>
      <c r="B202" s="77" t="s">
        <v>249</v>
      </c>
      <c r="C202" s="78"/>
      <c r="D202" s="78"/>
      <c r="E202" s="78"/>
      <c r="F202" s="78"/>
      <c r="G202" s="64"/>
      <c r="H202" s="64"/>
      <c r="I202" s="64"/>
      <c r="J202" s="64"/>
      <c r="K202" s="64"/>
      <c r="L202" s="64"/>
      <c r="M202" s="64"/>
      <c r="N202" s="64"/>
      <c r="O202" s="64"/>
      <c r="P202" s="64"/>
      <c r="Q202" s="64"/>
      <c r="R202" s="132">
        <v>51622</v>
      </c>
      <c r="S202" s="25"/>
      <c r="T202" s="25"/>
      <c r="U202" s="25"/>
      <c r="V202" s="5"/>
    </row>
    <row r="203" spans="1:22" ht="15.6" x14ac:dyDescent="0.3">
      <c r="A203" s="76"/>
      <c r="B203" s="77" t="s">
        <v>250</v>
      </c>
      <c r="C203" s="78"/>
      <c r="D203" s="78"/>
      <c r="E203" s="78"/>
      <c r="F203" s="78"/>
      <c r="G203" s="64"/>
      <c r="H203" s="64"/>
      <c r="I203" s="64"/>
      <c r="J203" s="64"/>
      <c r="K203" s="64"/>
      <c r="L203" s="64"/>
      <c r="M203" s="64"/>
      <c r="N203" s="64"/>
      <c r="O203" s="64"/>
      <c r="P203" s="64"/>
      <c r="Q203" s="64"/>
      <c r="R203" s="132">
        <v>51622</v>
      </c>
      <c r="S203" s="25"/>
      <c r="T203" s="25"/>
      <c r="U203" s="25"/>
      <c r="V203" s="5"/>
    </row>
    <row r="204" spans="1:22" ht="15.6" x14ac:dyDescent="0.3">
      <c r="A204" s="76"/>
      <c r="B204" s="77" t="s">
        <v>251</v>
      </c>
      <c r="C204" s="78"/>
      <c r="D204" s="78"/>
      <c r="E204" s="78"/>
      <c r="F204" s="78"/>
      <c r="G204" s="64"/>
      <c r="H204" s="64"/>
      <c r="I204" s="64"/>
      <c r="J204" s="64"/>
      <c r="K204" s="64"/>
      <c r="L204" s="64"/>
      <c r="M204" s="64"/>
      <c r="N204" s="64"/>
      <c r="O204" s="64"/>
      <c r="P204" s="64"/>
      <c r="Q204" s="64"/>
      <c r="R204" s="132">
        <v>51622</v>
      </c>
      <c r="S204" s="25"/>
      <c r="T204" s="25"/>
      <c r="U204" s="25"/>
      <c r="V204" s="5"/>
    </row>
    <row r="205" spans="1:22" ht="15.6" x14ac:dyDescent="0.3">
      <c r="A205" s="76"/>
      <c r="B205" s="77" t="s">
        <v>79</v>
      </c>
      <c r="C205" s="78"/>
      <c r="D205" s="78"/>
      <c r="E205" s="78"/>
      <c r="F205" s="78"/>
      <c r="G205" s="64"/>
      <c r="H205" s="64"/>
      <c r="I205" s="64"/>
      <c r="J205" s="64"/>
      <c r="K205" s="64"/>
      <c r="L205" s="64"/>
      <c r="M205" s="64"/>
      <c r="N205" s="64"/>
      <c r="O205" s="64"/>
      <c r="P205" s="64"/>
      <c r="Q205" s="64"/>
      <c r="R205" s="136">
        <v>20.95</v>
      </c>
      <c r="S205" s="25" t="s">
        <v>119</v>
      </c>
      <c r="T205" s="25"/>
      <c r="U205" s="25"/>
      <c r="V205" s="5"/>
    </row>
    <row r="206" spans="1:22" ht="15.6" x14ac:dyDescent="0.3">
      <c r="A206" s="76"/>
      <c r="B206" s="77" t="s">
        <v>80</v>
      </c>
      <c r="C206" s="78"/>
      <c r="D206" s="78"/>
      <c r="E206" s="78"/>
      <c r="F206" s="78"/>
      <c r="G206" s="64"/>
      <c r="H206" s="64"/>
      <c r="I206" s="64"/>
      <c r="J206" s="64"/>
      <c r="K206" s="64"/>
      <c r="L206" s="64"/>
      <c r="M206" s="64"/>
      <c r="N206" s="64"/>
      <c r="O206" s="64"/>
      <c r="P206" s="64"/>
      <c r="Q206" s="64"/>
      <c r="R206" s="136">
        <v>20.28</v>
      </c>
      <c r="S206" s="25" t="s">
        <v>119</v>
      </c>
      <c r="T206" s="25"/>
      <c r="U206" s="25"/>
      <c r="V206" s="5"/>
    </row>
    <row r="207" spans="1:22" ht="15.6" x14ac:dyDescent="0.3">
      <c r="A207" s="76"/>
      <c r="B207" s="77" t="s">
        <v>81</v>
      </c>
      <c r="C207" s="78"/>
      <c r="D207" s="78"/>
      <c r="E207" s="78"/>
      <c r="F207" s="78"/>
      <c r="G207" s="64"/>
      <c r="H207" s="64"/>
      <c r="I207" s="64"/>
      <c r="J207" s="64"/>
      <c r="K207" s="64"/>
      <c r="L207" s="64"/>
      <c r="M207" s="64"/>
      <c r="N207" s="64"/>
      <c r="O207" s="64"/>
      <c r="P207" s="64"/>
      <c r="Q207" s="64"/>
      <c r="R207" s="79">
        <v>3.2399999999999998E-2</v>
      </c>
      <c r="S207" s="25"/>
      <c r="T207" s="25"/>
      <c r="U207" s="25"/>
      <c r="V207" s="5"/>
    </row>
    <row r="208" spans="1:22" ht="15.6" x14ac:dyDescent="0.3">
      <c r="A208" s="76"/>
      <c r="B208" s="77" t="s">
        <v>82</v>
      </c>
      <c r="C208" s="78"/>
      <c r="D208" s="78"/>
      <c r="E208" s="78"/>
      <c r="F208" s="78"/>
      <c r="G208" s="64"/>
      <c r="H208" s="64"/>
      <c r="I208" s="64"/>
      <c r="J208" s="64"/>
      <c r="K208" s="64"/>
      <c r="L208" s="64"/>
      <c r="M208" s="64"/>
      <c r="N208" s="64"/>
      <c r="O208" s="64"/>
      <c r="P208" s="64"/>
      <c r="Q208" s="64"/>
      <c r="R208" s="79">
        <v>0.11409999999999999</v>
      </c>
      <c r="S208" s="25"/>
      <c r="T208" s="25"/>
      <c r="U208" s="25"/>
      <c r="V208" s="5"/>
    </row>
    <row r="209" spans="1:22" ht="15.6" x14ac:dyDescent="0.3">
      <c r="A209" s="76"/>
      <c r="B209" s="77"/>
      <c r="C209" s="77"/>
      <c r="D209" s="77"/>
      <c r="E209" s="77"/>
      <c r="F209" s="77"/>
      <c r="G209" s="25"/>
      <c r="H209" s="25"/>
      <c r="I209" s="25"/>
      <c r="J209" s="25"/>
      <c r="K209" s="25"/>
      <c r="L209" s="25"/>
      <c r="M209" s="25"/>
      <c r="N209" s="25"/>
      <c r="O209" s="25"/>
      <c r="P209" s="25"/>
      <c r="Q209" s="25"/>
      <c r="R209" s="61"/>
      <c r="S209" s="25"/>
      <c r="T209" s="80"/>
      <c r="U209" s="25"/>
      <c r="V209" s="5"/>
    </row>
    <row r="210" spans="1:22" ht="15.6" x14ac:dyDescent="0.3">
      <c r="A210" s="81"/>
      <c r="B210" s="14" t="s">
        <v>83</v>
      </c>
      <c r="C210" s="82"/>
      <c r="D210" s="82"/>
      <c r="E210" s="82"/>
      <c r="F210" s="83"/>
      <c r="G210" s="82"/>
      <c r="H210" s="17"/>
      <c r="I210" s="17"/>
      <c r="J210" s="17"/>
      <c r="K210" s="17"/>
      <c r="L210" s="17"/>
      <c r="M210" s="17"/>
      <c r="N210" s="17"/>
      <c r="O210" s="17"/>
      <c r="P210" s="17"/>
      <c r="Q210" s="17" t="s">
        <v>108</v>
      </c>
      <c r="R210" s="84" t="s">
        <v>115</v>
      </c>
      <c r="S210" s="8"/>
      <c r="T210" s="8"/>
      <c r="U210" s="8"/>
      <c r="V210" s="5"/>
    </row>
    <row r="211" spans="1:22" ht="15.6" x14ac:dyDescent="0.3">
      <c r="A211" s="85"/>
      <c r="B211" s="77" t="s">
        <v>84</v>
      </c>
      <c r="C211" s="54"/>
      <c r="D211" s="54"/>
      <c r="E211" s="54"/>
      <c r="F211" s="25"/>
      <c r="G211" s="25"/>
      <c r="H211" s="30"/>
      <c r="I211" s="30"/>
      <c r="J211" s="30"/>
      <c r="K211" s="30"/>
      <c r="L211" s="30"/>
      <c r="M211" s="30"/>
      <c r="N211" s="30"/>
      <c r="O211" s="30"/>
      <c r="P211" s="30"/>
      <c r="Q211" s="30">
        <v>0</v>
      </c>
      <c r="R211" s="86">
        <v>0</v>
      </c>
      <c r="S211" s="25"/>
      <c r="T211" s="80"/>
      <c r="U211" s="87"/>
      <c r="V211" s="5"/>
    </row>
    <row r="212" spans="1:22" ht="15.6" x14ac:dyDescent="0.3">
      <c r="A212" s="85"/>
      <c r="B212" s="77" t="s">
        <v>156</v>
      </c>
      <c r="C212" s="54"/>
      <c r="D212" s="54"/>
      <c r="E212" s="54"/>
      <c r="F212" s="25"/>
      <c r="G212" s="25"/>
      <c r="H212" s="30"/>
      <c r="I212" s="30"/>
      <c r="J212" s="30"/>
      <c r="K212" s="30"/>
      <c r="L212" s="30"/>
      <c r="M212" s="30"/>
      <c r="N212" s="30"/>
      <c r="O212" s="30"/>
      <c r="P212" s="30"/>
      <c r="Q212" s="156">
        <f>+P251</f>
        <v>15</v>
      </c>
      <c r="R212" s="86">
        <f>+R251</f>
        <v>2354</v>
      </c>
      <c r="S212" s="25"/>
      <c r="T212" s="80"/>
      <c r="U212" s="87"/>
      <c r="V212" s="5"/>
    </row>
    <row r="213" spans="1:22" ht="15.6" x14ac:dyDescent="0.3">
      <c r="A213" s="85"/>
      <c r="B213" s="77" t="s">
        <v>85</v>
      </c>
      <c r="C213" s="54"/>
      <c r="D213" s="54"/>
      <c r="E213" s="54"/>
      <c r="F213" s="25"/>
      <c r="G213" s="25"/>
      <c r="H213" s="30"/>
      <c r="I213" s="30"/>
      <c r="J213" s="30"/>
      <c r="K213" s="30"/>
      <c r="L213" s="30"/>
      <c r="M213" s="30"/>
      <c r="N213" s="30"/>
      <c r="O213" s="30"/>
      <c r="P213" s="30"/>
      <c r="Q213" s="30">
        <v>0</v>
      </c>
      <c r="R213" s="86">
        <v>0</v>
      </c>
      <c r="S213" s="25"/>
      <c r="T213" s="80"/>
      <c r="U213" s="87"/>
      <c r="V213" s="5"/>
    </row>
    <row r="214" spans="1:22" ht="15.6" x14ac:dyDescent="0.3">
      <c r="A214" s="85"/>
      <c r="B214" s="123" t="s">
        <v>86</v>
      </c>
      <c r="C214" s="54"/>
      <c r="D214" s="54"/>
      <c r="E214" s="54"/>
      <c r="F214" s="25"/>
      <c r="G214" s="25"/>
      <c r="H214" s="25"/>
      <c r="I214" s="25"/>
      <c r="J214" s="25"/>
      <c r="K214" s="25"/>
      <c r="L214" s="25"/>
      <c r="M214" s="25"/>
      <c r="N214" s="25"/>
      <c r="O214" s="25"/>
      <c r="P214" s="25"/>
      <c r="Q214" s="25"/>
      <c r="R214" s="86">
        <v>0</v>
      </c>
      <c r="S214" s="25"/>
      <c r="T214" s="80"/>
      <c r="U214" s="87"/>
      <c r="V214" s="5"/>
    </row>
    <row r="215" spans="1:22" ht="15.6" x14ac:dyDescent="0.3">
      <c r="A215" s="85"/>
      <c r="B215" s="123" t="s">
        <v>87</v>
      </c>
      <c r="C215" s="54"/>
      <c r="D215" s="54"/>
      <c r="E215" s="54"/>
      <c r="F215" s="25"/>
      <c r="G215" s="25"/>
      <c r="H215" s="25"/>
      <c r="I215" s="25"/>
      <c r="J215" s="25"/>
      <c r="K215" s="25"/>
      <c r="L215" s="25"/>
      <c r="M215" s="25"/>
      <c r="N215" s="25"/>
      <c r="O215" s="25"/>
      <c r="P215" s="25"/>
      <c r="Q215" s="25"/>
      <c r="R215" s="62" t="s">
        <v>116</v>
      </c>
      <c r="S215" s="25"/>
      <c r="T215" s="80"/>
      <c r="U215" s="87"/>
      <c r="V215" s="5"/>
    </row>
    <row r="216" spans="1:22" ht="15.6" x14ac:dyDescent="0.3">
      <c r="A216" s="88"/>
      <c r="B216" s="123" t="s">
        <v>88</v>
      </c>
      <c r="C216" s="77"/>
      <c r="D216" s="77"/>
      <c r="E216" s="77"/>
      <c r="F216" s="77"/>
      <c r="G216" s="25"/>
      <c r="H216" s="25"/>
      <c r="I216" s="25"/>
      <c r="J216" s="25"/>
      <c r="K216" s="25"/>
      <c r="L216" s="25"/>
      <c r="M216" s="25"/>
      <c r="N216" s="25"/>
      <c r="O216" s="25"/>
      <c r="P216" s="25"/>
      <c r="Q216" s="25"/>
      <c r="R216" s="86"/>
      <c r="S216" s="25"/>
      <c r="T216" s="80"/>
      <c r="U216" s="89"/>
      <c r="V216" s="5"/>
    </row>
    <row r="217" spans="1:22" ht="15.6" x14ac:dyDescent="0.3">
      <c r="A217" s="88"/>
      <c r="B217" s="134" t="s">
        <v>89</v>
      </c>
      <c r="C217" s="77"/>
      <c r="D217" s="77"/>
      <c r="E217" s="77"/>
      <c r="F217" s="77"/>
      <c r="G217" s="25"/>
      <c r="H217" s="25"/>
      <c r="I217" s="25"/>
      <c r="J217" s="25"/>
      <c r="K217" s="25"/>
      <c r="L217" s="25"/>
      <c r="M217" s="25"/>
      <c r="N217" s="25"/>
      <c r="O217" s="25"/>
      <c r="P217" s="25"/>
      <c r="Q217" s="30">
        <v>0</v>
      </c>
      <c r="R217" s="86">
        <f>T162</f>
        <v>0</v>
      </c>
      <c r="S217" s="25"/>
      <c r="T217" s="80"/>
      <c r="U217" s="89"/>
      <c r="V217" s="5"/>
    </row>
    <row r="218" spans="1:22" ht="15.6" x14ac:dyDescent="0.3">
      <c r="A218" s="85"/>
      <c r="B218" s="77" t="s">
        <v>90</v>
      </c>
      <c r="C218" s="54"/>
      <c r="D218" s="54"/>
      <c r="E218" s="54"/>
      <c r="F218" s="54"/>
      <c r="G218" s="25"/>
      <c r="H218" s="25"/>
      <c r="I218" s="25"/>
      <c r="J218" s="25"/>
      <c r="K218" s="25"/>
      <c r="L218" s="25"/>
      <c r="M218" s="25"/>
      <c r="N218" s="25"/>
      <c r="O218" s="25"/>
      <c r="P218" s="25"/>
      <c r="Q218" s="30">
        <v>0</v>
      </c>
      <c r="R218" s="86">
        <f>'Jan 06'!R218+R217</f>
        <v>0</v>
      </c>
      <c r="S218" s="25"/>
      <c r="T218" s="80"/>
      <c r="U218" s="89"/>
      <c r="V218" s="5"/>
    </row>
    <row r="219" spans="1:22" ht="15.6" x14ac:dyDescent="0.3">
      <c r="A219" s="88"/>
      <c r="B219" s="123" t="s">
        <v>288</v>
      </c>
      <c r="C219" s="77"/>
      <c r="D219" s="77"/>
      <c r="E219" s="77"/>
      <c r="F219" s="77"/>
      <c r="G219" s="25"/>
      <c r="H219" s="25"/>
      <c r="I219" s="25"/>
      <c r="J219" s="25"/>
      <c r="K219" s="25"/>
      <c r="L219" s="25"/>
      <c r="M219" s="25"/>
      <c r="N219" s="25"/>
      <c r="O219" s="25"/>
      <c r="P219" s="25"/>
      <c r="Q219" s="30"/>
      <c r="R219" s="86"/>
      <c r="S219" s="25"/>
      <c r="T219" s="80"/>
      <c r="U219" s="89"/>
      <c r="V219" s="5"/>
    </row>
    <row r="220" spans="1:22" ht="15.6" x14ac:dyDescent="0.3">
      <c r="A220" s="88"/>
      <c r="B220" s="77" t="s">
        <v>286</v>
      </c>
      <c r="C220" s="77"/>
      <c r="D220" s="77"/>
      <c r="E220" s="77"/>
      <c r="F220" s="77"/>
      <c r="G220" s="25"/>
      <c r="H220" s="25"/>
      <c r="I220" s="25"/>
      <c r="J220" s="25"/>
      <c r="K220" s="25"/>
      <c r="L220" s="25"/>
      <c r="M220" s="25"/>
      <c r="N220" s="25"/>
      <c r="O220" s="25"/>
      <c r="P220" s="25"/>
      <c r="Q220" s="30">
        <v>0</v>
      </c>
      <c r="R220" s="86">
        <v>0</v>
      </c>
      <c r="S220" s="25"/>
      <c r="T220" s="80"/>
      <c r="U220" s="89"/>
      <c r="V220" s="5"/>
    </row>
    <row r="221" spans="1:22" ht="15.6" x14ac:dyDescent="0.3">
      <c r="A221" s="85"/>
      <c r="B221" s="77" t="s">
        <v>92</v>
      </c>
      <c r="C221" s="90"/>
      <c r="D221" s="90"/>
      <c r="E221" s="90"/>
      <c r="F221" s="91"/>
      <c r="G221" s="25"/>
      <c r="H221" s="25"/>
      <c r="I221" s="25"/>
      <c r="J221" s="25"/>
      <c r="K221" s="25"/>
      <c r="L221" s="25"/>
      <c r="M221" s="25"/>
      <c r="N221" s="25"/>
      <c r="O221" s="25"/>
      <c r="P221" s="25"/>
      <c r="Q221" s="30"/>
      <c r="R221" s="62">
        <v>0</v>
      </c>
      <c r="S221" s="25"/>
      <c r="T221" s="80"/>
      <c r="U221" s="89"/>
      <c r="V221" s="5"/>
    </row>
    <row r="222" spans="1:22" ht="15.6" x14ac:dyDescent="0.3">
      <c r="A222" s="85"/>
      <c r="B222" s="77" t="s">
        <v>93</v>
      </c>
      <c r="C222" s="90"/>
      <c r="D222" s="90"/>
      <c r="E222" s="90"/>
      <c r="F222" s="91"/>
      <c r="G222" s="25"/>
      <c r="H222" s="25"/>
      <c r="I222" s="25"/>
      <c r="J222" s="25"/>
      <c r="K222" s="25"/>
      <c r="L222" s="25"/>
      <c r="M222" s="25"/>
      <c r="N222" s="25"/>
      <c r="O222" s="25"/>
      <c r="P222" s="25"/>
      <c r="Q222" s="30"/>
      <c r="R222" s="62">
        <v>0</v>
      </c>
      <c r="S222" s="25"/>
      <c r="T222" s="80"/>
      <c r="U222" s="89"/>
      <c r="V222" s="5"/>
    </row>
    <row r="223" spans="1:22" ht="15.6" x14ac:dyDescent="0.3">
      <c r="A223" s="85"/>
      <c r="B223" s="123" t="s">
        <v>258</v>
      </c>
      <c r="C223" s="90"/>
      <c r="D223" s="90"/>
      <c r="E223" s="90"/>
      <c r="F223" s="91"/>
      <c r="G223" s="25"/>
      <c r="H223" s="25"/>
      <c r="I223" s="25"/>
      <c r="J223" s="25"/>
      <c r="K223" s="25"/>
      <c r="L223" s="25"/>
      <c r="M223" s="25"/>
      <c r="N223" s="25"/>
      <c r="O223" s="25"/>
      <c r="P223" s="25"/>
      <c r="Q223" s="30"/>
      <c r="R223" s="92"/>
      <c r="S223" s="25"/>
      <c r="T223" s="80"/>
      <c r="U223" s="89"/>
      <c r="V223" s="5"/>
    </row>
    <row r="224" spans="1:22" ht="15.6" x14ac:dyDescent="0.3">
      <c r="A224" s="85"/>
      <c r="B224" s="77" t="s">
        <v>286</v>
      </c>
      <c r="C224" s="90"/>
      <c r="D224" s="90"/>
      <c r="E224" s="90"/>
      <c r="F224" s="91"/>
      <c r="G224" s="25"/>
      <c r="H224" s="25"/>
      <c r="I224" s="25"/>
      <c r="J224" s="25"/>
      <c r="K224" s="25"/>
      <c r="L224" s="25"/>
      <c r="M224" s="25"/>
      <c r="N224" s="25"/>
      <c r="O224" s="25"/>
      <c r="P224" s="25"/>
      <c r="Q224" s="30">
        <v>1</v>
      </c>
      <c r="R224" s="86">
        <v>26</v>
      </c>
      <c r="S224" s="25"/>
      <c r="T224" s="80"/>
      <c r="U224" s="89"/>
      <c r="V224" s="5"/>
    </row>
    <row r="225" spans="1:23" ht="15.6" x14ac:dyDescent="0.3">
      <c r="A225" s="85"/>
      <c r="B225" s="77" t="s">
        <v>259</v>
      </c>
      <c r="C225" s="90"/>
      <c r="D225" s="90"/>
      <c r="E225" s="90"/>
      <c r="F225" s="91"/>
      <c r="G225" s="25"/>
      <c r="H225" s="25"/>
      <c r="I225" s="25"/>
      <c r="J225" s="25"/>
      <c r="K225" s="25"/>
      <c r="L225" s="25"/>
      <c r="M225" s="25"/>
      <c r="N225" s="25"/>
      <c r="O225" s="25"/>
      <c r="P225" s="25"/>
      <c r="Q225" s="25"/>
      <c r="R225" s="62">
        <v>11.79</v>
      </c>
      <c r="S225" s="25"/>
      <c r="T225" s="80"/>
      <c r="U225" s="89"/>
      <c r="V225" s="5"/>
    </row>
    <row r="226" spans="1:23" ht="15.6" x14ac:dyDescent="0.3">
      <c r="A226" s="85"/>
      <c r="B226" s="77"/>
      <c r="C226" s="90"/>
      <c r="D226" s="90"/>
      <c r="E226" s="90"/>
      <c r="F226" s="91"/>
      <c r="G226" s="25"/>
      <c r="H226" s="25"/>
      <c r="I226" s="25"/>
      <c r="J226" s="25"/>
      <c r="K226" s="25"/>
      <c r="L226" s="25"/>
      <c r="M226" s="25"/>
      <c r="N226" s="25"/>
      <c r="O226" s="25"/>
      <c r="P226" s="25"/>
      <c r="Q226" s="25"/>
      <c r="R226" s="92"/>
      <c r="S226" s="25"/>
      <c r="T226" s="80"/>
      <c r="U226" s="89"/>
      <c r="V226" s="5"/>
    </row>
    <row r="227" spans="1:23" ht="17.399999999999999" x14ac:dyDescent="0.3">
      <c r="A227" s="85"/>
      <c r="B227" s="153" t="s">
        <v>208</v>
      </c>
      <c r="C227" s="90"/>
      <c r="D227" s="90"/>
      <c r="E227" s="90"/>
      <c r="F227" s="91"/>
      <c r="G227" s="25"/>
      <c r="H227" s="25"/>
      <c r="I227" s="25"/>
      <c r="J227" s="25"/>
      <c r="K227" s="25"/>
      <c r="L227" s="25"/>
      <c r="M227" s="25"/>
      <c r="N227" s="154" t="s">
        <v>207</v>
      </c>
      <c r="O227" s="25"/>
      <c r="P227" s="25"/>
      <c r="Q227" s="25"/>
      <c r="R227" s="92"/>
      <c r="S227" s="25"/>
      <c r="T227" s="80"/>
      <c r="U227" s="89"/>
      <c r="V227" s="5"/>
    </row>
    <row r="228" spans="1:23" ht="15.6" x14ac:dyDescent="0.3">
      <c r="A228" s="85"/>
      <c r="B228" s="77"/>
      <c r="C228" s="90"/>
      <c r="D228" s="90"/>
      <c r="E228" s="90"/>
      <c r="F228" s="91"/>
      <c r="G228" s="25"/>
      <c r="H228" s="25"/>
      <c r="I228" s="25"/>
      <c r="J228" s="25"/>
      <c r="K228" s="25"/>
      <c r="L228" s="25"/>
      <c r="M228" s="25"/>
      <c r="N228" s="25"/>
      <c r="O228" s="25"/>
      <c r="P228" s="25"/>
      <c r="Q228" s="25"/>
      <c r="R228" s="92"/>
      <c r="S228" s="25"/>
      <c r="T228" s="80"/>
      <c r="U228" s="89"/>
      <c r="V228" s="5"/>
    </row>
    <row r="229" spans="1:23" ht="15.6" x14ac:dyDescent="0.3">
      <c r="A229" s="6"/>
      <c r="B229" s="14" t="s">
        <v>177</v>
      </c>
      <c r="C229" s="82"/>
      <c r="D229" s="82"/>
      <c r="E229" s="82"/>
      <c r="F229" s="83"/>
      <c r="G229" s="82"/>
      <c r="H229" s="17"/>
      <c r="I229" s="17"/>
      <c r="J229" s="17"/>
      <c r="K229" s="17"/>
      <c r="L229" s="17"/>
      <c r="M229" s="17"/>
      <c r="N229" s="17"/>
      <c r="O229" s="17"/>
      <c r="P229" s="84" t="s">
        <v>108</v>
      </c>
      <c r="Q229" s="17" t="s">
        <v>109</v>
      </c>
      <c r="R229" s="84" t="s">
        <v>117</v>
      </c>
      <c r="S229" s="17" t="s">
        <v>109</v>
      </c>
      <c r="T229" s="8"/>
      <c r="U229" s="93"/>
      <c r="V229" s="5"/>
    </row>
    <row r="230" spans="1:23" ht="15.6" x14ac:dyDescent="0.3">
      <c r="A230" s="24"/>
      <c r="B230" s="54" t="s">
        <v>94</v>
      </c>
      <c r="C230" s="94"/>
      <c r="D230" s="94"/>
      <c r="E230" s="94"/>
      <c r="F230" s="25"/>
      <c r="G230" s="94"/>
      <c r="H230" s="94"/>
      <c r="I230" s="94"/>
      <c r="J230" s="94"/>
      <c r="K230" s="94"/>
      <c r="L230" s="94"/>
      <c r="M230" s="94"/>
      <c r="N230" s="94"/>
      <c r="O230" s="94"/>
      <c r="P230" s="54">
        <v>5816</v>
      </c>
      <c r="Q230" s="95">
        <f t="shared" ref="Q230:Q237" si="1">P230/$P$239</f>
        <v>0.99299982926412844</v>
      </c>
      <c r="R230" s="53">
        <v>641061</v>
      </c>
      <c r="S230" s="135">
        <f t="shared" ref="S230:S237" si="2">R230/$R$239</f>
        <v>0.99195371529459464</v>
      </c>
      <c r="T230" s="80"/>
      <c r="U230" s="89"/>
      <c r="V230" s="5"/>
    </row>
    <row r="231" spans="1:23" ht="15.6" x14ac:dyDescent="0.3">
      <c r="A231" s="24"/>
      <c r="B231" s="54" t="s">
        <v>95</v>
      </c>
      <c r="C231" s="94"/>
      <c r="D231" s="94"/>
      <c r="E231" s="94"/>
      <c r="F231" s="25"/>
      <c r="G231" s="95"/>
      <c r="H231" s="94"/>
      <c r="I231" s="94"/>
      <c r="J231" s="94"/>
      <c r="K231" s="94"/>
      <c r="L231" s="94"/>
      <c r="M231" s="94"/>
      <c r="N231" s="94"/>
      <c r="O231" s="94"/>
      <c r="P231" s="54">
        <v>19</v>
      </c>
      <c r="Q231" s="95">
        <f t="shared" si="1"/>
        <v>3.2439815605258666E-3</v>
      </c>
      <c r="R231" s="53">
        <v>2470</v>
      </c>
      <c r="S231" s="135">
        <f t="shared" si="2"/>
        <v>3.8219852350675656E-3</v>
      </c>
      <c r="T231" s="80"/>
      <c r="U231" s="89"/>
      <c r="V231" s="5"/>
      <c r="W231" s="110"/>
    </row>
    <row r="232" spans="1:23" ht="15.6" x14ac:dyDescent="0.3">
      <c r="A232" s="24"/>
      <c r="B232" s="54" t="s">
        <v>96</v>
      </c>
      <c r="C232" s="94"/>
      <c r="D232" s="94"/>
      <c r="E232" s="94"/>
      <c r="F232" s="25"/>
      <c r="G232" s="95"/>
      <c r="H232" s="94"/>
      <c r="I232" s="94"/>
      <c r="J232" s="94"/>
      <c r="K232" s="94"/>
      <c r="L232" s="94"/>
      <c r="M232" s="94"/>
      <c r="N232" s="94"/>
      <c r="O232" s="94"/>
      <c r="P232" s="54">
        <v>13</v>
      </c>
      <c r="Q232" s="95">
        <f t="shared" si="1"/>
        <v>2.2195663308861194E-3</v>
      </c>
      <c r="R232" s="53">
        <v>1594</v>
      </c>
      <c r="S232" s="135">
        <f t="shared" si="2"/>
        <v>2.4664957346954251E-3</v>
      </c>
      <c r="T232" s="80"/>
      <c r="U232" s="89"/>
      <c r="V232" s="5"/>
    </row>
    <row r="233" spans="1:23" ht="15.6" x14ac:dyDescent="0.3">
      <c r="A233" s="24"/>
      <c r="B233" s="54" t="s">
        <v>171</v>
      </c>
      <c r="C233" s="94"/>
      <c r="D233" s="94"/>
      <c r="E233" s="94"/>
      <c r="F233" s="25"/>
      <c r="G233" s="95"/>
      <c r="H233" s="94"/>
      <c r="I233" s="94"/>
      <c r="J233" s="94"/>
      <c r="K233" s="94"/>
      <c r="L233" s="94"/>
      <c r="M233" s="94"/>
      <c r="N233" s="94"/>
      <c r="O233" s="94"/>
      <c r="P233" s="54">
        <v>2</v>
      </c>
      <c r="Q233" s="95">
        <f t="shared" si="1"/>
        <v>3.4147174321324912E-4</v>
      </c>
      <c r="R233" s="53">
        <v>299</v>
      </c>
      <c r="S233" s="135">
        <f t="shared" si="2"/>
        <v>4.6266137056081056E-4</v>
      </c>
      <c r="T233" s="80"/>
      <c r="U233" s="89"/>
      <c r="V233" s="5"/>
      <c r="W233" s="110"/>
    </row>
    <row r="234" spans="1:23" ht="15.6" x14ac:dyDescent="0.3">
      <c r="A234" s="24"/>
      <c r="B234" s="54" t="s">
        <v>172</v>
      </c>
      <c r="C234" s="94"/>
      <c r="D234" s="94"/>
      <c r="E234" s="94"/>
      <c r="F234" s="25"/>
      <c r="G234" s="95"/>
      <c r="H234" s="94"/>
      <c r="I234" s="94"/>
      <c r="J234" s="94"/>
      <c r="K234" s="94"/>
      <c r="L234" s="94"/>
      <c r="M234" s="94"/>
      <c r="N234" s="94"/>
      <c r="O234" s="94"/>
      <c r="P234" s="54">
        <v>1</v>
      </c>
      <c r="Q234" s="95">
        <f t="shared" si="1"/>
        <v>1.7073587160662456E-4</v>
      </c>
      <c r="R234" s="53">
        <v>184</v>
      </c>
      <c r="S234" s="135">
        <f t="shared" si="2"/>
        <v>2.8471468957588341E-4</v>
      </c>
      <c r="T234" s="80"/>
      <c r="U234" s="89"/>
      <c r="V234" s="5"/>
    </row>
    <row r="235" spans="1:23" ht="15.6" x14ac:dyDescent="0.3">
      <c r="A235" s="24"/>
      <c r="B235" s="54" t="s">
        <v>173</v>
      </c>
      <c r="C235" s="94"/>
      <c r="D235" s="94"/>
      <c r="E235" s="94"/>
      <c r="F235" s="25"/>
      <c r="G235" s="95"/>
      <c r="H235" s="94"/>
      <c r="I235" s="94"/>
      <c r="J235" s="94"/>
      <c r="K235" s="94"/>
      <c r="L235" s="94"/>
      <c r="M235" s="94"/>
      <c r="N235" s="94"/>
      <c r="O235" s="94"/>
      <c r="P235" s="54">
        <v>0</v>
      </c>
      <c r="Q235" s="95">
        <f t="shared" si="1"/>
        <v>0</v>
      </c>
      <c r="R235" s="53">
        <v>0</v>
      </c>
      <c r="S235" s="135">
        <f t="shared" si="2"/>
        <v>0</v>
      </c>
      <c r="T235" s="80"/>
      <c r="U235" s="89"/>
      <c r="V235" s="5"/>
      <c r="W235" s="110"/>
    </row>
    <row r="236" spans="1:23" ht="15.6" x14ac:dyDescent="0.3">
      <c r="A236" s="24"/>
      <c r="B236" s="54" t="s">
        <v>174</v>
      </c>
      <c r="C236" s="94"/>
      <c r="D236" s="94"/>
      <c r="E236" s="94"/>
      <c r="F236" s="25"/>
      <c r="G236" s="95"/>
      <c r="H236" s="94"/>
      <c r="I236" s="94"/>
      <c r="J236" s="94"/>
      <c r="K236" s="94"/>
      <c r="L236" s="94"/>
      <c r="M236" s="94"/>
      <c r="N236" s="94"/>
      <c r="O236" s="94"/>
      <c r="P236" s="54">
        <v>4</v>
      </c>
      <c r="Q236" s="95">
        <f t="shared" si="1"/>
        <v>6.8294348642649824E-4</v>
      </c>
      <c r="R236" s="53">
        <v>631</v>
      </c>
      <c r="S236" s="135">
        <f t="shared" si="2"/>
        <v>9.7638570175207851E-4</v>
      </c>
      <c r="T236" s="80"/>
      <c r="U236" s="89"/>
      <c r="V236" s="5"/>
    </row>
    <row r="237" spans="1:23" ht="15.6" x14ac:dyDescent="0.3">
      <c r="A237" s="24"/>
      <c r="B237" s="54" t="s">
        <v>175</v>
      </c>
      <c r="C237" s="94"/>
      <c r="D237" s="94"/>
      <c r="E237" s="94"/>
      <c r="F237" s="25"/>
      <c r="G237" s="95"/>
      <c r="H237" s="94"/>
      <c r="I237" s="94"/>
      <c r="J237" s="94"/>
      <c r="K237" s="94"/>
      <c r="L237" s="94"/>
      <c r="M237" s="94"/>
      <c r="N237" s="94"/>
      <c r="O237" s="94"/>
      <c r="P237" s="54">
        <v>2</v>
      </c>
      <c r="Q237" s="95">
        <f t="shared" si="1"/>
        <v>3.4147174321324912E-4</v>
      </c>
      <c r="R237" s="53">
        <v>22</v>
      </c>
      <c r="S237" s="135">
        <f t="shared" si="2"/>
        <v>3.4041973753638237E-5</v>
      </c>
      <c r="T237" s="80"/>
      <c r="U237" s="89"/>
      <c r="V237" s="5"/>
      <c r="W237" s="110"/>
    </row>
    <row r="238" spans="1:23" ht="15.6" x14ac:dyDescent="0.3">
      <c r="A238" s="24"/>
      <c r="B238" s="54"/>
      <c r="C238" s="94"/>
      <c r="D238" s="94"/>
      <c r="E238" s="94"/>
      <c r="F238" s="25"/>
      <c r="G238" s="95"/>
      <c r="H238" s="94"/>
      <c r="I238" s="94"/>
      <c r="J238" s="94"/>
      <c r="K238" s="94"/>
      <c r="L238" s="94"/>
      <c r="M238" s="94"/>
      <c r="N238" s="94"/>
      <c r="O238" s="94"/>
      <c r="P238" s="54"/>
      <c r="Q238" s="95"/>
      <c r="R238" s="53"/>
      <c r="S238" s="135"/>
      <c r="T238" s="80"/>
      <c r="U238" s="89"/>
      <c r="V238" s="5"/>
    </row>
    <row r="239" spans="1:23" ht="15.6" x14ac:dyDescent="0.3">
      <c r="A239" s="24"/>
      <c r="B239" s="25"/>
      <c r="C239" s="25"/>
      <c r="D239" s="25"/>
      <c r="E239" s="25"/>
      <c r="F239" s="25"/>
      <c r="G239" s="25"/>
      <c r="H239" s="96"/>
      <c r="I239" s="96"/>
      <c r="J239" s="96"/>
      <c r="K239" s="96"/>
      <c r="L239" s="96"/>
      <c r="M239" s="96"/>
      <c r="N239" s="96"/>
      <c r="O239" s="96"/>
      <c r="P239" s="34">
        <f>SUM(P230:P238)</f>
        <v>5857</v>
      </c>
      <c r="Q239" s="135">
        <f>SUM(Q230:Q238)</f>
        <v>1</v>
      </c>
      <c r="R239" s="53">
        <f>SUM(R230:R238)</f>
        <v>646261</v>
      </c>
      <c r="S239" s="135">
        <f>SUM(S230:S238)</f>
        <v>1</v>
      </c>
      <c r="T239" s="25"/>
      <c r="U239" s="25"/>
      <c r="V239" s="5"/>
    </row>
    <row r="240" spans="1:23" ht="15.6" x14ac:dyDescent="0.3">
      <c r="A240" s="24"/>
      <c r="B240" s="25"/>
      <c r="C240" s="25"/>
      <c r="D240" s="25"/>
      <c r="E240" s="25"/>
      <c r="F240" s="25"/>
      <c r="G240" s="25"/>
      <c r="H240" s="96"/>
      <c r="I240" s="96"/>
      <c r="J240" s="96"/>
      <c r="K240" s="96"/>
      <c r="L240" s="96"/>
      <c r="M240" s="96"/>
      <c r="N240" s="96"/>
      <c r="O240" s="96"/>
      <c r="P240" s="34"/>
      <c r="Q240" s="135"/>
      <c r="R240" s="53"/>
      <c r="S240" s="135"/>
      <c r="T240" s="25"/>
      <c r="U240" s="25"/>
      <c r="V240" s="5"/>
    </row>
    <row r="241" spans="1:22" ht="15.6" x14ac:dyDescent="0.3">
      <c r="A241" s="144"/>
      <c r="B241" s="14" t="s">
        <v>178</v>
      </c>
      <c r="C241" s="82"/>
      <c r="D241" s="82"/>
      <c r="E241" s="82"/>
      <c r="F241" s="83"/>
      <c r="G241" s="82"/>
      <c r="H241" s="17"/>
      <c r="I241" s="17"/>
      <c r="J241" s="17"/>
      <c r="K241" s="17"/>
      <c r="L241" s="17"/>
      <c r="M241" s="17"/>
      <c r="N241" s="17"/>
      <c r="O241" s="17"/>
      <c r="P241" s="84" t="s">
        <v>108</v>
      </c>
      <c r="Q241" s="17" t="s">
        <v>109</v>
      </c>
      <c r="R241" s="84" t="s">
        <v>117</v>
      </c>
      <c r="S241" s="17" t="s">
        <v>109</v>
      </c>
      <c r="T241" s="142"/>
      <c r="U241" s="143"/>
      <c r="V241" s="5"/>
    </row>
    <row r="242" spans="1:22" ht="15.6" x14ac:dyDescent="0.3">
      <c r="A242" s="24"/>
      <c r="B242" s="54" t="s">
        <v>94</v>
      </c>
      <c r="C242" s="94"/>
      <c r="D242" s="94"/>
      <c r="E242" s="94"/>
      <c r="F242" s="25"/>
      <c r="G242" s="94"/>
      <c r="H242" s="94"/>
      <c r="I242" s="94"/>
      <c r="J242" s="94"/>
      <c r="K242" s="94"/>
      <c r="L242" s="94"/>
      <c r="M242" s="94"/>
      <c r="N242" s="94"/>
      <c r="O242" s="94"/>
      <c r="P242" s="54">
        <v>4</v>
      </c>
      <c r="Q242" s="95">
        <f t="shared" ref="Q242:Q249" si="3">P242/$P$251</f>
        <v>0.26666666666666666</v>
      </c>
      <c r="R242" s="53">
        <v>534</v>
      </c>
      <c r="S242" s="135">
        <f t="shared" ref="S242:S249" si="4">R242/$R$251</f>
        <v>0.22684791843670349</v>
      </c>
      <c r="T242" s="25"/>
      <c r="U242" s="25"/>
      <c r="V242" s="5"/>
    </row>
    <row r="243" spans="1:22" ht="15.6" x14ac:dyDescent="0.3">
      <c r="A243" s="24"/>
      <c r="B243" s="54" t="s">
        <v>95</v>
      </c>
      <c r="C243" s="94"/>
      <c r="D243" s="94"/>
      <c r="E243" s="94"/>
      <c r="F243" s="25"/>
      <c r="G243" s="95"/>
      <c r="H243" s="94"/>
      <c r="I243" s="94"/>
      <c r="J243" s="94"/>
      <c r="K243" s="94"/>
      <c r="L243" s="94"/>
      <c r="M243" s="94"/>
      <c r="N243" s="94"/>
      <c r="O243" s="94"/>
      <c r="P243" s="54">
        <v>0</v>
      </c>
      <c r="Q243" s="95">
        <f t="shared" si="3"/>
        <v>0</v>
      </c>
      <c r="R243" s="53">
        <v>0</v>
      </c>
      <c r="S243" s="135">
        <f t="shared" si="4"/>
        <v>0</v>
      </c>
      <c r="T243" s="25"/>
      <c r="U243" s="25"/>
      <c r="V243" s="5"/>
    </row>
    <row r="244" spans="1:22" ht="15.6" x14ac:dyDescent="0.3">
      <c r="A244" s="24"/>
      <c r="B244" s="54" t="s">
        <v>96</v>
      </c>
      <c r="C244" s="94"/>
      <c r="D244" s="94"/>
      <c r="E244" s="94"/>
      <c r="F244" s="25"/>
      <c r="G244" s="95"/>
      <c r="H244" s="94"/>
      <c r="I244" s="94"/>
      <c r="J244" s="94"/>
      <c r="K244" s="94"/>
      <c r="L244" s="94"/>
      <c r="M244" s="94"/>
      <c r="N244" s="94"/>
      <c r="O244" s="94"/>
      <c r="P244" s="54">
        <v>2</v>
      </c>
      <c r="Q244" s="95">
        <f t="shared" si="3"/>
        <v>0.13333333333333333</v>
      </c>
      <c r="R244" s="53">
        <v>470</v>
      </c>
      <c r="S244" s="135">
        <f t="shared" si="4"/>
        <v>0.19966015293118097</v>
      </c>
      <c r="T244" s="25"/>
      <c r="U244" s="25"/>
      <c r="V244" s="5"/>
    </row>
    <row r="245" spans="1:22" ht="15.6" x14ac:dyDescent="0.3">
      <c r="A245" s="24"/>
      <c r="B245" s="54" t="s">
        <v>171</v>
      </c>
      <c r="C245" s="94"/>
      <c r="D245" s="94"/>
      <c r="E245" s="94"/>
      <c r="F245" s="25"/>
      <c r="G245" s="95"/>
      <c r="H245" s="94"/>
      <c r="I245" s="94"/>
      <c r="J245" s="94"/>
      <c r="K245" s="94"/>
      <c r="L245" s="94"/>
      <c r="M245" s="94"/>
      <c r="N245" s="94"/>
      <c r="O245" s="94"/>
      <c r="P245" s="54">
        <v>0</v>
      </c>
      <c r="Q245" s="95">
        <f t="shared" si="3"/>
        <v>0</v>
      </c>
      <c r="R245" s="53">
        <v>0</v>
      </c>
      <c r="S245" s="135">
        <f t="shared" si="4"/>
        <v>0</v>
      </c>
      <c r="T245" s="25"/>
      <c r="U245" s="25"/>
      <c r="V245" s="5"/>
    </row>
    <row r="246" spans="1:22" ht="15.6" x14ac:dyDescent="0.3">
      <c r="A246" s="24"/>
      <c r="B246" s="54" t="s">
        <v>172</v>
      </c>
      <c r="C246" s="94"/>
      <c r="D246" s="94"/>
      <c r="E246" s="94"/>
      <c r="F246" s="25"/>
      <c r="G246" s="95"/>
      <c r="H246" s="94"/>
      <c r="I246" s="94"/>
      <c r="J246" s="94"/>
      <c r="K246" s="94"/>
      <c r="L246" s="94"/>
      <c r="M246" s="94"/>
      <c r="N246" s="94"/>
      <c r="O246" s="94"/>
      <c r="P246" s="54">
        <v>1</v>
      </c>
      <c r="Q246" s="95">
        <f t="shared" si="3"/>
        <v>6.6666666666666666E-2</v>
      </c>
      <c r="R246" s="53">
        <v>67</v>
      </c>
      <c r="S246" s="135">
        <f t="shared" si="4"/>
        <v>2.8462192013593884E-2</v>
      </c>
      <c r="T246" s="25"/>
      <c r="U246" s="25"/>
      <c r="V246" s="5"/>
    </row>
    <row r="247" spans="1:22" ht="15.6" x14ac:dyDescent="0.3">
      <c r="A247" s="24"/>
      <c r="B247" s="54" t="s">
        <v>173</v>
      </c>
      <c r="C247" s="94"/>
      <c r="D247" s="94"/>
      <c r="E247" s="94"/>
      <c r="F247" s="25"/>
      <c r="G247" s="95"/>
      <c r="H247" s="94"/>
      <c r="I247" s="94"/>
      <c r="J247" s="94"/>
      <c r="K247" s="94"/>
      <c r="L247" s="94"/>
      <c r="M247" s="94"/>
      <c r="N247" s="94"/>
      <c r="O247" s="94"/>
      <c r="P247" s="54">
        <v>1</v>
      </c>
      <c r="Q247" s="95">
        <f t="shared" si="3"/>
        <v>6.6666666666666666E-2</v>
      </c>
      <c r="R247" s="53">
        <v>89</v>
      </c>
      <c r="S247" s="135">
        <f t="shared" si="4"/>
        <v>3.7807986406117246E-2</v>
      </c>
      <c r="T247" s="25"/>
      <c r="U247" s="25"/>
      <c r="V247" s="5"/>
    </row>
    <row r="248" spans="1:22" ht="15.6" x14ac:dyDescent="0.3">
      <c r="A248" s="24"/>
      <c r="B248" s="54" t="s">
        <v>174</v>
      </c>
      <c r="C248" s="94"/>
      <c r="D248" s="94"/>
      <c r="E248" s="94"/>
      <c r="F248" s="25"/>
      <c r="G248" s="95"/>
      <c r="H248" s="94"/>
      <c r="I248" s="94"/>
      <c r="J248" s="94"/>
      <c r="K248" s="94"/>
      <c r="L248" s="94"/>
      <c r="M248" s="94"/>
      <c r="N248" s="94"/>
      <c r="O248" s="94"/>
      <c r="P248" s="54">
        <v>4</v>
      </c>
      <c r="Q248" s="95">
        <f t="shared" si="3"/>
        <v>0.26666666666666666</v>
      </c>
      <c r="R248" s="53">
        <v>796</v>
      </c>
      <c r="S248" s="135">
        <f t="shared" si="4"/>
        <v>0.33814783347493627</v>
      </c>
      <c r="T248" s="25"/>
      <c r="U248" s="25"/>
      <c r="V248" s="5"/>
    </row>
    <row r="249" spans="1:22" ht="15.6" x14ac:dyDescent="0.3">
      <c r="A249" s="24"/>
      <c r="B249" s="54" t="s">
        <v>175</v>
      </c>
      <c r="C249" s="94"/>
      <c r="D249" s="94"/>
      <c r="E249" s="94"/>
      <c r="F249" s="25"/>
      <c r="G249" s="95"/>
      <c r="H249" s="94"/>
      <c r="I249" s="94"/>
      <c r="J249" s="94"/>
      <c r="K249" s="94"/>
      <c r="L249" s="94"/>
      <c r="M249" s="94"/>
      <c r="N249" s="94"/>
      <c r="O249" s="94"/>
      <c r="P249" s="54">
        <v>3</v>
      </c>
      <c r="Q249" s="95">
        <f t="shared" si="3"/>
        <v>0.2</v>
      </c>
      <c r="R249" s="53">
        <v>398</v>
      </c>
      <c r="S249" s="135">
        <f t="shared" si="4"/>
        <v>0.16907391673746813</v>
      </c>
      <c r="T249" s="25"/>
      <c r="U249" s="25"/>
      <c r="V249" s="5"/>
    </row>
    <row r="250" spans="1:22" ht="15.6" x14ac:dyDescent="0.3">
      <c r="A250" s="24"/>
      <c r="B250" s="54"/>
      <c r="C250" s="94"/>
      <c r="D250" s="94"/>
      <c r="E250" s="94"/>
      <c r="F250" s="25"/>
      <c r="G250" s="95"/>
      <c r="H250" s="94"/>
      <c r="I250" s="94"/>
      <c r="J250" s="94"/>
      <c r="K250" s="94"/>
      <c r="L250" s="94"/>
      <c r="M250" s="94"/>
      <c r="N250" s="94"/>
      <c r="O250" s="94"/>
      <c r="P250" s="54"/>
      <c r="Q250" s="95"/>
      <c r="R250" s="53"/>
      <c r="S250" s="135"/>
      <c r="T250" s="25"/>
      <c r="U250" s="25"/>
      <c r="V250" s="5"/>
    </row>
    <row r="251" spans="1:22" ht="15.6" x14ac:dyDescent="0.3">
      <c r="A251" s="24"/>
      <c r="B251" s="25"/>
      <c r="C251" s="25"/>
      <c r="D251" s="25"/>
      <c r="E251" s="25"/>
      <c r="F251" s="25"/>
      <c r="G251" s="25"/>
      <c r="H251" s="96"/>
      <c r="I251" s="96"/>
      <c r="J251" s="96"/>
      <c r="K251" s="96"/>
      <c r="L251" s="96"/>
      <c r="M251" s="96"/>
      <c r="N251" s="96"/>
      <c r="O251" s="96"/>
      <c r="P251" s="34">
        <f>SUM(P242:P250)</f>
        <v>15</v>
      </c>
      <c r="Q251" s="135">
        <f>SUM(Q242:Q250)</f>
        <v>1</v>
      </c>
      <c r="R251" s="53">
        <f>SUM(R242:R250)</f>
        <v>2354</v>
      </c>
      <c r="S251" s="135">
        <f>SUM(S242:S250)</f>
        <v>1</v>
      </c>
      <c r="T251" s="25"/>
      <c r="U251" s="25"/>
      <c r="V251" s="5"/>
    </row>
    <row r="252" spans="1:22" ht="15.6" x14ac:dyDescent="0.3">
      <c r="A252" s="24"/>
      <c r="B252" s="25"/>
      <c r="C252" s="25"/>
      <c r="D252" s="25"/>
      <c r="E252" s="25"/>
      <c r="F252" s="25"/>
      <c r="G252" s="25"/>
      <c r="H252" s="96"/>
      <c r="I252" s="96"/>
      <c r="J252" s="96"/>
      <c r="K252" s="96"/>
      <c r="L252" s="96"/>
      <c r="M252" s="96"/>
      <c r="N252" s="96"/>
      <c r="O252" s="96"/>
      <c r="P252" s="34"/>
      <c r="Q252" s="135"/>
      <c r="R252" s="53"/>
      <c r="S252" s="135"/>
      <c r="T252" s="25"/>
      <c r="U252" s="25"/>
      <c r="V252" s="5"/>
    </row>
    <row r="253" spans="1:22" ht="15.6" x14ac:dyDescent="0.3">
      <c r="A253" s="144"/>
      <c r="B253" s="14" t="s">
        <v>179</v>
      </c>
      <c r="C253" s="142"/>
      <c r="D253" s="142"/>
      <c r="E253" s="142"/>
      <c r="F253" s="142"/>
      <c r="G253" s="142"/>
      <c r="H253" s="149"/>
      <c r="I253" s="149"/>
      <c r="J253" s="149"/>
      <c r="K253" s="149"/>
      <c r="L253" s="149"/>
      <c r="M253" s="149"/>
      <c r="N253" s="149"/>
      <c r="O253" s="149"/>
      <c r="P253" s="84" t="s">
        <v>108</v>
      </c>
      <c r="Q253" s="17" t="s">
        <v>109</v>
      </c>
      <c r="R253" s="84" t="s">
        <v>117</v>
      </c>
      <c r="S253" s="17" t="s">
        <v>109</v>
      </c>
      <c r="T253" s="142"/>
      <c r="U253" s="143"/>
      <c r="V253" s="5"/>
    </row>
    <row r="254" spans="1:22" ht="15.6" x14ac:dyDescent="0.3">
      <c r="A254" s="24"/>
      <c r="B254" s="54" t="s">
        <v>94</v>
      </c>
      <c r="C254" s="25"/>
      <c r="D254" s="25"/>
      <c r="E254" s="25"/>
      <c r="F254" s="25"/>
      <c r="G254" s="25"/>
      <c r="H254" s="96"/>
      <c r="I254" s="96"/>
      <c r="J254" s="96"/>
      <c r="K254" s="96"/>
      <c r="L254" s="96"/>
      <c r="M254" s="96"/>
      <c r="N254" s="96"/>
      <c r="O254" s="96"/>
      <c r="P254" s="54">
        <v>0</v>
      </c>
      <c r="Q254" s="95">
        <v>0</v>
      </c>
      <c r="R254" s="53">
        <v>0</v>
      </c>
      <c r="S254" s="135">
        <v>0</v>
      </c>
      <c r="T254" s="25"/>
      <c r="U254" s="25"/>
      <c r="V254" s="5"/>
    </row>
    <row r="255" spans="1:22" ht="15.6" x14ac:dyDescent="0.3">
      <c r="A255" s="24"/>
      <c r="B255" s="54" t="s">
        <v>95</v>
      </c>
      <c r="C255" s="25"/>
      <c r="D255" s="25"/>
      <c r="E255" s="25"/>
      <c r="F255" s="25"/>
      <c r="G255" s="25"/>
      <c r="H255" s="96"/>
      <c r="I255" s="96"/>
      <c r="J255" s="96"/>
      <c r="K255" s="96"/>
      <c r="L255" s="96"/>
      <c r="M255" s="96"/>
      <c r="N255" s="96"/>
      <c r="O255" s="96"/>
      <c r="P255" s="54">
        <v>0</v>
      </c>
      <c r="Q255" s="95">
        <v>0</v>
      </c>
      <c r="R255" s="53">
        <v>0</v>
      </c>
      <c r="S255" s="135">
        <v>0</v>
      </c>
      <c r="T255" s="25"/>
      <c r="U255" s="25"/>
      <c r="V255" s="5"/>
    </row>
    <row r="256" spans="1:22" ht="15.6" x14ac:dyDescent="0.3">
      <c r="A256" s="24"/>
      <c r="B256" s="54" t="s">
        <v>96</v>
      </c>
      <c r="C256" s="25"/>
      <c r="D256" s="25"/>
      <c r="E256" s="25"/>
      <c r="F256" s="25"/>
      <c r="G256" s="25"/>
      <c r="H256" s="96"/>
      <c r="I256" s="96"/>
      <c r="J256" s="96"/>
      <c r="K256" s="96"/>
      <c r="L256" s="96"/>
      <c r="M256" s="96"/>
      <c r="N256" s="96"/>
      <c r="O256" s="96"/>
      <c r="P256" s="54">
        <v>0</v>
      </c>
      <c r="Q256" s="95">
        <v>0</v>
      </c>
      <c r="R256" s="53">
        <v>0</v>
      </c>
      <c r="S256" s="135">
        <v>0</v>
      </c>
      <c r="T256" s="25"/>
      <c r="U256" s="25"/>
      <c r="V256" s="5"/>
    </row>
    <row r="257" spans="1:22" ht="15.6" x14ac:dyDescent="0.3">
      <c r="A257" s="24"/>
      <c r="B257" s="54" t="s">
        <v>171</v>
      </c>
      <c r="C257" s="25"/>
      <c r="D257" s="25"/>
      <c r="E257" s="25"/>
      <c r="F257" s="25"/>
      <c r="G257" s="25"/>
      <c r="H257" s="96"/>
      <c r="I257" s="96"/>
      <c r="J257" s="96"/>
      <c r="K257" s="96"/>
      <c r="L257" s="96"/>
      <c r="M257" s="96"/>
      <c r="N257" s="96"/>
      <c r="O257" s="96"/>
      <c r="P257" s="54">
        <v>0</v>
      </c>
      <c r="Q257" s="95">
        <v>0</v>
      </c>
      <c r="R257" s="53">
        <v>0</v>
      </c>
      <c r="S257" s="135">
        <v>0</v>
      </c>
      <c r="T257" s="25"/>
      <c r="U257" s="25"/>
      <c r="V257" s="5"/>
    </row>
    <row r="258" spans="1:22" ht="15.6" x14ac:dyDescent="0.3">
      <c r="A258" s="24"/>
      <c r="B258" s="54" t="s">
        <v>172</v>
      </c>
      <c r="C258" s="25"/>
      <c r="D258" s="25"/>
      <c r="E258" s="25"/>
      <c r="F258" s="25"/>
      <c r="G258" s="25"/>
      <c r="H258" s="96"/>
      <c r="I258" s="96"/>
      <c r="J258" s="96"/>
      <c r="K258" s="96"/>
      <c r="L258" s="96"/>
      <c r="M258" s="96"/>
      <c r="N258" s="96"/>
      <c r="O258" s="96"/>
      <c r="P258" s="54">
        <v>0</v>
      </c>
      <c r="Q258" s="95">
        <v>0</v>
      </c>
      <c r="R258" s="53">
        <v>0</v>
      </c>
      <c r="S258" s="135">
        <v>0</v>
      </c>
      <c r="T258" s="25"/>
      <c r="U258" s="25"/>
      <c r="V258" s="5"/>
    </row>
    <row r="259" spans="1:22" ht="15.6" x14ac:dyDescent="0.3">
      <c r="A259" s="24"/>
      <c r="B259" s="54" t="s">
        <v>173</v>
      </c>
      <c r="C259" s="25"/>
      <c r="D259" s="25"/>
      <c r="E259" s="25"/>
      <c r="F259" s="25"/>
      <c r="G259" s="25"/>
      <c r="H259" s="96"/>
      <c r="I259" s="96"/>
      <c r="J259" s="96"/>
      <c r="K259" s="96"/>
      <c r="L259" s="96"/>
      <c r="M259" s="96"/>
      <c r="N259" s="96"/>
      <c r="O259" s="96"/>
      <c r="P259" s="54">
        <v>0</v>
      </c>
      <c r="Q259" s="95">
        <v>0</v>
      </c>
      <c r="R259" s="53">
        <v>0</v>
      </c>
      <c r="S259" s="135">
        <v>0</v>
      </c>
      <c r="T259" s="25"/>
      <c r="U259" s="25"/>
      <c r="V259" s="5"/>
    </row>
    <row r="260" spans="1:22" ht="15.6" x14ac:dyDescent="0.3">
      <c r="A260" s="24"/>
      <c r="B260" s="54" t="s">
        <v>174</v>
      </c>
      <c r="C260" s="25"/>
      <c r="D260" s="25"/>
      <c r="E260" s="25"/>
      <c r="F260" s="25"/>
      <c r="G260" s="25"/>
      <c r="H260" s="96"/>
      <c r="I260" s="96"/>
      <c r="J260" s="96"/>
      <c r="K260" s="96"/>
      <c r="L260" s="96"/>
      <c r="M260" s="96"/>
      <c r="N260" s="96"/>
      <c r="O260" s="96"/>
      <c r="P260" s="54">
        <v>0</v>
      </c>
      <c r="Q260" s="95">
        <v>0</v>
      </c>
      <c r="R260" s="53">
        <v>0</v>
      </c>
      <c r="S260" s="135">
        <v>0</v>
      </c>
      <c r="T260" s="25"/>
      <c r="U260" s="25"/>
      <c r="V260" s="5"/>
    </row>
    <row r="261" spans="1:22" ht="15.6" x14ac:dyDescent="0.3">
      <c r="A261" s="24"/>
      <c r="B261" s="54" t="s">
        <v>175</v>
      </c>
      <c r="C261" s="25"/>
      <c r="D261" s="25"/>
      <c r="E261" s="25"/>
      <c r="F261" s="25"/>
      <c r="G261" s="25"/>
      <c r="H261" s="96"/>
      <c r="I261" s="96"/>
      <c r="J261" s="96"/>
      <c r="K261" s="96"/>
      <c r="L261" s="96"/>
      <c r="M261" s="96"/>
      <c r="N261" s="96"/>
      <c r="O261" s="96"/>
      <c r="P261" s="54">
        <v>0</v>
      </c>
      <c r="Q261" s="95">
        <v>0</v>
      </c>
      <c r="R261" s="53">
        <v>0</v>
      </c>
      <c r="S261" s="135">
        <v>0</v>
      </c>
      <c r="T261" s="25"/>
      <c r="U261" s="25"/>
      <c r="V261" s="5"/>
    </row>
    <row r="262" spans="1:22" ht="15.6" x14ac:dyDescent="0.3">
      <c r="A262" s="24"/>
      <c r="B262" s="54"/>
      <c r="C262" s="25"/>
      <c r="D262" s="25"/>
      <c r="E262" s="25"/>
      <c r="F262" s="25"/>
      <c r="G262" s="25"/>
      <c r="H262" s="96"/>
      <c r="I262" s="96"/>
      <c r="J262" s="96"/>
      <c r="K262" s="96"/>
      <c r="L262" s="96"/>
      <c r="M262" s="96"/>
      <c r="N262" s="96"/>
      <c r="O262" s="96"/>
      <c r="P262" s="54"/>
      <c r="Q262" s="95"/>
      <c r="R262" s="53"/>
      <c r="S262" s="135"/>
      <c r="T262" s="25"/>
      <c r="U262" s="25"/>
      <c r="V262" s="5"/>
    </row>
    <row r="263" spans="1:22" ht="15.6" x14ac:dyDescent="0.3">
      <c r="A263" s="24"/>
      <c r="B263" s="25" t="s">
        <v>123</v>
      </c>
      <c r="C263" s="25"/>
      <c r="D263" s="25"/>
      <c r="E263" s="25"/>
      <c r="F263" s="25"/>
      <c r="G263" s="25"/>
      <c r="H263" s="96"/>
      <c r="I263" s="96"/>
      <c r="J263" s="96"/>
      <c r="K263" s="96"/>
      <c r="L263" s="96"/>
      <c r="M263" s="96"/>
      <c r="N263" s="96"/>
      <c r="O263" s="96"/>
      <c r="P263" s="34">
        <f>SUM(P254:P261)</f>
        <v>0</v>
      </c>
      <c r="Q263" s="95">
        <f>SUM(Q254:Q261)</f>
        <v>0</v>
      </c>
      <c r="R263" s="53">
        <f>SUM(R254:R261)</f>
        <v>0</v>
      </c>
      <c r="S263" s="135">
        <f>SUM(S254:S261)</f>
        <v>0</v>
      </c>
      <c r="T263" s="25"/>
      <c r="U263" s="25"/>
      <c r="V263" s="5"/>
    </row>
    <row r="264" spans="1:22" ht="15.6" x14ac:dyDescent="0.3">
      <c r="A264" s="24"/>
      <c r="B264" s="25"/>
      <c r="C264" s="25"/>
      <c r="D264" s="25"/>
      <c r="E264" s="25"/>
      <c r="F264" s="25"/>
      <c r="G264" s="25"/>
      <c r="H264" s="96"/>
      <c r="I264" s="96"/>
      <c r="J264" s="96"/>
      <c r="K264" s="96"/>
      <c r="L264" s="96"/>
      <c r="M264" s="96"/>
      <c r="N264" s="96"/>
      <c r="O264" s="96"/>
      <c r="P264" s="34"/>
      <c r="Q264" s="135"/>
      <c r="R264" s="53"/>
      <c r="S264" s="135"/>
      <c r="T264" s="25"/>
      <c r="U264" s="25"/>
      <c r="V264" s="5"/>
    </row>
    <row r="265" spans="1:22" ht="15.6" x14ac:dyDescent="0.3">
      <c r="A265" s="24"/>
      <c r="B265" s="145" t="s">
        <v>180</v>
      </c>
      <c r="C265" s="25"/>
      <c r="D265" s="25"/>
      <c r="E265" s="25"/>
      <c r="F265" s="25"/>
      <c r="G265" s="25"/>
      <c r="H265" s="96"/>
      <c r="I265" s="96"/>
      <c r="J265" s="96"/>
      <c r="K265" s="96"/>
      <c r="L265" s="96"/>
      <c r="M265" s="96"/>
      <c r="N265" s="96"/>
      <c r="O265" s="96"/>
      <c r="P265" s="146"/>
      <c r="Q265" s="147"/>
      <c r="R265" s="148">
        <f>+R263+R251+R239</f>
        <v>648615</v>
      </c>
      <c r="S265" s="147"/>
      <c r="T265" s="25"/>
      <c r="U265" s="25"/>
      <c r="V265" s="5"/>
    </row>
    <row r="266" spans="1:22" ht="15.6" x14ac:dyDescent="0.3">
      <c r="A266" s="24"/>
      <c r="B266" s="25"/>
      <c r="C266" s="25"/>
      <c r="D266" s="25"/>
      <c r="E266" s="25"/>
      <c r="F266" s="25"/>
      <c r="G266" s="25"/>
      <c r="H266" s="96"/>
      <c r="I266" s="96"/>
      <c r="J266" s="96"/>
      <c r="K266" s="96"/>
      <c r="L266" s="96"/>
      <c r="M266" s="96"/>
      <c r="N266" s="96"/>
      <c r="O266" s="96"/>
      <c r="P266" s="96"/>
      <c r="Q266" s="96"/>
      <c r="R266" s="53"/>
      <c r="S266" s="96"/>
      <c r="T266" s="25"/>
      <c r="U266" s="25"/>
      <c r="V266" s="5"/>
    </row>
    <row r="267" spans="1:22" ht="15.6" x14ac:dyDescent="0.3">
      <c r="A267" s="6"/>
      <c r="B267" s="8"/>
      <c r="C267" s="8"/>
      <c r="D267" s="8"/>
      <c r="E267" s="8"/>
      <c r="F267" s="8"/>
      <c r="G267" s="8"/>
      <c r="H267" s="97"/>
      <c r="I267" s="97"/>
      <c r="J267" s="97"/>
      <c r="K267" s="97"/>
      <c r="L267" s="97"/>
      <c r="M267" s="97"/>
      <c r="N267" s="97"/>
      <c r="O267" s="97"/>
      <c r="P267" s="97"/>
      <c r="Q267" s="97"/>
      <c r="R267" s="98"/>
      <c r="S267" s="97"/>
      <c r="T267" s="8"/>
      <c r="U267" s="8"/>
      <c r="V267" s="5"/>
    </row>
    <row r="268" spans="1:22" ht="15.6" x14ac:dyDescent="0.3">
      <c r="A268" s="164"/>
      <c r="B268" s="14" t="s">
        <v>97</v>
      </c>
      <c r="C268" s="15"/>
      <c r="D268" s="15"/>
      <c r="E268" s="15"/>
      <c r="F268" s="17" t="s">
        <v>103</v>
      </c>
      <c r="G268" s="15"/>
      <c r="H268" s="14" t="s">
        <v>105</v>
      </c>
      <c r="I268" s="159"/>
      <c r="J268" s="159"/>
      <c r="K268" s="159"/>
      <c r="L268" s="159"/>
      <c r="M268" s="159"/>
      <c r="N268" s="159"/>
      <c r="O268" s="159"/>
      <c r="P268" s="159"/>
      <c r="Q268" s="159"/>
      <c r="R268" s="159"/>
      <c r="S268" s="159"/>
      <c r="T268" s="159"/>
      <c r="U268" s="159"/>
      <c r="V268" s="5"/>
    </row>
    <row r="269" spans="1:22" ht="15.6" x14ac:dyDescent="0.3">
      <c r="A269" s="164"/>
      <c r="B269" s="159"/>
      <c r="C269" s="8"/>
      <c r="D269" s="8"/>
      <c r="E269" s="8"/>
      <c r="F269" s="8"/>
      <c r="G269" s="8"/>
      <c r="H269" s="8"/>
      <c r="I269" s="159"/>
      <c r="J269" s="159"/>
      <c r="K269" s="159"/>
      <c r="L269" s="159"/>
      <c r="M269" s="159"/>
      <c r="N269" s="159"/>
      <c r="O269" s="159"/>
      <c r="P269" s="159"/>
      <c r="Q269" s="159"/>
      <c r="R269" s="159"/>
      <c r="S269" s="159"/>
      <c r="T269" s="159"/>
      <c r="U269" s="159"/>
      <c r="V269" s="5"/>
    </row>
    <row r="270" spans="1:22" ht="15.6" x14ac:dyDescent="0.3">
      <c r="A270" s="164"/>
      <c r="B270" s="13" t="s">
        <v>98</v>
      </c>
      <c r="C270" s="13"/>
      <c r="D270" s="13"/>
      <c r="E270" s="13"/>
      <c r="F270" s="133" t="s">
        <v>159</v>
      </c>
      <c r="G270" s="13"/>
      <c r="H270" s="13" t="s">
        <v>167</v>
      </c>
      <c r="I270" s="159"/>
      <c r="J270" s="159"/>
      <c r="K270" s="159"/>
      <c r="L270" s="159"/>
      <c r="M270" s="159"/>
      <c r="N270" s="159"/>
      <c r="O270" s="159"/>
      <c r="P270" s="159"/>
      <c r="Q270" s="159"/>
      <c r="R270" s="159"/>
      <c r="S270" s="159"/>
      <c r="T270" s="159"/>
      <c r="U270" s="159"/>
      <c r="V270" s="5"/>
    </row>
    <row r="271" spans="1:22" ht="15.6" x14ac:dyDescent="0.3">
      <c r="A271" s="164"/>
      <c r="B271" s="13" t="s">
        <v>273</v>
      </c>
      <c r="C271" s="13"/>
      <c r="D271" s="13"/>
      <c r="E271" s="13"/>
      <c r="F271" s="133" t="s">
        <v>274</v>
      </c>
      <c r="G271" s="13"/>
      <c r="H271" s="13" t="s">
        <v>275</v>
      </c>
      <c r="I271" s="159"/>
      <c r="J271" s="159"/>
      <c r="K271" s="159"/>
      <c r="L271" s="159"/>
      <c r="M271" s="159"/>
      <c r="N271" s="159"/>
      <c r="O271" s="159"/>
      <c r="P271" s="159"/>
      <c r="Q271" s="159"/>
      <c r="R271" s="159"/>
      <c r="S271" s="159"/>
      <c r="T271" s="159"/>
      <c r="U271" s="159"/>
      <c r="V271" s="5"/>
    </row>
    <row r="272" spans="1:22" ht="15.6" x14ac:dyDescent="0.3">
      <c r="A272" s="164"/>
      <c r="B272" s="13" t="s">
        <v>99</v>
      </c>
      <c r="C272" s="13"/>
      <c r="D272" s="13"/>
      <c r="E272" s="13"/>
      <c r="F272" s="133" t="s">
        <v>158</v>
      </c>
      <c r="G272" s="13"/>
      <c r="H272" s="13" t="s">
        <v>168</v>
      </c>
      <c r="I272" s="159"/>
      <c r="J272" s="159"/>
      <c r="K272" s="159"/>
      <c r="L272" s="159"/>
      <c r="M272" s="159"/>
      <c r="N272" s="159"/>
      <c r="O272" s="159"/>
      <c r="P272" s="159"/>
      <c r="Q272" s="159"/>
      <c r="R272" s="159"/>
      <c r="S272" s="159"/>
      <c r="T272" s="159"/>
      <c r="U272" s="159"/>
      <c r="V272" s="5"/>
    </row>
    <row r="273" spans="1:22" ht="15.6" x14ac:dyDescent="0.3">
      <c r="A273" s="164"/>
      <c r="B273" s="13"/>
      <c r="C273" s="13"/>
      <c r="D273" s="13"/>
      <c r="E273" s="13"/>
      <c r="F273" s="13"/>
      <c r="G273" s="100"/>
      <c r="H273" s="159"/>
      <c r="I273" s="159"/>
      <c r="J273" s="159"/>
      <c r="K273" s="159"/>
      <c r="L273" s="159"/>
      <c r="M273" s="159"/>
      <c r="N273" s="159"/>
      <c r="O273" s="159"/>
      <c r="P273" s="159"/>
      <c r="Q273" s="159"/>
      <c r="R273" s="159"/>
      <c r="S273" s="159"/>
      <c r="T273" s="159"/>
      <c r="U273" s="159"/>
      <c r="V273" s="5"/>
    </row>
    <row r="274" spans="1:22" ht="18" thickBot="1" x14ac:dyDescent="0.35">
      <c r="A274" s="164"/>
      <c r="B274" s="49" t="str">
        <f>B192</f>
        <v>PM9 INVESTOR REPORT QUARTER ENDING APRIL 2006</v>
      </c>
      <c r="C274" s="13"/>
      <c r="D274" s="13"/>
      <c r="E274" s="13"/>
      <c r="F274" s="13"/>
      <c r="G274" s="100"/>
      <c r="H274" s="159"/>
      <c r="I274" s="159"/>
      <c r="J274" s="159"/>
      <c r="K274" s="159"/>
      <c r="L274" s="159"/>
      <c r="M274" s="159"/>
      <c r="N274" s="159"/>
      <c r="O274" s="159"/>
      <c r="P274" s="159"/>
      <c r="Q274" s="159"/>
      <c r="R274" s="159"/>
      <c r="S274" s="159"/>
      <c r="T274" s="159"/>
      <c r="U274" s="159"/>
      <c r="V274" s="5"/>
    </row>
    <row r="275" spans="1:22" x14ac:dyDescent="0.25">
      <c r="A275" s="101"/>
      <c r="B275" s="101"/>
      <c r="C275" s="101"/>
      <c r="D275" s="101"/>
      <c r="E275" s="101"/>
      <c r="F275" s="101"/>
      <c r="G275" s="101"/>
      <c r="H275" s="101"/>
      <c r="I275" s="101"/>
      <c r="J275" s="101"/>
      <c r="K275" s="101"/>
      <c r="L275" s="101"/>
      <c r="M275" s="101"/>
      <c r="N275" s="101"/>
      <c r="O275" s="101"/>
      <c r="P275" s="101"/>
      <c r="Q275" s="101"/>
      <c r="R275" s="101"/>
      <c r="S275" s="101"/>
      <c r="T275" s="101"/>
      <c r="U275" s="101"/>
    </row>
  </sheetData>
  <phoneticPr fontId="0" type="noConversion"/>
  <hyperlinks>
    <hyperlink ref="J9" r:id="rId1" xr:uid="{00000000-0004-0000-0200-000000000000}"/>
    <hyperlink ref="N227" r:id="rId2" xr:uid="{00000000-0004-0000-02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2" max="14" man="1"/>
    <brk id="192" max="14" man="1"/>
  </row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2D2926"/>
  </sheetPr>
  <dimension ref="A1:W291"/>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0.71879999999999999</v>
      </c>
      <c r="R16" s="225" t="s">
        <v>149</v>
      </c>
      <c r="S16" s="224">
        <v>0.28120000000000001</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41327</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150</v>
      </c>
      <c r="E25" s="398"/>
      <c r="F25" s="398" t="s">
        <v>150</v>
      </c>
      <c r="G25" s="398"/>
      <c r="H25" s="398" t="s">
        <v>150</v>
      </c>
      <c r="I25" s="398"/>
      <c r="J25" s="398" t="s">
        <v>192</v>
      </c>
      <c r="K25" s="398"/>
      <c r="L25" s="398" t="s">
        <v>192</v>
      </c>
      <c r="M25" s="398"/>
      <c r="N25" s="398" t="s">
        <v>151</v>
      </c>
      <c r="O25" s="398"/>
      <c r="P25" s="398" t="s">
        <v>151</v>
      </c>
      <c r="Q25" s="398"/>
      <c r="R25" s="273"/>
      <c r="S25" s="274"/>
      <c r="T25" s="274"/>
      <c r="U25" s="275"/>
      <c r="V25" s="5"/>
    </row>
    <row r="26" spans="1:22" ht="15.6" x14ac:dyDescent="0.3">
      <c r="A26" s="276"/>
      <c r="B26" s="277" t="s">
        <v>10</v>
      </c>
      <c r="C26" s="398"/>
      <c r="D26" s="398" t="s">
        <v>312</v>
      </c>
      <c r="E26" s="398"/>
      <c r="F26" s="398" t="s">
        <v>312</v>
      </c>
      <c r="G26" s="398"/>
      <c r="H26" s="398" t="s">
        <v>312</v>
      </c>
      <c r="I26" s="398"/>
      <c r="J26" s="398" t="s">
        <v>312</v>
      </c>
      <c r="K26" s="398"/>
      <c r="L26" s="398" t="s">
        <v>312</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132543.05040000001</v>
      </c>
      <c r="E30" s="280"/>
      <c r="F30" s="282">
        <f>F29*F36</f>
        <v>135990.70199999999</v>
      </c>
      <c r="G30" s="281"/>
      <c r="H30" s="283">
        <f>H29*H36</f>
        <v>22984.272000000001</v>
      </c>
      <c r="I30" s="281"/>
      <c r="J30" s="281">
        <f>J29*J36</f>
        <v>6101.7852000000003</v>
      </c>
      <c r="K30" s="281"/>
      <c r="L30" s="282">
        <f>L29*L36</f>
        <v>25714.6662</v>
      </c>
      <c r="M30" s="281"/>
      <c r="N30" s="284">
        <f>N29*N36</f>
        <v>2615.0508</v>
      </c>
      <c r="O30" s="281"/>
      <c r="P30" s="282">
        <f>P29*P36</f>
        <v>57531.117599999998</v>
      </c>
      <c r="Q30" s="281"/>
      <c r="R30" s="281"/>
      <c r="S30" s="285"/>
      <c r="T30" s="281"/>
      <c r="U30" s="286"/>
      <c r="V30" s="5"/>
    </row>
    <row r="31" spans="1:22" ht="15.6" x14ac:dyDescent="0.3">
      <c r="A31" s="276"/>
      <c r="B31" s="277" t="s">
        <v>143</v>
      </c>
      <c r="C31" s="287"/>
      <c r="D31" s="288">
        <f>D35*D29</f>
        <v>131562.83240000001</v>
      </c>
      <c r="E31" s="287"/>
      <c r="F31" s="289">
        <f>F35*F29</f>
        <v>134984.98699999999</v>
      </c>
      <c r="G31" s="288"/>
      <c r="H31" s="290">
        <f>H35*H29</f>
        <v>22814.292000000001</v>
      </c>
      <c r="I31" s="288"/>
      <c r="J31" s="288">
        <f>J35*J29</f>
        <v>6056.6590000000006</v>
      </c>
      <c r="K31" s="288"/>
      <c r="L31" s="289">
        <f>L35*L29</f>
        <v>25524.4915</v>
      </c>
      <c r="M31" s="288"/>
      <c r="N31" s="291">
        <f>N35*N29</f>
        <v>2595.7110000000002</v>
      </c>
      <c r="O31" s="288"/>
      <c r="P31" s="289">
        <f>P35*P29</f>
        <v>57105.642</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132543.05040000001</v>
      </c>
      <c r="E33" s="280"/>
      <c r="F33" s="281">
        <f>F32*F36</f>
        <v>93661.201799999995</v>
      </c>
      <c r="G33" s="281"/>
      <c r="H33" s="281">
        <f>H32*H36</f>
        <v>12986.11368</v>
      </c>
      <c r="I33" s="281"/>
      <c r="J33" s="281">
        <f>J32*J36</f>
        <v>6101.7852000000003</v>
      </c>
      <c r="K33" s="281"/>
      <c r="L33" s="281">
        <f>L32*L36</f>
        <v>17695.177080000001</v>
      </c>
      <c r="M33" s="281"/>
      <c r="N33" s="281">
        <f>N32*N36</f>
        <v>2615.0508</v>
      </c>
      <c r="O33" s="281"/>
      <c r="P33" s="281">
        <f>P32*P36</f>
        <v>39487.267079999998</v>
      </c>
      <c r="Q33" s="281"/>
      <c r="R33" s="281"/>
      <c r="S33" s="285"/>
      <c r="T33" s="281">
        <f>SUM(C33:P33)</f>
        <v>305089.64604000008</v>
      </c>
      <c r="U33" s="286"/>
      <c r="V33" s="5"/>
    </row>
    <row r="34" spans="1:22" ht="15.6" x14ac:dyDescent="0.3">
      <c r="A34" s="276"/>
      <c r="B34" s="277" t="s">
        <v>291</v>
      </c>
      <c r="C34" s="287"/>
      <c r="D34" s="288">
        <f>D35*D32</f>
        <v>131562.83240000001</v>
      </c>
      <c r="E34" s="287"/>
      <c r="F34" s="288">
        <f>F35*F32</f>
        <v>92968.533299999996</v>
      </c>
      <c r="G34" s="288"/>
      <c r="H34" s="288">
        <f>H35*H32</f>
        <v>12890.074980000001</v>
      </c>
      <c r="I34" s="288"/>
      <c r="J34" s="288">
        <f>J35*J32</f>
        <v>6056.6590000000006</v>
      </c>
      <c r="K34" s="288"/>
      <c r="L34" s="288">
        <f>L35*L32</f>
        <v>17564.311099999999</v>
      </c>
      <c r="M34" s="288"/>
      <c r="N34" s="288">
        <f>N35*N32</f>
        <v>2595.7110000000002</v>
      </c>
      <c r="O34" s="288"/>
      <c r="P34" s="288">
        <f>P35*P32</f>
        <v>39195.236100000002</v>
      </c>
      <c r="Q34" s="288"/>
      <c r="R34" s="288"/>
      <c r="S34" s="292"/>
      <c r="T34" s="288">
        <f>SUM(C34:P34)</f>
        <v>302833.35788000003</v>
      </c>
      <c r="U34" s="286"/>
      <c r="V34" s="5"/>
    </row>
    <row r="35" spans="1:22" ht="15.6" x14ac:dyDescent="0.3">
      <c r="A35" s="276"/>
      <c r="B35" s="293" t="s">
        <v>139</v>
      </c>
      <c r="C35" s="294"/>
      <c r="D35" s="295">
        <v>0.38023940000000001</v>
      </c>
      <c r="E35" s="296"/>
      <c r="F35" s="295">
        <v>0.38023940000000001</v>
      </c>
      <c r="G35" s="295"/>
      <c r="H35" s="295">
        <v>0.38023820000000003</v>
      </c>
      <c r="I35" s="297"/>
      <c r="J35" s="295">
        <v>0.86523700000000003</v>
      </c>
      <c r="K35" s="297"/>
      <c r="L35" s="295">
        <v>0.86523700000000003</v>
      </c>
      <c r="M35" s="297"/>
      <c r="N35" s="295">
        <v>0.86523700000000003</v>
      </c>
      <c r="O35" s="297"/>
      <c r="P35" s="295">
        <v>0.86523700000000003</v>
      </c>
      <c r="Q35" s="298"/>
      <c r="R35" s="298"/>
      <c r="S35" s="299"/>
      <c r="T35" s="298"/>
      <c r="U35" s="300"/>
      <c r="V35" s="5"/>
    </row>
    <row r="36" spans="1:22" ht="15.6" x14ac:dyDescent="0.3">
      <c r="A36" s="276"/>
      <c r="B36" s="293" t="s">
        <v>140</v>
      </c>
      <c r="C36" s="294"/>
      <c r="D36" s="295">
        <v>0.38307239999999998</v>
      </c>
      <c r="E36" s="296"/>
      <c r="F36" s="295">
        <v>0.38307239999999998</v>
      </c>
      <c r="G36" s="295"/>
      <c r="H36" s="295">
        <v>0.3830712</v>
      </c>
      <c r="I36" s="297"/>
      <c r="J36" s="295">
        <v>0.8716836</v>
      </c>
      <c r="K36" s="297"/>
      <c r="L36" s="295">
        <v>0.8716836</v>
      </c>
      <c r="M36" s="297"/>
      <c r="N36" s="295">
        <v>0.8716836</v>
      </c>
      <c r="O36" s="297"/>
      <c r="P36" s="295">
        <v>0.8716836</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8.8313000000000003E-3</v>
      </c>
      <c r="E38" s="272"/>
      <c r="F38" s="303">
        <v>5.5199999999999997E-3</v>
      </c>
      <c r="G38" s="304"/>
      <c r="H38" s="303">
        <v>6.7000000000000002E-3</v>
      </c>
      <c r="I38" s="304"/>
      <c r="J38" s="303">
        <v>1.1031300000000001E-2</v>
      </c>
      <c r="K38" s="304"/>
      <c r="L38" s="303">
        <v>7.7200000000000003E-3</v>
      </c>
      <c r="M38" s="304"/>
      <c r="N38" s="303">
        <v>1.5631300000000001E-2</v>
      </c>
      <c r="O38" s="304"/>
      <c r="P38" s="303">
        <v>1.2319999999999999E-2</v>
      </c>
      <c r="Q38" s="304"/>
      <c r="R38" s="303"/>
      <c r="S38" s="274"/>
      <c r="T38" s="304"/>
      <c r="U38" s="275"/>
      <c r="V38" s="5"/>
    </row>
    <row r="39" spans="1:22" ht="15.6" x14ac:dyDescent="0.3">
      <c r="A39" s="302"/>
      <c r="B39" s="272" t="s">
        <v>14</v>
      </c>
      <c r="C39" s="272"/>
      <c r="D39" s="303">
        <v>1.06438E-2</v>
      </c>
      <c r="E39" s="272"/>
      <c r="F39" s="303">
        <v>7.0899999999999999E-3</v>
      </c>
      <c r="G39" s="304"/>
      <c r="H39" s="303">
        <v>7.9450000000000007E-3</v>
      </c>
      <c r="I39" s="304"/>
      <c r="J39" s="303">
        <v>1.2843800000000001E-2</v>
      </c>
      <c r="K39" s="304"/>
      <c r="L39" s="303">
        <v>9.2899999999999996E-3</v>
      </c>
      <c r="M39" s="304"/>
      <c r="N39" s="303">
        <v>1.7443799999999999E-2</v>
      </c>
      <c r="O39" s="304"/>
      <c r="P39" s="303">
        <v>1.389E-2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8.8313000000000003E-3</v>
      </c>
      <c r="E41" s="272"/>
      <c r="F41" s="303">
        <v>9.0313000000000008E-3</v>
      </c>
      <c r="G41" s="304"/>
      <c r="H41" s="303">
        <v>9.2913000000000006E-3</v>
      </c>
      <c r="I41" s="304"/>
      <c r="J41" s="303">
        <f>+J38</f>
        <v>1.1031300000000001E-2</v>
      </c>
      <c r="K41" s="304"/>
      <c r="L41" s="303">
        <v>1.1621299999999999E-2</v>
      </c>
      <c r="M41" s="304"/>
      <c r="N41" s="303">
        <f>+N38</f>
        <v>1.5631300000000001E-2</v>
      </c>
      <c r="O41" s="304"/>
      <c r="P41" s="303">
        <v>1.65113E-2</v>
      </c>
      <c r="Q41" s="304"/>
      <c r="R41" s="303"/>
      <c r="S41" s="274"/>
      <c r="T41" s="304">
        <f>SUMPRODUCT(D41:P41,D33:P33)/T33</f>
        <v>1.0170394545040165E-2</v>
      </c>
      <c r="U41" s="275"/>
      <c r="V41" s="5"/>
    </row>
    <row r="42" spans="1:22" ht="15.6" x14ac:dyDescent="0.3">
      <c r="A42" s="302"/>
      <c r="B42" s="272" t="s">
        <v>294</v>
      </c>
      <c r="C42" s="272"/>
      <c r="D42" s="303">
        <f>+D39</f>
        <v>1.06438E-2</v>
      </c>
      <c r="E42" s="272"/>
      <c r="F42" s="303">
        <v>1.0843800000000001E-2</v>
      </c>
      <c r="G42" s="304"/>
      <c r="H42" s="303">
        <v>1.11038E-2</v>
      </c>
      <c r="I42" s="304"/>
      <c r="J42" s="303">
        <f>+J39</f>
        <v>1.2843800000000001E-2</v>
      </c>
      <c r="K42" s="304"/>
      <c r="L42" s="303">
        <v>1.3433799999999999E-2</v>
      </c>
      <c r="M42" s="304"/>
      <c r="N42" s="303">
        <f>+N39</f>
        <v>1.7443799999999999E-2</v>
      </c>
      <c r="O42" s="304"/>
      <c r="P42" s="303">
        <v>1.8323800000000001E-2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0.27550973076674695</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41320</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92</v>
      </c>
      <c r="Q54" s="272"/>
      <c r="R54" s="312">
        <v>41136</v>
      </c>
      <c r="S54" s="313"/>
      <c r="T54" s="312">
        <v>41227</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92</v>
      </c>
      <c r="Q55" s="272"/>
      <c r="R55" s="312">
        <v>41228</v>
      </c>
      <c r="S55" s="313"/>
      <c r="T55" s="312">
        <v>41319</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41306</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316</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305090</v>
      </c>
      <c r="M65" s="317"/>
      <c r="N65" s="317">
        <f>2256+4+1</f>
        <v>2261</v>
      </c>
      <c r="O65" s="317"/>
      <c r="P65" s="317">
        <v>4</v>
      </c>
      <c r="Q65" s="317"/>
      <c r="R65" s="317">
        <v>0</v>
      </c>
      <c r="S65" s="317"/>
      <c r="T65" s="318">
        <f>+L65-N65+P65-R65</f>
        <v>302833</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305090</v>
      </c>
      <c r="M68" s="317"/>
      <c r="N68" s="317">
        <f>SUM(N65:N67)</f>
        <v>2261</v>
      </c>
      <c r="O68" s="317"/>
      <c r="P68" s="317">
        <f>SUM(P65:P67)</f>
        <v>4</v>
      </c>
      <c r="Q68" s="317"/>
      <c r="R68" s="317">
        <f>SUM(R65:R67)</f>
        <v>0</v>
      </c>
      <c r="S68" s="317"/>
      <c r="T68" s="317">
        <f>SUM(T65:T67)</f>
        <v>302833</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305090</v>
      </c>
      <c r="M81" s="317"/>
      <c r="N81" s="317"/>
      <c r="O81" s="317"/>
      <c r="P81" s="317"/>
      <c r="Q81" s="317"/>
      <c r="R81" s="317"/>
      <c r="S81" s="317"/>
      <c r="T81" s="317">
        <f>SUM(T68:T80)</f>
        <v>302833</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41305</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2261-196</f>
        <v>2065</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1805+676-505-147</f>
        <v>1829</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48+33</f>
        <v>81</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6</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99</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2065</v>
      </c>
      <c r="S93" s="272"/>
      <c r="T93" s="317">
        <f>SUM(T85:T92)</f>
        <v>2015</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-1</v>
      </c>
      <c r="S94" s="272"/>
      <c r="T94" s="317">
        <f>-R94</f>
        <v>1</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90</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2064</v>
      </c>
      <c r="S97" s="272"/>
      <c r="T97" s="317">
        <f>T93+T95+T94+T96</f>
        <v>2106</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-117-123-4</f>
        <v>-244</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-48</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-1</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-295</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-213</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-31</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-17</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-52</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-10</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-164</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196</v>
      </c>
      <c r="S113" s="272"/>
      <c r="T113" s="318">
        <v>-196</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-117</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-710</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-3</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0</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-980</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-693</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-96</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-45</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-131</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-20</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-292</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-2260</v>
      </c>
      <c r="S130" s="317"/>
      <c r="T130" s="317">
        <f>SUM(T98:T128)</f>
        <v>-2106</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JANUARY 2013</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1819</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272" t="s">
        <v>300</v>
      </c>
      <c r="C153" s="272"/>
      <c r="D153" s="272"/>
      <c r="E153" s="272"/>
      <c r="F153" s="272"/>
      <c r="G153" s="272"/>
      <c r="H153" s="272"/>
      <c r="I153" s="272"/>
      <c r="J153" s="272"/>
      <c r="K153" s="272"/>
      <c r="L153" s="272"/>
      <c r="M153" s="272"/>
      <c r="N153" s="272"/>
      <c r="O153" s="272"/>
      <c r="P153" s="272"/>
      <c r="Q153" s="272"/>
      <c r="R153" s="272"/>
      <c r="S153" s="272"/>
      <c r="T153" s="318">
        <v>1819</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196</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196</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-196</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v>0</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302833</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302833</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+'Oct 12'!Q180</f>
        <v>46786</v>
      </c>
      <c r="R179" s="318">
        <f>+'Oct 12'!R180</f>
        <v>2435</v>
      </c>
      <c r="S179" s="272"/>
      <c r="T179" s="318">
        <f>Q179+R179</f>
        <v>49221</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0</v>
      </c>
      <c r="R180" s="317">
        <v>0</v>
      </c>
      <c r="S180" s="272"/>
      <c r="T180" s="318">
        <f>Q180+R180</f>
        <v>0</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46786</v>
      </c>
      <c r="R181" s="318">
        <f>R180+R179</f>
        <v>2435</v>
      </c>
      <c r="S181" s="272"/>
      <c r="T181" s="318">
        <f>Q181+R181</f>
        <v>49221</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62779</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3.3599257884972169</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1.57</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18.434782608695652</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8.4</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6.9137931034482758</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3.81</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JANUARY 2013</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41305</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2.324E-2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1.0170394545040165E-2</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1.3069605454959835E-2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6.9028811170474286E-3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13.84</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7.4109279229079943E-3</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0.11609999999999999</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1</v>
      </c>
      <c r="R214" s="248">
        <v>64</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60</v>
      </c>
      <c r="R215" s="360">
        <f>+R266</f>
        <v>8867</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196</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'Oct 12'!R220+'Jan 13'!R220</f>
        <v>3020</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4</v>
      </c>
      <c r="R227" s="360">
        <v>681</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4.8899999999999997</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2476</v>
      </c>
      <c r="Q233" s="388">
        <f t="shared" ref="Q233:Q240" si="2">P233/$P$242</f>
        <v>0.98881789137380194</v>
      </c>
      <c r="R233" s="318">
        <f t="shared" ref="R233:R240" si="3">+R245+R257+R269</f>
        <v>297948</v>
      </c>
      <c r="S233" s="388">
        <f t="shared" ref="S233:S240" si="4">R233/$R$242</f>
        <v>0.98386899710401443</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15</v>
      </c>
      <c r="Q234" s="388">
        <f t="shared" si="2"/>
        <v>5.9904153354632585E-3</v>
      </c>
      <c r="R234" s="318">
        <f t="shared" si="3"/>
        <v>2336</v>
      </c>
      <c r="S234" s="388">
        <f t="shared" si="4"/>
        <v>7.7138224698100931E-3</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1</v>
      </c>
      <c r="Q235" s="388">
        <f t="shared" si="2"/>
        <v>3.9936102236421724E-4</v>
      </c>
      <c r="R235" s="318">
        <f t="shared" si="3"/>
        <v>153</v>
      </c>
      <c r="S235" s="388">
        <f t="shared" si="4"/>
        <v>5.0522895457232205E-4</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2</v>
      </c>
      <c r="Q236" s="388">
        <f t="shared" si="2"/>
        <v>7.9872204472843447E-4</v>
      </c>
      <c r="R236" s="318">
        <f t="shared" si="3"/>
        <v>207</v>
      </c>
      <c r="S236" s="388">
        <f t="shared" si="4"/>
        <v>6.8354505618608273E-4</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0</v>
      </c>
      <c r="Q238" s="388">
        <f t="shared" si="2"/>
        <v>0</v>
      </c>
      <c r="R238" s="318">
        <f t="shared" si="3"/>
        <v>0</v>
      </c>
      <c r="S238" s="388">
        <f t="shared" si="4"/>
        <v>0</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1</v>
      </c>
      <c r="Q239" s="388">
        <f t="shared" si="2"/>
        <v>3.9936102236421724E-4</v>
      </c>
      <c r="R239" s="318">
        <f t="shared" si="3"/>
        <v>121</v>
      </c>
      <c r="S239" s="388">
        <f t="shared" si="4"/>
        <v>3.995601536160194E-4</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9</v>
      </c>
      <c r="Q240" s="388">
        <f t="shared" si="2"/>
        <v>3.5942492012779551E-3</v>
      </c>
      <c r="R240" s="318">
        <f t="shared" si="3"/>
        <v>2068</v>
      </c>
      <c r="S240" s="388">
        <f t="shared" si="4"/>
        <v>6.8288462618010587E-3</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2504</v>
      </c>
      <c r="Q242" s="388">
        <f>SUM(Q233:Q241)</f>
        <v>1.0000000000000002</v>
      </c>
      <c r="R242" s="318">
        <f>SUM(R233:R241)</f>
        <v>302833</v>
      </c>
      <c r="S242" s="388">
        <f>SUM(S233:S241)</f>
        <v>0.99999999999999989</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2430</v>
      </c>
      <c r="Q245" s="250">
        <f t="shared" ref="Q245:Q252" si="5">P245/$P$254</f>
        <v>0.99427168576104741</v>
      </c>
      <c r="R245" s="242">
        <v>291657</v>
      </c>
      <c r="S245" s="250">
        <f t="shared" ref="S245:S252" si="6">R245/$R$254</f>
        <v>0.99214535014253347</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13</v>
      </c>
      <c r="Q246" s="388">
        <f t="shared" si="5"/>
        <v>5.3191489361702126E-3</v>
      </c>
      <c r="R246" s="318">
        <v>2156</v>
      </c>
      <c r="S246" s="388">
        <f t="shared" si="6"/>
        <v>7.3341815039834534E-3</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1</v>
      </c>
      <c r="Q247" s="388">
        <f t="shared" si="5"/>
        <v>4.0916530278232408E-4</v>
      </c>
      <c r="R247" s="318">
        <v>153</v>
      </c>
      <c r="S247" s="388">
        <f t="shared" si="6"/>
        <v>5.2046835348305582E-4</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2444</v>
      </c>
      <c r="Q254" s="388">
        <f>SUM(Q245:Q253)</f>
        <v>1</v>
      </c>
      <c r="R254" s="318">
        <f>SUM(R245:R253)</f>
        <v>293966</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46</v>
      </c>
      <c r="Q257" s="250">
        <f t="shared" ref="Q257:Q264" si="7">P257/$P$266</f>
        <v>0.76666666666666672</v>
      </c>
      <c r="R257" s="242">
        <v>6291</v>
      </c>
      <c r="S257" s="250">
        <f t="shared" ref="S257:S264" si="8">R257/$R$266</f>
        <v>0.70948460584188566</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2</v>
      </c>
      <c r="Q258" s="388">
        <f t="shared" si="7"/>
        <v>3.3333333333333333E-2</v>
      </c>
      <c r="R258" s="318">
        <v>180</v>
      </c>
      <c r="S258" s="388">
        <f t="shared" si="8"/>
        <v>2.0299988722228487E-2</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0</v>
      </c>
      <c r="Q259" s="388">
        <f t="shared" si="7"/>
        <v>0</v>
      </c>
      <c r="R259" s="318">
        <v>0</v>
      </c>
      <c r="S259" s="388">
        <f t="shared" si="8"/>
        <v>0</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2</v>
      </c>
      <c r="Q260" s="388">
        <f t="shared" si="7"/>
        <v>3.3333333333333333E-2</v>
      </c>
      <c r="R260" s="318">
        <v>207</v>
      </c>
      <c r="S260" s="388">
        <f t="shared" si="8"/>
        <v>2.3344987030562762E-2</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0</v>
      </c>
      <c r="Q262" s="388">
        <f t="shared" si="7"/>
        <v>0</v>
      </c>
      <c r="R262" s="318">
        <v>0</v>
      </c>
      <c r="S262" s="388">
        <f t="shared" si="8"/>
        <v>0</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1</v>
      </c>
      <c r="Q263" s="388">
        <f t="shared" si="7"/>
        <v>1.6666666666666666E-2</v>
      </c>
      <c r="R263" s="318">
        <v>121</v>
      </c>
      <c r="S263" s="388">
        <f t="shared" si="8"/>
        <v>1.3646103529942484E-2</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9</v>
      </c>
      <c r="Q264" s="388">
        <f t="shared" si="7"/>
        <v>0.15</v>
      </c>
      <c r="R264" s="318">
        <v>2068</v>
      </c>
      <c r="S264" s="388">
        <f t="shared" si="8"/>
        <v>0.23322431487538062</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60</v>
      </c>
      <c r="Q266" s="388">
        <f>SUM(Q257:Q265)</f>
        <v>1</v>
      </c>
      <c r="R266" s="318">
        <f>SUM(R257:R265)</f>
        <v>8867</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2504</v>
      </c>
      <c r="Q280" s="388"/>
      <c r="R280" s="396">
        <f>+R278+R266+R254</f>
        <v>302833</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98</v>
      </c>
      <c r="C285" s="220"/>
      <c r="D285" s="220"/>
      <c r="E285" s="220"/>
      <c r="F285" s="256" t="s">
        <v>159</v>
      </c>
      <c r="G285" s="220"/>
      <c r="H285" s="220" t="s">
        <v>167</v>
      </c>
      <c r="I285" s="255"/>
      <c r="J285" s="255"/>
      <c r="K285" s="255"/>
      <c r="L285" s="255"/>
      <c r="M285" s="255"/>
      <c r="N285" s="255"/>
      <c r="O285" s="255"/>
      <c r="P285" s="255"/>
      <c r="Q285" s="255"/>
      <c r="R285" s="255"/>
      <c r="S285" s="255"/>
      <c r="T285" s="255"/>
      <c r="U285" s="192"/>
      <c r="V285" s="5"/>
    </row>
    <row r="286" spans="1:22" ht="15.6" x14ac:dyDescent="0.3">
      <c r="A286" s="254"/>
      <c r="B286" s="220" t="s">
        <v>273</v>
      </c>
      <c r="C286" s="220"/>
      <c r="D286" s="220"/>
      <c r="E286" s="220"/>
      <c r="F286" s="256" t="s">
        <v>274</v>
      </c>
      <c r="G286" s="220"/>
      <c r="H286" s="220" t="s">
        <v>275</v>
      </c>
      <c r="I286" s="255"/>
      <c r="J286" s="255"/>
      <c r="K286" s="255"/>
      <c r="L286" s="255"/>
      <c r="M286" s="255"/>
      <c r="N286" s="255"/>
      <c r="O286" s="255"/>
      <c r="P286" s="255"/>
      <c r="Q286" s="255"/>
      <c r="R286" s="255"/>
      <c r="S286" s="255"/>
      <c r="T286" s="255"/>
      <c r="U286" s="192"/>
      <c r="V286" s="5"/>
    </row>
    <row r="287" spans="1:22" ht="15.6" x14ac:dyDescent="0.3">
      <c r="A287" s="254"/>
      <c r="B287" s="220" t="s">
        <v>99</v>
      </c>
      <c r="C287" s="220"/>
      <c r="D287" s="220"/>
      <c r="E287" s="220"/>
      <c r="F287" s="256" t="s">
        <v>158</v>
      </c>
      <c r="G287" s="220"/>
      <c r="H287" s="220" t="s">
        <v>168</v>
      </c>
      <c r="I287" s="255"/>
      <c r="J287" s="255"/>
      <c r="K287" s="255"/>
      <c r="L287" s="255"/>
      <c r="M287" s="255"/>
      <c r="N287" s="255"/>
      <c r="O287" s="255"/>
      <c r="P287" s="255"/>
      <c r="Q287" s="255"/>
      <c r="R287" s="255"/>
      <c r="S287" s="255"/>
      <c r="T287" s="255"/>
      <c r="U287" s="192"/>
      <c r="V287" s="5"/>
    </row>
    <row r="288" spans="1:22" ht="15.6" x14ac:dyDescent="0.3">
      <c r="A288" s="254"/>
      <c r="B288" s="220"/>
      <c r="C288" s="220"/>
      <c r="D288" s="220"/>
      <c r="E288" s="220"/>
      <c r="F288" s="220"/>
      <c r="G288" s="257"/>
      <c r="H288" s="255"/>
      <c r="I288" s="255"/>
      <c r="J288" s="255"/>
      <c r="K288" s="255"/>
      <c r="L288" s="255"/>
      <c r="M288" s="255"/>
      <c r="N288" s="255"/>
      <c r="O288" s="255"/>
      <c r="P288" s="255"/>
      <c r="Q288" s="255"/>
      <c r="R288" s="255"/>
      <c r="S288" s="255"/>
      <c r="T288" s="255"/>
      <c r="U288" s="192"/>
      <c r="V288" s="5"/>
    </row>
    <row r="289" spans="1:22" ht="15.6" x14ac:dyDescent="0.3">
      <c r="A289" s="216"/>
      <c r="B289" s="185"/>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ht="18" thickBot="1" x14ac:dyDescent="0.35">
      <c r="A290" s="216"/>
      <c r="B290" s="267" t="str">
        <f>B195</f>
        <v>PM9 INVESTOR REPORT QUARTER ENDING JANUARY 2013</v>
      </c>
      <c r="C290" s="185"/>
      <c r="D290" s="185"/>
      <c r="E290" s="185"/>
      <c r="F290" s="185"/>
      <c r="G290" s="217"/>
      <c r="H290" s="192"/>
      <c r="I290" s="192"/>
      <c r="J290" s="192"/>
      <c r="K290" s="192"/>
      <c r="L290" s="192"/>
      <c r="M290" s="192"/>
      <c r="N290" s="192"/>
      <c r="O290" s="192"/>
      <c r="P290" s="192"/>
      <c r="Q290" s="192"/>
      <c r="R290" s="192"/>
      <c r="S290" s="192"/>
      <c r="T290" s="192"/>
      <c r="U290" s="192"/>
      <c r="V290" s="5"/>
    </row>
    <row r="291" spans="1:22" x14ac:dyDescent="0.25">
      <c r="A291" s="101"/>
      <c r="B291" s="101"/>
      <c r="C291" s="101"/>
      <c r="D291" s="101"/>
      <c r="E291" s="101"/>
      <c r="F291" s="101"/>
      <c r="G291" s="101"/>
      <c r="H291" s="101"/>
      <c r="I291" s="101"/>
      <c r="J291" s="101"/>
      <c r="K291" s="101"/>
      <c r="L291" s="101"/>
      <c r="M291" s="101"/>
      <c r="N291" s="101"/>
      <c r="O291" s="101"/>
      <c r="P291" s="101"/>
      <c r="Q291" s="101"/>
      <c r="R291" s="101"/>
      <c r="S291" s="101"/>
      <c r="T291" s="101"/>
      <c r="U291" s="101"/>
    </row>
  </sheetData>
  <hyperlinks>
    <hyperlink ref="J9" r:id="rId1" xr:uid="{00000000-0004-0000-1D00-000000000000}"/>
    <hyperlink ref="N230" r:id="rId2" xr:uid="{00000000-0004-0000-1D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1" man="1"/>
    <brk id="134" max="14" man="1"/>
    <brk id="195" max="14" man="1"/>
  </rowBreak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89CB31"/>
  </sheetPr>
  <dimension ref="A1:W291"/>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402"/>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0.71870000000000001</v>
      </c>
      <c r="R16" s="225" t="s">
        <v>149</v>
      </c>
      <c r="S16" s="224">
        <v>0.28129999999999999</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41416</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150</v>
      </c>
      <c r="E25" s="398"/>
      <c r="F25" s="398" t="s">
        <v>150</v>
      </c>
      <c r="G25" s="398"/>
      <c r="H25" s="398" t="s">
        <v>150</v>
      </c>
      <c r="I25" s="398"/>
      <c r="J25" s="398" t="s">
        <v>192</v>
      </c>
      <c r="K25" s="398"/>
      <c r="L25" s="398" t="s">
        <v>192</v>
      </c>
      <c r="M25" s="398"/>
      <c r="N25" s="398" t="s">
        <v>151</v>
      </c>
      <c r="O25" s="398"/>
      <c r="P25" s="398" t="s">
        <v>151</v>
      </c>
      <c r="Q25" s="398"/>
      <c r="R25" s="273"/>
      <c r="S25" s="274"/>
      <c r="T25" s="274"/>
      <c r="U25" s="275"/>
      <c r="V25" s="5"/>
    </row>
    <row r="26" spans="1:22" ht="15.6" x14ac:dyDescent="0.3">
      <c r="A26" s="276"/>
      <c r="B26" s="277" t="s">
        <v>10</v>
      </c>
      <c r="C26" s="398"/>
      <c r="D26" s="398" t="s">
        <v>312</v>
      </c>
      <c r="E26" s="398"/>
      <c r="F26" s="398" t="s">
        <v>312</v>
      </c>
      <c r="G26" s="398"/>
      <c r="H26" s="398" t="s">
        <v>312</v>
      </c>
      <c r="I26" s="398"/>
      <c r="J26" s="398" t="s">
        <v>312</v>
      </c>
      <c r="K26" s="398"/>
      <c r="L26" s="398" t="s">
        <v>312</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131562.83240000001</v>
      </c>
      <c r="E30" s="280"/>
      <c r="F30" s="282">
        <f>F29*F36</f>
        <v>134984.98699999999</v>
      </c>
      <c r="G30" s="281"/>
      <c r="H30" s="283">
        <f>H29*H36</f>
        <v>22814.292000000001</v>
      </c>
      <c r="I30" s="281"/>
      <c r="J30" s="281">
        <f>J29*J36</f>
        <v>6056.6590000000006</v>
      </c>
      <c r="K30" s="281"/>
      <c r="L30" s="282">
        <f>L29*L36</f>
        <v>25524.4915</v>
      </c>
      <c r="M30" s="281"/>
      <c r="N30" s="284">
        <f>N29*N36</f>
        <v>2595.7110000000002</v>
      </c>
      <c r="O30" s="281"/>
      <c r="P30" s="282">
        <f>P29*P36</f>
        <v>57105.642</v>
      </c>
      <c r="Q30" s="281"/>
      <c r="R30" s="281"/>
      <c r="S30" s="285"/>
      <c r="T30" s="281"/>
      <c r="U30" s="286"/>
      <c r="V30" s="5"/>
    </row>
    <row r="31" spans="1:22" ht="15.6" x14ac:dyDescent="0.3">
      <c r="A31" s="276"/>
      <c r="B31" s="277" t="s">
        <v>143</v>
      </c>
      <c r="C31" s="287"/>
      <c r="D31" s="288">
        <f>D35*D29</f>
        <v>130420.27119999999</v>
      </c>
      <c r="E31" s="287"/>
      <c r="F31" s="289">
        <f>F35*F29</f>
        <v>133812.70599999998</v>
      </c>
      <c r="G31" s="288"/>
      <c r="H31" s="290">
        <f>H35*H29</f>
        <v>22616.153999999999</v>
      </c>
      <c r="I31" s="288"/>
      <c r="J31" s="288">
        <f>J35*J29</f>
        <v>6004.0582000000004</v>
      </c>
      <c r="K31" s="288"/>
      <c r="L31" s="289">
        <f>L35*L29</f>
        <v>25302.816699999999</v>
      </c>
      <c r="M31" s="288"/>
      <c r="N31" s="291">
        <f>N35*N29</f>
        <v>2573.1678000000002</v>
      </c>
      <c r="O31" s="288"/>
      <c r="P31" s="289">
        <f>P35*P29</f>
        <v>56609.691599999998</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131562.83240000001</v>
      </c>
      <c r="E33" s="280"/>
      <c r="F33" s="281">
        <f>F32*F36</f>
        <v>92968.533299999996</v>
      </c>
      <c r="G33" s="281"/>
      <c r="H33" s="281">
        <f>H32*H36</f>
        <v>12890.074980000001</v>
      </c>
      <c r="I33" s="281"/>
      <c r="J33" s="281">
        <f>J32*J36</f>
        <v>6056.6590000000006</v>
      </c>
      <c r="K33" s="281"/>
      <c r="L33" s="281">
        <f>L32*L36</f>
        <v>17564.311099999999</v>
      </c>
      <c r="M33" s="281"/>
      <c r="N33" s="281">
        <f>N32*N36</f>
        <v>2595.7110000000002</v>
      </c>
      <c r="O33" s="281"/>
      <c r="P33" s="281">
        <f>P32*P36</f>
        <v>39195.236100000002</v>
      </c>
      <c r="Q33" s="281"/>
      <c r="R33" s="281"/>
      <c r="S33" s="285"/>
      <c r="T33" s="281">
        <f>SUM(C33:P33)</f>
        <v>302833.35788000003</v>
      </c>
      <c r="U33" s="286"/>
      <c r="V33" s="5"/>
    </row>
    <row r="34" spans="1:22" ht="15.6" x14ac:dyDescent="0.3">
      <c r="A34" s="276"/>
      <c r="B34" s="277" t="s">
        <v>291</v>
      </c>
      <c r="C34" s="287"/>
      <c r="D34" s="288">
        <f>D35*D32</f>
        <v>130420.27119999999</v>
      </c>
      <c r="E34" s="287"/>
      <c r="F34" s="288">
        <f>F35*F32</f>
        <v>92161.145399999994</v>
      </c>
      <c r="G34" s="288"/>
      <c r="H34" s="288">
        <f>H35*H32</f>
        <v>12778.12701</v>
      </c>
      <c r="I34" s="288"/>
      <c r="J34" s="288">
        <f>J35*J32</f>
        <v>6004.0582000000004</v>
      </c>
      <c r="K34" s="288"/>
      <c r="L34" s="288">
        <f>L35*L32</f>
        <v>17411.768779999999</v>
      </c>
      <c r="M34" s="288"/>
      <c r="N34" s="288">
        <f>N35*N32</f>
        <v>2573.1678000000002</v>
      </c>
      <c r="O34" s="288"/>
      <c r="P34" s="288">
        <f>P35*P32</f>
        <v>38854.833780000001</v>
      </c>
      <c r="Q34" s="288"/>
      <c r="R34" s="288"/>
      <c r="S34" s="292"/>
      <c r="T34" s="288">
        <f>SUM(C34:P34)</f>
        <v>300203.37216999999</v>
      </c>
      <c r="U34" s="286"/>
      <c r="V34" s="5"/>
    </row>
    <row r="35" spans="1:22" ht="15.6" x14ac:dyDescent="0.3">
      <c r="A35" s="276"/>
      <c r="B35" s="293" t="s">
        <v>139</v>
      </c>
      <c r="C35" s="294"/>
      <c r="D35" s="295">
        <v>0.37693719999999997</v>
      </c>
      <c r="E35" s="296"/>
      <c r="F35" s="295">
        <v>0.37693719999999997</v>
      </c>
      <c r="G35" s="295"/>
      <c r="H35" s="295">
        <v>0.37693589999999999</v>
      </c>
      <c r="I35" s="297"/>
      <c r="J35" s="295">
        <v>0.8577226</v>
      </c>
      <c r="K35" s="297"/>
      <c r="L35" s="295">
        <v>0.8577226</v>
      </c>
      <c r="M35" s="297"/>
      <c r="N35" s="295">
        <v>0.8577226</v>
      </c>
      <c r="O35" s="297"/>
      <c r="P35" s="295">
        <v>0.8577226</v>
      </c>
      <c r="Q35" s="298"/>
      <c r="R35" s="298"/>
      <c r="S35" s="299"/>
      <c r="T35" s="298"/>
      <c r="U35" s="300"/>
      <c r="V35" s="5"/>
    </row>
    <row r="36" spans="1:22" ht="15.6" x14ac:dyDescent="0.3">
      <c r="A36" s="276"/>
      <c r="B36" s="293" t="s">
        <v>140</v>
      </c>
      <c r="C36" s="294"/>
      <c r="D36" s="295">
        <v>0.38023940000000001</v>
      </c>
      <c r="E36" s="296"/>
      <c r="F36" s="295">
        <v>0.38023940000000001</v>
      </c>
      <c r="G36" s="295"/>
      <c r="H36" s="295">
        <v>0.38023820000000003</v>
      </c>
      <c r="I36" s="297"/>
      <c r="J36" s="295">
        <v>0.86523700000000003</v>
      </c>
      <c r="K36" s="297"/>
      <c r="L36" s="295">
        <v>0.86523700000000003</v>
      </c>
      <c r="M36" s="297"/>
      <c r="N36" s="295">
        <v>0.86523700000000003</v>
      </c>
      <c r="O36" s="297"/>
      <c r="P36" s="295">
        <v>0.86523700000000003</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8.6999999999999994E-3</v>
      </c>
      <c r="E38" s="272"/>
      <c r="F38" s="303">
        <v>5.8599999999999998E-3</v>
      </c>
      <c r="G38" s="304"/>
      <c r="H38" s="303">
        <v>6.5009999999999998E-3</v>
      </c>
      <c r="I38" s="304"/>
      <c r="J38" s="303">
        <v>1.09E-2</v>
      </c>
      <c r="K38" s="304"/>
      <c r="L38" s="303">
        <v>8.0599999999999995E-3</v>
      </c>
      <c r="M38" s="304"/>
      <c r="N38" s="303">
        <v>1.55E-2</v>
      </c>
      <c r="O38" s="304"/>
      <c r="P38" s="303">
        <v>1.2659999999999999E-2</v>
      </c>
      <c r="Q38" s="304"/>
      <c r="R38" s="303"/>
      <c r="S38" s="274"/>
      <c r="T38" s="304"/>
      <c r="U38" s="275"/>
      <c r="V38" s="5"/>
    </row>
    <row r="39" spans="1:22" ht="15.6" x14ac:dyDescent="0.3">
      <c r="A39" s="302"/>
      <c r="B39" s="272" t="s">
        <v>14</v>
      </c>
      <c r="C39" s="272"/>
      <c r="D39" s="303">
        <v>8.8313000000000003E-3</v>
      </c>
      <c r="E39" s="272"/>
      <c r="F39" s="303">
        <v>5.5199999999999997E-3</v>
      </c>
      <c r="G39" s="304"/>
      <c r="H39" s="303">
        <v>6.7000000000000002E-3</v>
      </c>
      <c r="I39" s="304"/>
      <c r="J39" s="303">
        <v>1.1031300000000001E-2</v>
      </c>
      <c r="K39" s="304"/>
      <c r="L39" s="303">
        <v>7.7200000000000003E-3</v>
      </c>
      <c r="M39" s="304"/>
      <c r="N39" s="303">
        <v>1.5631300000000001E-2</v>
      </c>
      <c r="O39" s="304"/>
      <c r="P39" s="303">
        <v>1.2319999999999999E-2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8.6999999999999994E-3</v>
      </c>
      <c r="E41" s="272"/>
      <c r="F41" s="303">
        <v>8.8999999999999999E-3</v>
      </c>
      <c r="G41" s="304"/>
      <c r="H41" s="303">
        <v>9.1599999999999997E-3</v>
      </c>
      <c r="I41" s="304"/>
      <c r="J41" s="303">
        <f>+J38</f>
        <v>1.09E-2</v>
      </c>
      <c r="K41" s="304"/>
      <c r="L41" s="303">
        <v>1.149E-2</v>
      </c>
      <c r="M41" s="304"/>
      <c r="N41" s="303">
        <f>+N38</f>
        <v>1.55E-2</v>
      </c>
      <c r="O41" s="304"/>
      <c r="P41" s="303">
        <v>1.6379999999999999E-2</v>
      </c>
      <c r="Q41" s="304"/>
      <c r="R41" s="303"/>
      <c r="S41" s="274"/>
      <c r="T41" s="304">
        <f>SUMPRODUCT(D41:P41,D33:P33)/T33</f>
        <v>1.0039094443910275E-2</v>
      </c>
      <c r="U41" s="275"/>
      <c r="V41" s="5"/>
    </row>
    <row r="42" spans="1:22" ht="15.6" x14ac:dyDescent="0.3">
      <c r="A42" s="302"/>
      <c r="B42" s="272" t="s">
        <v>294</v>
      </c>
      <c r="C42" s="272"/>
      <c r="D42" s="303">
        <f>+D39</f>
        <v>8.8313000000000003E-3</v>
      </c>
      <c r="E42" s="272"/>
      <c r="F42" s="303">
        <v>9.0313000000000008E-3</v>
      </c>
      <c r="G42" s="304"/>
      <c r="H42" s="303">
        <v>9.2913000000000006E-3</v>
      </c>
      <c r="I42" s="304"/>
      <c r="J42" s="303">
        <f>+J39</f>
        <v>1.1031300000000001E-2</v>
      </c>
      <c r="K42" s="304"/>
      <c r="L42" s="303">
        <v>1.1621299999999999E-2</v>
      </c>
      <c r="M42" s="304"/>
      <c r="N42" s="303">
        <f>+N39</f>
        <v>1.5631300000000001E-2</v>
      </c>
      <c r="O42" s="304"/>
      <c r="P42" s="303">
        <v>1.65113E-2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0.27550966306872504</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41409</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92</v>
      </c>
      <c r="Q54" s="272"/>
      <c r="R54" s="312">
        <v>41228</v>
      </c>
      <c r="S54" s="313"/>
      <c r="T54" s="312">
        <v>41319</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89</v>
      </c>
      <c r="Q55" s="272"/>
      <c r="R55" s="312">
        <v>41320</v>
      </c>
      <c r="S55" s="313"/>
      <c r="T55" s="312">
        <v>41408</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41395</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320</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302833</v>
      </c>
      <c r="M65" s="317"/>
      <c r="N65" s="317">
        <f>2630+11</f>
        <v>2641</v>
      </c>
      <c r="O65" s="317"/>
      <c r="P65" s="317">
        <v>11</v>
      </c>
      <c r="Q65" s="317"/>
      <c r="R65" s="317">
        <v>0</v>
      </c>
      <c r="S65" s="317"/>
      <c r="T65" s="318">
        <f>+L65-N65+P65-R65</f>
        <v>300203</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302833</v>
      </c>
      <c r="M68" s="317"/>
      <c r="N68" s="317">
        <f>SUM(N65:N67)</f>
        <v>2641</v>
      </c>
      <c r="O68" s="317"/>
      <c r="P68" s="317">
        <f>SUM(P65:P67)</f>
        <v>11</v>
      </c>
      <c r="Q68" s="317"/>
      <c r="R68" s="317">
        <f>SUM(R65:R67)</f>
        <v>0</v>
      </c>
      <c r="S68" s="317"/>
      <c r="T68" s="317">
        <f>SUM(T65:T67)</f>
        <v>300203</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302833</v>
      </c>
      <c r="M81" s="317"/>
      <c r="N81" s="317"/>
      <c r="O81" s="317"/>
      <c r="P81" s="317"/>
      <c r="Q81" s="317"/>
      <c r="R81" s="317"/>
      <c r="S81" s="317"/>
      <c r="T81" s="317">
        <f>SUM(T68:T80)</f>
        <v>300203</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41394</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2641-9</f>
        <v>2632</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1733+633-462-127</f>
        <v>1777</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7+9</f>
        <v>16</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14</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159</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2632</v>
      </c>
      <c r="S93" s="272"/>
      <c r="T93" s="317">
        <f>SUM(T85:T92)</f>
        <v>1966</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-346</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2632</v>
      </c>
      <c r="S97" s="272"/>
      <c r="T97" s="317">
        <f>T93+T95+T94+T96</f>
        <v>1620</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-112-111-4</f>
        <v>-227</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-47</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-1</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-279</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-202</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-29</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-16</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-49</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-10</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-156</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9</v>
      </c>
      <c r="S113" s="272"/>
      <c r="T113" s="318">
        <v>-9</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-112</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-475</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-11</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-1143</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-807</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-112</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-53</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-152</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-23</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-340</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-2641</v>
      </c>
      <c r="S130" s="317"/>
      <c r="T130" s="317">
        <f>SUM(T98:T128)</f>
        <v>-1620</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APRIL 2013</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1819</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272" t="s">
        <v>300</v>
      </c>
      <c r="C153" s="272"/>
      <c r="D153" s="272"/>
      <c r="E153" s="272"/>
      <c r="F153" s="272"/>
      <c r="G153" s="272"/>
      <c r="H153" s="272"/>
      <c r="I153" s="272"/>
      <c r="J153" s="272"/>
      <c r="K153" s="272"/>
      <c r="L153" s="272"/>
      <c r="M153" s="272"/>
      <c r="N153" s="272"/>
      <c r="O153" s="272"/>
      <c r="P153" s="272"/>
      <c r="Q153" s="272"/>
      <c r="R153" s="272"/>
      <c r="S153" s="272"/>
      <c r="T153" s="318">
        <v>1819</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9</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9</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-9</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f>-T96</f>
        <v>346</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300203</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300203</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+'Jan 13'!Q181</f>
        <v>46786</v>
      </c>
      <c r="R179" s="318">
        <f>+'Jan 13'!R181</f>
        <v>2435</v>
      </c>
      <c r="S179" s="272"/>
      <c r="T179" s="318">
        <f>Q179+R179</f>
        <v>49221</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11</v>
      </c>
      <c r="R180" s="317">
        <v>0</v>
      </c>
      <c r="S180" s="272"/>
      <c r="T180" s="318">
        <f>Q180+R180</f>
        <v>11</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46797</v>
      </c>
      <c r="R181" s="318">
        <f>R180+R179</f>
        <v>2435</v>
      </c>
      <c r="S181" s="272"/>
      <c r="T181" s="318">
        <f>Q181+R181</f>
        <v>49232</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62768</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2.6333333333333333</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1.57</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12.815384615384616</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8.44</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4.6265060240963853</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3.82</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APRIL 2013</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41394</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2.308E-2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1.0039094443910275E-2</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1.3040905556089725E-2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5.3494830484128219E-3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13.63</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8.7209782289248538E-3</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0.11360000000000001</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2</v>
      </c>
      <c r="R214" s="248">
        <v>185</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58</v>
      </c>
      <c r="R215" s="360">
        <f>+R266</f>
        <v>8396</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9</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'Jan 13'!R221+'April 13'!R220</f>
        <v>3029</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1</v>
      </c>
      <c r="R227" s="360">
        <v>48</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1.84</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2462</v>
      </c>
      <c r="Q233" s="388">
        <f t="shared" ref="Q233:Q240" si="2">P233/$P$242</f>
        <v>0.99194198227236097</v>
      </c>
      <c r="R233" s="318">
        <f t="shared" ref="R233:R240" si="3">+R245+R257+R269</f>
        <v>296980</v>
      </c>
      <c r="S233" s="388">
        <f t="shared" ref="S233:S240" si="4">R233/$R$242</f>
        <v>0.989263931406415</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9</v>
      </c>
      <c r="Q234" s="388">
        <f t="shared" si="2"/>
        <v>3.6261079774375505E-3</v>
      </c>
      <c r="R234" s="318">
        <f t="shared" si="3"/>
        <v>914</v>
      </c>
      <c r="S234" s="388">
        <f t="shared" si="4"/>
        <v>3.0446064829465396E-3</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0</v>
      </c>
      <c r="Q235" s="388">
        <f t="shared" si="2"/>
        <v>0</v>
      </c>
      <c r="R235" s="318">
        <f t="shared" si="3"/>
        <v>0</v>
      </c>
      <c r="S235" s="388">
        <f t="shared" si="4"/>
        <v>0</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0</v>
      </c>
      <c r="Q238" s="388">
        <f t="shared" si="2"/>
        <v>0</v>
      </c>
      <c r="R238" s="318">
        <f t="shared" si="3"/>
        <v>0</v>
      </c>
      <c r="S238" s="388">
        <f t="shared" si="4"/>
        <v>0</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2</v>
      </c>
      <c r="Q239" s="388">
        <f t="shared" si="2"/>
        <v>8.0580177276390005E-4</v>
      </c>
      <c r="R239" s="318">
        <f t="shared" si="3"/>
        <v>242</v>
      </c>
      <c r="S239" s="388">
        <f t="shared" si="4"/>
        <v>8.0612119132720194E-4</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9</v>
      </c>
      <c r="Q240" s="388">
        <f t="shared" si="2"/>
        <v>3.6261079774375505E-3</v>
      </c>
      <c r="R240" s="318">
        <f t="shared" si="3"/>
        <v>2067</v>
      </c>
      <c r="S240" s="388">
        <f t="shared" si="4"/>
        <v>6.8853409193112662E-3</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2482</v>
      </c>
      <c r="Q242" s="388">
        <f>SUM(Q233:Q241)</f>
        <v>1</v>
      </c>
      <c r="R242" s="318">
        <f>SUM(R233:R241)</f>
        <v>300203</v>
      </c>
      <c r="S242" s="388">
        <f>SUM(S233:S241)</f>
        <v>1</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2415</v>
      </c>
      <c r="Q245" s="250">
        <f t="shared" ref="Q245:Q252" si="5">P245/$P$254</f>
        <v>0.99628712871287128</v>
      </c>
      <c r="R245" s="242">
        <v>290893</v>
      </c>
      <c r="S245" s="250">
        <f t="shared" ref="S245:S252" si="6">R245/$R$254</f>
        <v>0.99686779275342952</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9</v>
      </c>
      <c r="Q246" s="388">
        <f t="shared" si="5"/>
        <v>3.7128712871287127E-3</v>
      </c>
      <c r="R246" s="318">
        <v>914</v>
      </c>
      <c r="S246" s="388">
        <f t="shared" si="6"/>
        <v>3.1322072465705072E-3</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2424</v>
      </c>
      <c r="Q254" s="388">
        <f>SUM(Q245:Q253)</f>
        <v>1</v>
      </c>
      <c r="R254" s="318">
        <f>SUM(R245:R253)</f>
        <v>291807</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47</v>
      </c>
      <c r="Q257" s="250">
        <f t="shared" ref="Q257:Q264" si="7">P257/$P$266</f>
        <v>0.81034482758620685</v>
      </c>
      <c r="R257" s="242">
        <v>6087</v>
      </c>
      <c r="S257" s="250">
        <f t="shared" ref="S257:S264" si="8">R257/$R$266</f>
        <v>0.72498808956646021</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0</v>
      </c>
      <c r="Q258" s="388">
        <f t="shared" si="7"/>
        <v>0</v>
      </c>
      <c r="R258" s="318">
        <v>0</v>
      </c>
      <c r="S258" s="388">
        <f t="shared" si="8"/>
        <v>0</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0</v>
      </c>
      <c r="Q259" s="388">
        <f t="shared" si="7"/>
        <v>0</v>
      </c>
      <c r="R259" s="318">
        <v>0</v>
      </c>
      <c r="S259" s="388">
        <f t="shared" si="8"/>
        <v>0</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0</v>
      </c>
      <c r="Q262" s="388">
        <f t="shared" si="7"/>
        <v>0</v>
      </c>
      <c r="R262" s="318">
        <v>0</v>
      </c>
      <c r="S262" s="388">
        <f t="shared" si="8"/>
        <v>0</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2</v>
      </c>
      <c r="Q263" s="388">
        <f t="shared" si="7"/>
        <v>3.4482758620689655E-2</v>
      </c>
      <c r="R263" s="318">
        <v>242</v>
      </c>
      <c r="S263" s="388">
        <f t="shared" si="8"/>
        <v>2.8823249166269653E-2</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9</v>
      </c>
      <c r="Q264" s="388">
        <f t="shared" si="7"/>
        <v>0.15517241379310345</v>
      </c>
      <c r="R264" s="318">
        <v>2067</v>
      </c>
      <c r="S264" s="388">
        <f t="shared" si="8"/>
        <v>0.24618866126727013</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58</v>
      </c>
      <c r="Q266" s="388">
        <f>SUM(Q257:Q265)</f>
        <v>0.99999999999999989</v>
      </c>
      <c r="R266" s="318">
        <f>SUM(R257:R265)</f>
        <v>8396</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2482</v>
      </c>
      <c r="Q280" s="388"/>
      <c r="R280" s="396">
        <f>+R278+R266+R254</f>
        <v>300203</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98</v>
      </c>
      <c r="C285" s="220"/>
      <c r="D285" s="220"/>
      <c r="E285" s="220"/>
      <c r="F285" s="256" t="s">
        <v>159</v>
      </c>
      <c r="G285" s="220"/>
      <c r="H285" s="220" t="s">
        <v>167</v>
      </c>
      <c r="I285" s="255"/>
      <c r="J285" s="255"/>
      <c r="K285" s="255"/>
      <c r="L285" s="255"/>
      <c r="M285" s="255"/>
      <c r="N285" s="255"/>
      <c r="O285" s="255"/>
      <c r="P285" s="255"/>
      <c r="Q285" s="255"/>
      <c r="R285" s="255"/>
      <c r="S285" s="255"/>
      <c r="T285" s="255"/>
      <c r="U285" s="192"/>
      <c r="V285" s="5"/>
    </row>
    <row r="286" spans="1:22" ht="15.6" x14ac:dyDescent="0.3">
      <c r="A286" s="254"/>
      <c r="B286" s="220" t="s">
        <v>273</v>
      </c>
      <c r="C286" s="220"/>
      <c r="D286" s="220"/>
      <c r="E286" s="220"/>
      <c r="F286" s="256" t="s">
        <v>274</v>
      </c>
      <c r="G286" s="220"/>
      <c r="H286" s="220" t="s">
        <v>275</v>
      </c>
      <c r="I286" s="255"/>
      <c r="J286" s="255"/>
      <c r="K286" s="255"/>
      <c r="L286" s="255"/>
      <c r="M286" s="255"/>
      <c r="N286" s="255"/>
      <c r="O286" s="255"/>
      <c r="P286" s="255"/>
      <c r="Q286" s="255"/>
      <c r="R286" s="255"/>
      <c r="S286" s="255"/>
      <c r="T286" s="255"/>
      <c r="U286" s="192"/>
      <c r="V286" s="5"/>
    </row>
    <row r="287" spans="1:22" ht="15.6" x14ac:dyDescent="0.3">
      <c r="A287" s="254"/>
      <c r="B287" s="220" t="s">
        <v>99</v>
      </c>
      <c r="C287" s="220"/>
      <c r="D287" s="220"/>
      <c r="E287" s="220"/>
      <c r="F287" s="256" t="s">
        <v>158</v>
      </c>
      <c r="G287" s="220"/>
      <c r="H287" s="220" t="s">
        <v>168</v>
      </c>
      <c r="I287" s="255"/>
      <c r="J287" s="255"/>
      <c r="K287" s="255"/>
      <c r="L287" s="255"/>
      <c r="M287" s="255"/>
      <c r="N287" s="255"/>
      <c r="O287" s="255"/>
      <c r="P287" s="255"/>
      <c r="Q287" s="255"/>
      <c r="R287" s="255"/>
      <c r="S287" s="255"/>
      <c r="T287" s="255"/>
      <c r="U287" s="192"/>
      <c r="V287" s="5"/>
    </row>
    <row r="288" spans="1:22" ht="15.6" x14ac:dyDescent="0.3">
      <c r="A288" s="254"/>
      <c r="B288" s="220"/>
      <c r="C288" s="220"/>
      <c r="D288" s="220"/>
      <c r="E288" s="220"/>
      <c r="F288" s="220"/>
      <c r="G288" s="257"/>
      <c r="H288" s="255"/>
      <c r="I288" s="255"/>
      <c r="J288" s="255"/>
      <c r="K288" s="255"/>
      <c r="L288" s="255"/>
      <c r="M288" s="255"/>
      <c r="N288" s="255"/>
      <c r="O288" s="255"/>
      <c r="P288" s="255"/>
      <c r="Q288" s="255"/>
      <c r="R288" s="255"/>
      <c r="S288" s="255"/>
      <c r="T288" s="255"/>
      <c r="U288" s="192"/>
      <c r="V288" s="5"/>
    </row>
    <row r="289" spans="1:22" ht="15.6" x14ac:dyDescent="0.3">
      <c r="A289" s="216"/>
      <c r="B289" s="185"/>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ht="18" thickBot="1" x14ac:dyDescent="0.35">
      <c r="A290" s="216"/>
      <c r="B290" s="267" t="str">
        <f>B195</f>
        <v>PM9 INVESTOR REPORT QUARTER ENDING APRIL 2013</v>
      </c>
      <c r="C290" s="185"/>
      <c r="D290" s="185"/>
      <c r="E290" s="185"/>
      <c r="F290" s="185"/>
      <c r="G290" s="217"/>
      <c r="H290" s="192"/>
      <c r="I290" s="192"/>
      <c r="J290" s="192"/>
      <c r="K290" s="192"/>
      <c r="L290" s="192"/>
      <c r="M290" s="192"/>
      <c r="N290" s="192"/>
      <c r="O290" s="192"/>
      <c r="P290" s="192"/>
      <c r="Q290" s="192"/>
      <c r="R290" s="192"/>
      <c r="S290" s="192"/>
      <c r="T290" s="192"/>
      <c r="U290" s="192"/>
      <c r="V290" s="5"/>
    </row>
    <row r="291" spans="1:22" x14ac:dyDescent="0.25">
      <c r="A291" s="101"/>
      <c r="B291" s="101"/>
      <c r="C291" s="101"/>
      <c r="D291" s="101"/>
      <c r="E291" s="101"/>
      <c r="F291" s="101"/>
      <c r="G291" s="101"/>
      <c r="H291" s="101"/>
      <c r="I291" s="101"/>
      <c r="J291" s="101"/>
      <c r="K291" s="101"/>
      <c r="L291" s="101"/>
      <c r="M291" s="101"/>
      <c r="N291" s="101"/>
      <c r="O291" s="101"/>
      <c r="P291" s="101"/>
      <c r="Q291" s="101"/>
      <c r="R291" s="101"/>
      <c r="S291" s="101"/>
      <c r="T291" s="101"/>
      <c r="U291" s="101"/>
    </row>
  </sheetData>
  <hyperlinks>
    <hyperlink ref="J9" r:id="rId1" xr:uid="{00000000-0004-0000-1E00-000000000000}"/>
    <hyperlink ref="N230" r:id="rId2" xr:uid="{00000000-0004-0000-1E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1" man="1"/>
    <brk id="134" max="14" man="1"/>
    <brk id="195" max="14"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2D2926"/>
  </sheetPr>
  <dimension ref="A1:W291"/>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0.71970000000000001</v>
      </c>
      <c r="R16" s="225" t="s">
        <v>149</v>
      </c>
      <c r="S16" s="224">
        <v>0.28029999999999999</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41508</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150</v>
      </c>
      <c r="E25" s="398"/>
      <c r="F25" s="398" t="s">
        <v>150</v>
      </c>
      <c r="G25" s="398"/>
      <c r="H25" s="398" t="s">
        <v>150</v>
      </c>
      <c r="I25" s="398"/>
      <c r="J25" s="398" t="s">
        <v>192</v>
      </c>
      <c r="K25" s="398"/>
      <c r="L25" s="398" t="s">
        <v>192</v>
      </c>
      <c r="M25" s="398"/>
      <c r="N25" s="398" t="s">
        <v>151</v>
      </c>
      <c r="O25" s="398"/>
      <c r="P25" s="398" t="s">
        <v>151</v>
      </c>
      <c r="Q25" s="398"/>
      <c r="R25" s="273"/>
      <c r="S25" s="274"/>
      <c r="T25" s="274"/>
      <c r="U25" s="275"/>
      <c r="V25" s="5"/>
    </row>
    <row r="26" spans="1:22" ht="15.6" x14ac:dyDescent="0.3">
      <c r="A26" s="276"/>
      <c r="B26" s="277" t="s">
        <v>10</v>
      </c>
      <c r="C26" s="398"/>
      <c r="D26" s="398" t="s">
        <v>312</v>
      </c>
      <c r="E26" s="398"/>
      <c r="F26" s="398" t="s">
        <v>312</v>
      </c>
      <c r="G26" s="398"/>
      <c r="H26" s="398" t="s">
        <v>312</v>
      </c>
      <c r="I26" s="398"/>
      <c r="J26" s="398" t="s">
        <v>312</v>
      </c>
      <c r="K26" s="398"/>
      <c r="L26" s="398" t="s">
        <v>312</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130420.27119999999</v>
      </c>
      <c r="E30" s="280"/>
      <c r="F30" s="282">
        <f>F29*F36</f>
        <v>133812.70599999998</v>
      </c>
      <c r="G30" s="281"/>
      <c r="H30" s="283">
        <f>H29*H36</f>
        <v>22616.153999999999</v>
      </c>
      <c r="I30" s="281"/>
      <c r="J30" s="281">
        <f>J29*J36</f>
        <v>6004.0582000000004</v>
      </c>
      <c r="K30" s="281"/>
      <c r="L30" s="282">
        <f>L29*L36</f>
        <v>25302.816699999999</v>
      </c>
      <c r="M30" s="281"/>
      <c r="N30" s="284">
        <f>N29*N36</f>
        <v>2573.1678000000002</v>
      </c>
      <c r="O30" s="281"/>
      <c r="P30" s="282">
        <f>P29*P36</f>
        <v>56609.691599999998</v>
      </c>
      <c r="Q30" s="281"/>
      <c r="R30" s="281"/>
      <c r="S30" s="285"/>
      <c r="T30" s="281"/>
      <c r="U30" s="286"/>
      <c r="V30" s="5"/>
    </row>
    <row r="31" spans="1:22" ht="15.6" x14ac:dyDescent="0.3">
      <c r="A31" s="276"/>
      <c r="B31" s="277" t="s">
        <v>143</v>
      </c>
      <c r="C31" s="287"/>
      <c r="D31" s="288">
        <f>D35*D29</f>
        <v>128966.17160000002</v>
      </c>
      <c r="E31" s="287"/>
      <c r="F31" s="289">
        <f>F35*F29</f>
        <v>132320.783</v>
      </c>
      <c r="G31" s="288"/>
      <c r="H31" s="290">
        <f>H35*H29</f>
        <v>22363.991999999998</v>
      </c>
      <c r="I31" s="288"/>
      <c r="J31" s="288">
        <f>J35*J29</f>
        <v>5937.1158000000005</v>
      </c>
      <c r="K31" s="288"/>
      <c r="L31" s="289">
        <f>L35*L29</f>
        <v>25020.702300000001</v>
      </c>
      <c r="M31" s="288"/>
      <c r="N31" s="291">
        <f>N35*N29</f>
        <v>2544.4782</v>
      </c>
      <c r="O31" s="288"/>
      <c r="P31" s="289">
        <f>P35*P29</f>
        <v>55978.520400000001</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130420.27119999999</v>
      </c>
      <c r="E33" s="280"/>
      <c r="F33" s="281">
        <f>F32*F36</f>
        <v>92161.145399999994</v>
      </c>
      <c r="G33" s="281"/>
      <c r="H33" s="281">
        <f>H32*H36</f>
        <v>12778.12701</v>
      </c>
      <c r="I33" s="281"/>
      <c r="J33" s="281">
        <f>J32*J36</f>
        <v>6004.0582000000004</v>
      </c>
      <c r="K33" s="281"/>
      <c r="L33" s="281">
        <f>L32*L36</f>
        <v>17411.768779999999</v>
      </c>
      <c r="M33" s="281"/>
      <c r="N33" s="281">
        <f>N32*N36</f>
        <v>2573.1678000000002</v>
      </c>
      <c r="O33" s="281"/>
      <c r="P33" s="281">
        <f>P32*P36</f>
        <v>38854.833780000001</v>
      </c>
      <c r="Q33" s="281"/>
      <c r="R33" s="281"/>
      <c r="S33" s="285"/>
      <c r="T33" s="281">
        <f>SUM(C33:P33)</f>
        <v>300203.37216999999</v>
      </c>
      <c r="U33" s="286"/>
      <c r="V33" s="5"/>
    </row>
    <row r="34" spans="1:22" ht="15.6" x14ac:dyDescent="0.3">
      <c r="A34" s="276"/>
      <c r="B34" s="277" t="s">
        <v>291</v>
      </c>
      <c r="C34" s="287"/>
      <c r="D34" s="288">
        <f>D35*D32</f>
        <v>128966.17160000002</v>
      </c>
      <c r="E34" s="287"/>
      <c r="F34" s="288">
        <f>F35*F32</f>
        <v>91133.609700000001</v>
      </c>
      <c r="G34" s="288"/>
      <c r="H34" s="288">
        <f>H35*H32</f>
        <v>12635.655479999999</v>
      </c>
      <c r="I34" s="288"/>
      <c r="J34" s="288">
        <f>J35*J32</f>
        <v>5937.1158000000005</v>
      </c>
      <c r="K34" s="288"/>
      <c r="L34" s="288">
        <f>L35*L32</f>
        <v>17217.63582</v>
      </c>
      <c r="M34" s="288"/>
      <c r="N34" s="288">
        <f>N35*N32</f>
        <v>2544.4782</v>
      </c>
      <c r="O34" s="288"/>
      <c r="P34" s="288">
        <f>P35*P32</f>
        <v>38421.620820000004</v>
      </c>
      <c r="Q34" s="288"/>
      <c r="R34" s="288"/>
      <c r="S34" s="292"/>
      <c r="T34" s="288">
        <f>SUM(C34:P34)</f>
        <v>296856.28742000001</v>
      </c>
      <c r="U34" s="286"/>
      <c r="V34" s="5"/>
    </row>
    <row r="35" spans="1:22" ht="15.6" x14ac:dyDescent="0.3">
      <c r="A35" s="276"/>
      <c r="B35" s="293" t="s">
        <v>139</v>
      </c>
      <c r="C35" s="294"/>
      <c r="D35" s="295">
        <v>0.37273460000000003</v>
      </c>
      <c r="E35" s="296"/>
      <c r="F35" s="295">
        <v>0.37273460000000003</v>
      </c>
      <c r="G35" s="295"/>
      <c r="H35" s="295">
        <v>0.37273319999999999</v>
      </c>
      <c r="I35" s="297"/>
      <c r="J35" s="295">
        <v>0.84815940000000001</v>
      </c>
      <c r="K35" s="297"/>
      <c r="L35" s="295">
        <v>0.84815940000000001</v>
      </c>
      <c r="M35" s="297"/>
      <c r="N35" s="295">
        <v>0.84815940000000001</v>
      </c>
      <c r="O35" s="297"/>
      <c r="P35" s="295">
        <v>0.84815940000000001</v>
      </c>
      <c r="Q35" s="298"/>
      <c r="R35" s="298"/>
      <c r="S35" s="299"/>
      <c r="T35" s="298"/>
      <c r="U35" s="300"/>
      <c r="V35" s="5"/>
    </row>
    <row r="36" spans="1:22" ht="15.6" x14ac:dyDescent="0.3">
      <c r="A36" s="276"/>
      <c r="B36" s="293" t="s">
        <v>140</v>
      </c>
      <c r="C36" s="294"/>
      <c r="D36" s="295">
        <v>0.37693719999999997</v>
      </c>
      <c r="E36" s="296"/>
      <c r="F36" s="295">
        <v>0.37693719999999997</v>
      </c>
      <c r="G36" s="295"/>
      <c r="H36" s="295">
        <v>0.37693589999999999</v>
      </c>
      <c r="I36" s="297"/>
      <c r="J36" s="295">
        <v>0.8577226</v>
      </c>
      <c r="K36" s="297"/>
      <c r="L36" s="295">
        <v>0.8577226</v>
      </c>
      <c r="M36" s="297"/>
      <c r="N36" s="295">
        <v>0.8577226</v>
      </c>
      <c r="O36" s="297"/>
      <c r="P36" s="295">
        <v>0.8577226</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8.6563000000000005E-3</v>
      </c>
      <c r="E38" s="272"/>
      <c r="F38" s="303">
        <v>5.6299999999999996E-3</v>
      </c>
      <c r="G38" s="304"/>
      <c r="H38" s="303">
        <v>6.3509999999999999E-3</v>
      </c>
      <c r="I38" s="304"/>
      <c r="J38" s="303">
        <v>1.0856299999999999E-2</v>
      </c>
      <c r="K38" s="304"/>
      <c r="L38" s="303">
        <v>7.8300000000000002E-3</v>
      </c>
      <c r="M38" s="304"/>
      <c r="N38" s="303">
        <v>1.5456299999999999E-2</v>
      </c>
      <c r="O38" s="304"/>
      <c r="P38" s="303">
        <v>1.243E-2</v>
      </c>
      <c r="Q38" s="304"/>
      <c r="R38" s="303"/>
      <c r="S38" s="274"/>
      <c r="T38" s="304"/>
      <c r="U38" s="275"/>
      <c r="V38" s="5"/>
    </row>
    <row r="39" spans="1:22" ht="15.6" x14ac:dyDescent="0.3">
      <c r="A39" s="302"/>
      <c r="B39" s="272" t="s">
        <v>14</v>
      </c>
      <c r="C39" s="272"/>
      <c r="D39" s="303">
        <v>8.6999999999999994E-3</v>
      </c>
      <c r="E39" s="272"/>
      <c r="F39" s="303">
        <v>5.8599999999999998E-3</v>
      </c>
      <c r="G39" s="304"/>
      <c r="H39" s="303">
        <v>6.5009999999999998E-3</v>
      </c>
      <c r="I39" s="304"/>
      <c r="J39" s="303">
        <v>1.09E-2</v>
      </c>
      <c r="K39" s="304"/>
      <c r="L39" s="303">
        <v>8.0599999999999995E-3</v>
      </c>
      <c r="M39" s="304"/>
      <c r="N39" s="303">
        <v>1.55E-2</v>
      </c>
      <c r="O39" s="304"/>
      <c r="P39" s="303">
        <v>1.2659999999999999E-2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8.6563000000000005E-3</v>
      </c>
      <c r="E41" s="272"/>
      <c r="F41" s="303">
        <v>8.8562999999999992E-3</v>
      </c>
      <c r="G41" s="304"/>
      <c r="H41" s="303">
        <v>9.1163000000000008E-3</v>
      </c>
      <c r="I41" s="304"/>
      <c r="J41" s="303">
        <f>+J38</f>
        <v>1.0856299999999999E-2</v>
      </c>
      <c r="K41" s="304"/>
      <c r="L41" s="303">
        <v>1.14463E-2</v>
      </c>
      <c r="M41" s="304"/>
      <c r="N41" s="303">
        <f>+N38</f>
        <v>1.5456299999999999E-2</v>
      </c>
      <c r="O41" s="304"/>
      <c r="P41" s="303">
        <v>1.6336300000000002E-2</v>
      </c>
      <c r="Q41" s="304"/>
      <c r="R41" s="303"/>
      <c r="S41" s="274"/>
      <c r="T41" s="304">
        <f>SUMPRODUCT(D41:P41,D33:P33)/T33</f>
        <v>9.9953942013920952E-3</v>
      </c>
      <c r="U41" s="275"/>
      <c r="V41" s="5"/>
    </row>
    <row r="42" spans="1:22" ht="15.6" x14ac:dyDescent="0.3">
      <c r="A42" s="302"/>
      <c r="B42" s="272" t="s">
        <v>294</v>
      </c>
      <c r="C42" s="272"/>
      <c r="D42" s="303">
        <f>+D39</f>
        <v>8.6999999999999994E-3</v>
      </c>
      <c r="E42" s="272"/>
      <c r="F42" s="303">
        <v>8.8999999999999999E-3</v>
      </c>
      <c r="G42" s="304"/>
      <c r="H42" s="303">
        <v>9.1599999999999997E-3</v>
      </c>
      <c r="I42" s="304"/>
      <c r="J42" s="303">
        <f>+J39</f>
        <v>1.09E-2</v>
      </c>
      <c r="K42" s="304"/>
      <c r="L42" s="303">
        <v>1.149E-2</v>
      </c>
      <c r="M42" s="304"/>
      <c r="N42" s="303">
        <f>+N39</f>
        <v>1.55E-2</v>
      </c>
      <c r="O42" s="304"/>
      <c r="P42" s="303">
        <v>1.6379999999999999E-2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0.27550961524012396</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41501</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89</v>
      </c>
      <c r="Q54" s="272"/>
      <c r="R54" s="312">
        <v>41320</v>
      </c>
      <c r="S54" s="313"/>
      <c r="T54" s="312">
        <v>41408</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92</v>
      </c>
      <c r="Q55" s="272"/>
      <c r="R55" s="312">
        <v>41409</v>
      </c>
      <c r="S55" s="313"/>
      <c r="T55" s="312">
        <v>41500</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41487</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321</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300203</v>
      </c>
      <c r="M65" s="317"/>
      <c r="N65" s="317">
        <f>3347+10+11</f>
        <v>3368</v>
      </c>
      <c r="O65" s="317"/>
      <c r="P65" s="317">
        <f>10+11</f>
        <v>21</v>
      </c>
      <c r="Q65" s="317"/>
      <c r="R65" s="317">
        <v>0</v>
      </c>
      <c r="S65" s="317"/>
      <c r="T65" s="318">
        <f>+L65-N65+P65-R65</f>
        <v>296856</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300203</v>
      </c>
      <c r="M68" s="317"/>
      <c r="N68" s="317">
        <f>SUM(N65:N67)</f>
        <v>3368</v>
      </c>
      <c r="O68" s="317"/>
      <c r="P68" s="317">
        <f>SUM(P65:P67)</f>
        <v>21</v>
      </c>
      <c r="Q68" s="317"/>
      <c r="R68" s="317">
        <f>SUM(R65:R67)</f>
        <v>0</v>
      </c>
      <c r="S68" s="317"/>
      <c r="T68" s="317">
        <f>SUM(T65:T67)</f>
        <v>296856</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300203</v>
      </c>
      <c r="M81" s="317"/>
      <c r="N81" s="317"/>
      <c r="O81" s="317"/>
      <c r="P81" s="317"/>
      <c r="Q81" s="317"/>
      <c r="R81" s="317"/>
      <c r="S81" s="317"/>
      <c r="T81" s="317">
        <f>SUM(T68:T80)</f>
        <v>296856</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41486</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3368-23</f>
        <v>3345</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1707+725-453-205</f>
        <v>1774</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19+5</f>
        <v>24</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16</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126</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3345</v>
      </c>
      <c r="S93" s="272"/>
      <c r="T93" s="317">
        <f>SUM(T85:T92)</f>
        <v>1940</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-1</v>
      </c>
      <c r="S94" s="272"/>
      <c r="T94" s="317">
        <f>-R94</f>
        <v>1</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49</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3344</v>
      </c>
      <c r="S97" s="272"/>
      <c r="T97" s="317">
        <f>T93+T95+T94+T96</f>
        <v>1990</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-115-95-4</f>
        <v>-214</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-1</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-285</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-206</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-29</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-17</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-50</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-10</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-160</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23</v>
      </c>
      <c r="S113" s="272"/>
      <c r="T113" s="318">
        <v>-23</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-115</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-872</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-10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-10</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-1454</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-1028</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-142</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-67</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-194</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-29</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-433</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-3367</v>
      </c>
      <c r="S130" s="317"/>
      <c r="T130" s="317">
        <f>SUM(T98:T128)</f>
        <v>-1990</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JULY 2013</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1819</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272" t="s">
        <v>300</v>
      </c>
      <c r="C153" s="272"/>
      <c r="D153" s="272"/>
      <c r="E153" s="272"/>
      <c r="F153" s="272"/>
      <c r="G153" s="272"/>
      <c r="H153" s="272"/>
      <c r="I153" s="272"/>
      <c r="J153" s="272"/>
      <c r="K153" s="272"/>
      <c r="L153" s="272"/>
      <c r="M153" s="272"/>
      <c r="N153" s="272"/>
      <c r="O153" s="272"/>
      <c r="P153" s="272"/>
      <c r="Q153" s="272"/>
      <c r="R153" s="272"/>
      <c r="S153" s="272"/>
      <c r="T153" s="318">
        <v>1819</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23</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23</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-23</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v>0</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296856</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296856</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+'April 13'!Q181</f>
        <v>46797</v>
      </c>
      <c r="R179" s="318">
        <f>+'April 13'!R181</f>
        <v>2435</v>
      </c>
      <c r="S179" s="272"/>
      <c r="T179" s="318">
        <f>Q179+R179</f>
        <v>49232</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10</v>
      </c>
      <c r="R180" s="317">
        <v>0</v>
      </c>
      <c r="S180" s="272"/>
      <c r="T180" s="318">
        <f>Q180+R180</f>
        <v>10</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46807</v>
      </c>
      <c r="R181" s="318">
        <f>R180+R179</f>
        <v>2435</v>
      </c>
      <c r="S181" s="272"/>
      <c r="T181" s="318">
        <f>Q181+R181</f>
        <v>49242</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62758</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3.4096153846153845</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1.58</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18.701492537313431</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8.5399999999999991</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6.9764705882352942</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3.86</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JULY 2013</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41486</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2.281E-2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9.9953942013920952E-3</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1.2814605798607905E-2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6.6288478129798833E-3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13.43</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1.1219075092520727E-2</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0.1115</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1</v>
      </c>
      <c r="R214" s="248">
        <v>121</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58</v>
      </c>
      <c r="R215" s="360">
        <f>+R266</f>
        <v>8353</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23</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'April 13'!R221+'July 13'!R220</f>
        <v>3052</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1</v>
      </c>
      <c r="R227" s="360">
        <v>80</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0</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2442</v>
      </c>
      <c r="Q233" s="388">
        <f t="shared" ref="Q233:Q240" si="2">P233/$P$242</f>
        <v>0.99389499389499392</v>
      </c>
      <c r="R233" s="318">
        <f t="shared" ref="R233:R240" si="3">+R245+R257+R269</f>
        <v>294062</v>
      </c>
      <c r="S233" s="388">
        <f t="shared" ref="S233:S240" si="4">R233/$R$242</f>
        <v>0.99058802921281697</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4</v>
      </c>
      <c r="Q234" s="388">
        <f t="shared" si="2"/>
        <v>1.6280016280016279E-3</v>
      </c>
      <c r="R234" s="318">
        <f t="shared" si="3"/>
        <v>568</v>
      </c>
      <c r="S234" s="388">
        <f t="shared" si="4"/>
        <v>1.9133856145740697E-3</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1</v>
      </c>
      <c r="Q235" s="388">
        <f t="shared" si="2"/>
        <v>4.0700040700040698E-4</v>
      </c>
      <c r="R235" s="318">
        <f t="shared" si="3"/>
        <v>38</v>
      </c>
      <c r="S235" s="388">
        <f t="shared" si="4"/>
        <v>1.2800819252432156E-4</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0</v>
      </c>
      <c r="Q238" s="388">
        <f t="shared" si="2"/>
        <v>0</v>
      </c>
      <c r="R238" s="318">
        <f t="shared" si="3"/>
        <v>0</v>
      </c>
      <c r="S238" s="388">
        <f t="shared" si="4"/>
        <v>0</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1</v>
      </c>
      <c r="Q239" s="388">
        <f t="shared" si="2"/>
        <v>4.0700040700040698E-4</v>
      </c>
      <c r="R239" s="318">
        <f t="shared" si="3"/>
        <v>121</v>
      </c>
      <c r="S239" s="388">
        <f t="shared" si="4"/>
        <v>4.0760503409060286E-4</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9</v>
      </c>
      <c r="Q240" s="388">
        <f t="shared" si="2"/>
        <v>3.663003663003663E-3</v>
      </c>
      <c r="R240" s="318">
        <f t="shared" si="3"/>
        <v>2067</v>
      </c>
      <c r="S240" s="388">
        <f t="shared" si="4"/>
        <v>6.9629719459940176E-3</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2457</v>
      </c>
      <c r="Q242" s="388">
        <f>SUM(Q233:Q241)</f>
        <v>0.99999999999999989</v>
      </c>
      <c r="R242" s="318">
        <f>SUM(R233:R241)</f>
        <v>296856</v>
      </c>
      <c r="S242" s="388">
        <f>SUM(S233:S241)</f>
        <v>1</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2396</v>
      </c>
      <c r="Q245" s="250">
        <f t="shared" ref="Q245:Q252" si="5">P245/$P$254</f>
        <v>0.99874947894956234</v>
      </c>
      <c r="R245" s="242">
        <v>288063</v>
      </c>
      <c r="S245" s="250">
        <f t="shared" ref="S245:S252" si="6">R245/$R$254</f>
        <v>0.99847488587640332</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3</v>
      </c>
      <c r="Q246" s="388">
        <f t="shared" si="5"/>
        <v>1.2505210504376823E-3</v>
      </c>
      <c r="R246" s="318">
        <v>440</v>
      </c>
      <c r="S246" s="388">
        <f t="shared" si="6"/>
        <v>1.525114123596635E-3</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2399</v>
      </c>
      <c r="Q254" s="388">
        <f>SUM(Q245:Q253)</f>
        <v>1</v>
      </c>
      <c r="R254" s="318">
        <f>SUM(R245:R253)</f>
        <v>288503</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46</v>
      </c>
      <c r="Q257" s="250">
        <f t="shared" ref="Q257:Q264" si="7">P257/$P$266</f>
        <v>0.7931034482758621</v>
      </c>
      <c r="R257" s="242">
        <v>5999</v>
      </c>
      <c r="S257" s="250">
        <f t="shared" ref="S257:S264" si="8">R257/$R$266</f>
        <v>0.71818508320363939</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1</v>
      </c>
      <c r="Q258" s="388">
        <f t="shared" si="7"/>
        <v>1.7241379310344827E-2</v>
      </c>
      <c r="R258" s="318">
        <v>128</v>
      </c>
      <c r="S258" s="388">
        <f t="shared" si="8"/>
        <v>1.5323835747635579E-2</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1</v>
      </c>
      <c r="Q259" s="388">
        <f t="shared" si="7"/>
        <v>1.7241379310344827E-2</v>
      </c>
      <c r="R259" s="318">
        <v>38</v>
      </c>
      <c r="S259" s="388">
        <f t="shared" si="8"/>
        <v>4.5492637375793132E-3</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0</v>
      </c>
      <c r="Q262" s="388">
        <f t="shared" si="7"/>
        <v>0</v>
      </c>
      <c r="R262" s="318">
        <v>0</v>
      </c>
      <c r="S262" s="388">
        <f t="shared" si="8"/>
        <v>0</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1</v>
      </c>
      <c r="Q263" s="388">
        <f t="shared" si="7"/>
        <v>1.7241379310344827E-2</v>
      </c>
      <c r="R263" s="318">
        <v>121</v>
      </c>
      <c r="S263" s="388">
        <f t="shared" si="8"/>
        <v>1.4485813480186759E-2</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9</v>
      </c>
      <c r="Q264" s="388">
        <f t="shared" si="7"/>
        <v>0.15517241379310345</v>
      </c>
      <c r="R264" s="318">
        <v>2067</v>
      </c>
      <c r="S264" s="388">
        <f t="shared" si="8"/>
        <v>0.24745600383095895</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58</v>
      </c>
      <c r="Q266" s="388">
        <f>SUM(Q257:Q265)</f>
        <v>1.0000000000000002</v>
      </c>
      <c r="R266" s="318">
        <f>SUM(R257:R265)</f>
        <v>8353</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2457</v>
      </c>
      <c r="Q280" s="388"/>
      <c r="R280" s="396">
        <f>+R278+R266+R254</f>
        <v>296856</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322</v>
      </c>
      <c r="C285" s="220"/>
      <c r="D285" s="220"/>
      <c r="E285" s="220"/>
      <c r="F285" s="256" t="s">
        <v>159</v>
      </c>
      <c r="G285" s="220"/>
      <c r="H285" s="220" t="s">
        <v>167</v>
      </c>
      <c r="I285" s="255"/>
      <c r="J285" s="255"/>
      <c r="K285" s="255"/>
      <c r="L285" s="255"/>
      <c r="M285" s="255"/>
      <c r="N285" s="255"/>
      <c r="O285" s="255"/>
      <c r="P285" s="255"/>
      <c r="Q285" s="255"/>
      <c r="R285" s="255"/>
      <c r="S285" s="255"/>
      <c r="T285" s="255"/>
      <c r="U285" s="192"/>
      <c r="V285" s="5"/>
    </row>
    <row r="286" spans="1:22" ht="15.6" x14ac:dyDescent="0.3">
      <c r="A286" s="254"/>
      <c r="B286" s="220" t="s">
        <v>323</v>
      </c>
      <c r="C286" s="220"/>
      <c r="D286" s="220"/>
      <c r="E286" s="220"/>
      <c r="F286" s="256" t="s">
        <v>274</v>
      </c>
      <c r="G286" s="220"/>
      <c r="H286" s="220" t="s">
        <v>275</v>
      </c>
      <c r="I286" s="255"/>
      <c r="J286" s="255"/>
      <c r="K286" s="255"/>
      <c r="L286" s="255"/>
      <c r="M286" s="255"/>
      <c r="N286" s="255"/>
      <c r="O286" s="255"/>
      <c r="P286" s="255"/>
      <c r="Q286" s="255"/>
      <c r="R286" s="255"/>
      <c r="S286" s="255"/>
      <c r="T286" s="255"/>
      <c r="U286" s="192"/>
      <c r="V286" s="5"/>
    </row>
    <row r="287" spans="1:22" ht="15.6" x14ac:dyDescent="0.3">
      <c r="A287" s="254"/>
      <c r="B287" s="220" t="s">
        <v>324</v>
      </c>
      <c r="C287" s="220"/>
      <c r="D287" s="220"/>
      <c r="E287" s="220"/>
      <c r="F287" s="256" t="s">
        <v>158</v>
      </c>
      <c r="G287" s="220"/>
      <c r="H287" s="220" t="s">
        <v>168</v>
      </c>
      <c r="I287" s="255"/>
      <c r="J287" s="255"/>
      <c r="K287" s="255"/>
      <c r="L287" s="255"/>
      <c r="M287" s="255"/>
      <c r="N287" s="255"/>
      <c r="O287" s="255"/>
      <c r="P287" s="255"/>
      <c r="Q287" s="255"/>
      <c r="R287" s="255"/>
      <c r="S287" s="255"/>
      <c r="T287" s="255"/>
      <c r="U287" s="192"/>
      <c r="V287" s="5"/>
    </row>
    <row r="288" spans="1:22" ht="15.6" x14ac:dyDescent="0.3">
      <c r="A288" s="254"/>
      <c r="B288" s="220"/>
      <c r="C288" s="220"/>
      <c r="D288" s="220"/>
      <c r="E288" s="220"/>
      <c r="F288" s="220"/>
      <c r="G288" s="257"/>
      <c r="H288" s="255"/>
      <c r="I288" s="255"/>
      <c r="J288" s="255"/>
      <c r="K288" s="255"/>
      <c r="L288" s="255"/>
      <c r="M288" s="255"/>
      <c r="N288" s="255"/>
      <c r="O288" s="255"/>
      <c r="P288" s="255"/>
      <c r="Q288" s="255"/>
      <c r="R288" s="255"/>
      <c r="S288" s="255"/>
      <c r="T288" s="255"/>
      <c r="U288" s="192"/>
      <c r="V288" s="5"/>
    </row>
    <row r="289" spans="1:22" ht="15.6" x14ac:dyDescent="0.3">
      <c r="A289" s="216"/>
      <c r="B289" s="185"/>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ht="18" thickBot="1" x14ac:dyDescent="0.35">
      <c r="A290" s="216"/>
      <c r="B290" s="267" t="str">
        <f>B195</f>
        <v>PM9 INVESTOR REPORT QUARTER ENDING JULY 2013</v>
      </c>
      <c r="C290" s="185"/>
      <c r="D290" s="185"/>
      <c r="E290" s="185"/>
      <c r="F290" s="185"/>
      <c r="G290" s="217"/>
      <c r="H290" s="192"/>
      <c r="I290" s="192"/>
      <c r="J290" s="192"/>
      <c r="K290" s="192"/>
      <c r="L290" s="192"/>
      <c r="M290" s="192"/>
      <c r="N290" s="192"/>
      <c r="O290" s="192"/>
      <c r="P290" s="192"/>
      <c r="Q290" s="192"/>
      <c r="R290" s="192"/>
      <c r="S290" s="192"/>
      <c r="T290" s="192"/>
      <c r="U290" s="192"/>
      <c r="V290" s="5"/>
    </row>
    <row r="291" spans="1:22" x14ac:dyDescent="0.25">
      <c r="A291" s="101"/>
      <c r="B291" s="101"/>
      <c r="C291" s="101"/>
      <c r="D291" s="101"/>
      <c r="E291" s="101"/>
      <c r="F291" s="101"/>
      <c r="G291" s="101"/>
      <c r="H291" s="101"/>
      <c r="I291" s="101"/>
      <c r="J291" s="101"/>
      <c r="K291" s="101"/>
      <c r="L291" s="101"/>
      <c r="M291" s="101"/>
      <c r="N291" s="101"/>
      <c r="O291" s="101"/>
      <c r="P291" s="101"/>
      <c r="Q291" s="101"/>
      <c r="R291" s="101"/>
      <c r="S291" s="101"/>
      <c r="T291" s="101"/>
      <c r="U291" s="101"/>
    </row>
  </sheetData>
  <hyperlinks>
    <hyperlink ref="J9" r:id="rId1" xr:uid="{00000000-0004-0000-1F00-000000000000}"/>
    <hyperlink ref="N230" r:id="rId2" xr:uid="{00000000-0004-0000-1F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1" man="1"/>
    <brk id="134" max="14" man="1"/>
    <brk id="195" max="14" man="1"/>
  </row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9CB31"/>
  </sheetPr>
  <dimension ref="A1:W291"/>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402"/>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0.71940000000000004</v>
      </c>
      <c r="R16" s="225" t="s">
        <v>149</v>
      </c>
      <c r="S16" s="224">
        <v>0.28060000000000002</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41599</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150</v>
      </c>
      <c r="E25" s="398"/>
      <c r="F25" s="398" t="s">
        <v>150</v>
      </c>
      <c r="G25" s="398"/>
      <c r="H25" s="398" t="s">
        <v>150</v>
      </c>
      <c r="I25" s="398"/>
      <c r="J25" s="398" t="s">
        <v>192</v>
      </c>
      <c r="K25" s="398"/>
      <c r="L25" s="398" t="s">
        <v>192</v>
      </c>
      <c r="M25" s="398"/>
      <c r="N25" s="398" t="s">
        <v>151</v>
      </c>
      <c r="O25" s="398"/>
      <c r="P25" s="398" t="s">
        <v>151</v>
      </c>
      <c r="Q25" s="398"/>
      <c r="R25" s="273"/>
      <c r="S25" s="274"/>
      <c r="T25" s="274"/>
      <c r="U25" s="275"/>
      <c r="V25" s="5"/>
    </row>
    <row r="26" spans="1:22" ht="15.6" x14ac:dyDescent="0.3">
      <c r="A26" s="276"/>
      <c r="B26" s="277" t="s">
        <v>10</v>
      </c>
      <c r="C26" s="398"/>
      <c r="D26" s="398" t="s">
        <v>312</v>
      </c>
      <c r="E26" s="398"/>
      <c r="F26" s="398" t="s">
        <v>312</v>
      </c>
      <c r="G26" s="398"/>
      <c r="H26" s="398" t="s">
        <v>312</v>
      </c>
      <c r="I26" s="398"/>
      <c r="J26" s="398" t="s">
        <v>312</v>
      </c>
      <c r="K26" s="398"/>
      <c r="L26" s="398" t="s">
        <v>312</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128966.17160000002</v>
      </c>
      <c r="E30" s="280"/>
      <c r="F30" s="282">
        <f>F29*F36</f>
        <v>132320.783</v>
      </c>
      <c r="G30" s="281"/>
      <c r="H30" s="283">
        <f>H29*H36</f>
        <v>22363.991999999998</v>
      </c>
      <c r="I30" s="281"/>
      <c r="J30" s="281">
        <f>J29*J36</f>
        <v>5937.1158000000005</v>
      </c>
      <c r="K30" s="281"/>
      <c r="L30" s="282">
        <f>L29*L36</f>
        <v>25020.702300000001</v>
      </c>
      <c r="M30" s="281"/>
      <c r="N30" s="284">
        <f>N29*N36</f>
        <v>2544.4782</v>
      </c>
      <c r="O30" s="281"/>
      <c r="P30" s="282">
        <f>P29*P36</f>
        <v>55978.520400000001</v>
      </c>
      <c r="Q30" s="281"/>
      <c r="R30" s="281"/>
      <c r="S30" s="285"/>
      <c r="T30" s="281"/>
      <c r="U30" s="286"/>
      <c r="V30" s="5"/>
    </row>
    <row r="31" spans="1:22" ht="15.6" x14ac:dyDescent="0.3">
      <c r="A31" s="276"/>
      <c r="B31" s="277" t="s">
        <v>143</v>
      </c>
      <c r="C31" s="287"/>
      <c r="D31" s="288">
        <f>D35*D29</f>
        <v>128055.01520000001</v>
      </c>
      <c r="E31" s="287"/>
      <c r="F31" s="289">
        <f>F35*F29</f>
        <v>131385.92600000001</v>
      </c>
      <c r="G31" s="288"/>
      <c r="H31" s="290">
        <f>H35*H29</f>
        <v>22205.982</v>
      </c>
      <c r="I31" s="288"/>
      <c r="J31" s="288">
        <f>J35*J29</f>
        <v>5895.1675999999998</v>
      </c>
      <c r="K31" s="288"/>
      <c r="L31" s="289">
        <f>L35*L29</f>
        <v>24843.920600000001</v>
      </c>
      <c r="M31" s="288"/>
      <c r="N31" s="291">
        <f>N35*N29</f>
        <v>2526.5003999999999</v>
      </c>
      <c r="O31" s="288"/>
      <c r="P31" s="289">
        <f>P35*P29</f>
        <v>55583.008799999996</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128966.17160000002</v>
      </c>
      <c r="E33" s="280"/>
      <c r="F33" s="281">
        <f>F32*F36</f>
        <v>91133.609700000001</v>
      </c>
      <c r="G33" s="281"/>
      <c r="H33" s="281">
        <f>H32*H36</f>
        <v>12635.655479999999</v>
      </c>
      <c r="I33" s="281"/>
      <c r="J33" s="281">
        <f>J32*J36</f>
        <v>5937.1158000000005</v>
      </c>
      <c r="K33" s="281"/>
      <c r="L33" s="281">
        <f>L32*L36</f>
        <v>17217.63582</v>
      </c>
      <c r="M33" s="281"/>
      <c r="N33" s="281">
        <f>N32*N36</f>
        <v>2544.4782</v>
      </c>
      <c r="O33" s="281"/>
      <c r="P33" s="281">
        <f>P32*P36</f>
        <v>38421.620820000004</v>
      </c>
      <c r="Q33" s="281"/>
      <c r="R33" s="281"/>
      <c r="S33" s="285"/>
      <c r="T33" s="281">
        <f>SUM(C33:P33)</f>
        <v>296856.28742000001</v>
      </c>
      <c r="U33" s="286"/>
      <c r="V33" s="5"/>
    </row>
    <row r="34" spans="1:22" ht="15.6" x14ac:dyDescent="0.3">
      <c r="A34" s="276"/>
      <c r="B34" s="277" t="s">
        <v>291</v>
      </c>
      <c r="C34" s="287"/>
      <c r="D34" s="288">
        <f>D35*D32</f>
        <v>128055.01520000001</v>
      </c>
      <c r="E34" s="287"/>
      <c r="F34" s="288">
        <f>F35*F32</f>
        <v>90489.743400000007</v>
      </c>
      <c r="G34" s="288"/>
      <c r="H34" s="288">
        <f>H35*H32</f>
        <v>12546.37983</v>
      </c>
      <c r="I34" s="288"/>
      <c r="J34" s="288">
        <f>J35*J32</f>
        <v>5895.1675999999998</v>
      </c>
      <c r="K34" s="288"/>
      <c r="L34" s="288">
        <f>L35*L32</f>
        <v>17095.98604</v>
      </c>
      <c r="M34" s="288"/>
      <c r="N34" s="288">
        <f>N35*N32</f>
        <v>2526.5003999999999</v>
      </c>
      <c r="O34" s="288"/>
      <c r="P34" s="288">
        <f>P35*P32</f>
        <v>38150.156040000002</v>
      </c>
      <c r="Q34" s="288"/>
      <c r="R34" s="288"/>
      <c r="S34" s="292"/>
      <c r="T34" s="288">
        <f>SUM(C34:P34)</f>
        <v>294758.94850999996</v>
      </c>
      <c r="U34" s="286"/>
      <c r="V34" s="5"/>
    </row>
    <row r="35" spans="1:22" ht="15.6" x14ac:dyDescent="0.3">
      <c r="A35" s="276"/>
      <c r="B35" s="293" t="s">
        <v>139</v>
      </c>
      <c r="C35" s="294"/>
      <c r="D35" s="295">
        <v>0.37010120000000002</v>
      </c>
      <c r="E35" s="296"/>
      <c r="F35" s="295">
        <v>0.37010120000000002</v>
      </c>
      <c r="G35" s="295"/>
      <c r="H35" s="295">
        <v>0.37009969999999998</v>
      </c>
      <c r="I35" s="297"/>
      <c r="J35" s="295">
        <v>0.84216679999999999</v>
      </c>
      <c r="K35" s="297"/>
      <c r="L35" s="295">
        <v>0.84216679999999999</v>
      </c>
      <c r="M35" s="297"/>
      <c r="N35" s="295">
        <v>0.84216679999999999</v>
      </c>
      <c r="O35" s="297"/>
      <c r="P35" s="295">
        <v>0.84216679999999999</v>
      </c>
      <c r="Q35" s="298"/>
      <c r="R35" s="298"/>
      <c r="S35" s="299"/>
      <c r="T35" s="298"/>
      <c r="U35" s="300"/>
      <c r="V35" s="5"/>
    </row>
    <row r="36" spans="1:22" ht="15.6" x14ac:dyDescent="0.3">
      <c r="A36" s="276"/>
      <c r="B36" s="293" t="s">
        <v>140</v>
      </c>
      <c r="C36" s="294"/>
      <c r="D36" s="295">
        <v>0.37273460000000003</v>
      </c>
      <c r="E36" s="296"/>
      <c r="F36" s="295">
        <v>0.37273460000000003</v>
      </c>
      <c r="G36" s="295"/>
      <c r="H36" s="295">
        <v>0.37273319999999999</v>
      </c>
      <c r="I36" s="297"/>
      <c r="J36" s="295">
        <v>0.84815940000000001</v>
      </c>
      <c r="K36" s="297"/>
      <c r="L36" s="295">
        <v>0.84815940000000001</v>
      </c>
      <c r="M36" s="297"/>
      <c r="N36" s="295">
        <v>0.84815940000000001</v>
      </c>
      <c r="O36" s="297"/>
      <c r="P36" s="295">
        <v>0.84815940000000001</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8.7250000000000001E-3</v>
      </c>
      <c r="E38" s="272"/>
      <c r="F38" s="303">
        <v>5.8500000000000002E-3</v>
      </c>
      <c r="G38" s="304"/>
      <c r="H38" s="303">
        <v>6.2420000000000002E-3</v>
      </c>
      <c r="I38" s="304"/>
      <c r="J38" s="303">
        <v>1.0925000000000001E-2</v>
      </c>
      <c r="K38" s="304"/>
      <c r="L38" s="303">
        <v>8.0499999999999999E-3</v>
      </c>
      <c r="M38" s="304"/>
      <c r="N38" s="303">
        <v>1.5525000000000001E-2</v>
      </c>
      <c r="O38" s="304"/>
      <c r="P38" s="303">
        <v>1.265E-2</v>
      </c>
      <c r="Q38" s="304"/>
      <c r="R38" s="303"/>
      <c r="S38" s="274"/>
      <c r="T38" s="304"/>
      <c r="U38" s="275"/>
      <c r="V38" s="5"/>
    </row>
    <row r="39" spans="1:22" ht="15.6" x14ac:dyDescent="0.3">
      <c r="A39" s="302"/>
      <c r="B39" s="272" t="s">
        <v>14</v>
      </c>
      <c r="C39" s="272"/>
      <c r="D39" s="303">
        <v>8.6563000000000005E-3</v>
      </c>
      <c r="E39" s="272"/>
      <c r="F39" s="303">
        <v>5.6299999999999996E-3</v>
      </c>
      <c r="G39" s="304"/>
      <c r="H39" s="303">
        <v>6.3509999999999999E-3</v>
      </c>
      <c r="I39" s="304"/>
      <c r="J39" s="303">
        <v>1.0856299999999999E-2</v>
      </c>
      <c r="K39" s="304"/>
      <c r="L39" s="303">
        <v>7.8300000000000002E-3</v>
      </c>
      <c r="M39" s="304"/>
      <c r="N39" s="303">
        <v>1.5456299999999999E-2</v>
      </c>
      <c r="O39" s="304"/>
      <c r="P39" s="303">
        <v>1.243E-2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8.7250000000000001E-3</v>
      </c>
      <c r="E41" s="272"/>
      <c r="F41" s="303">
        <v>8.9250000000000006E-3</v>
      </c>
      <c r="G41" s="304"/>
      <c r="H41" s="303">
        <v>9.1850000000000005E-3</v>
      </c>
      <c r="I41" s="304"/>
      <c r="J41" s="303">
        <f>+J38</f>
        <v>1.0925000000000001E-2</v>
      </c>
      <c r="K41" s="304"/>
      <c r="L41" s="303">
        <v>1.1514999999999999E-2</v>
      </c>
      <c r="M41" s="304"/>
      <c r="N41" s="303">
        <f>+N38</f>
        <v>1.5525000000000001E-2</v>
      </c>
      <c r="O41" s="304"/>
      <c r="P41" s="303">
        <v>1.6404999999999999E-2</v>
      </c>
      <c r="Q41" s="304"/>
      <c r="R41" s="303"/>
      <c r="S41" s="274"/>
      <c r="T41" s="304">
        <f>SUMPRODUCT(D41:P41,D33:P33)/T33</f>
        <v>1.0064094028531661E-2</v>
      </c>
      <c r="U41" s="275"/>
      <c r="V41" s="5"/>
    </row>
    <row r="42" spans="1:22" ht="15.6" x14ac:dyDescent="0.3">
      <c r="A42" s="302"/>
      <c r="B42" s="272" t="s">
        <v>294</v>
      </c>
      <c r="C42" s="272"/>
      <c r="D42" s="303">
        <f>+D39</f>
        <v>8.6563000000000005E-3</v>
      </c>
      <c r="E42" s="272"/>
      <c r="F42" s="303">
        <v>8.8562999999999992E-3</v>
      </c>
      <c r="G42" s="304"/>
      <c r="H42" s="303">
        <v>9.1163000000000008E-3</v>
      </c>
      <c r="I42" s="304"/>
      <c r="J42" s="303">
        <f>+J39</f>
        <v>1.0856299999999999E-2</v>
      </c>
      <c r="K42" s="304"/>
      <c r="L42" s="303">
        <v>1.14463E-2</v>
      </c>
      <c r="M42" s="304"/>
      <c r="N42" s="303">
        <f>+N39</f>
        <v>1.5456299999999999E-2</v>
      </c>
      <c r="O42" s="304"/>
      <c r="P42" s="303">
        <v>1.6336300000000002E-2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0.27550952629577213</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41593</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92</v>
      </c>
      <c r="Q54" s="272"/>
      <c r="R54" s="312">
        <v>41409</v>
      </c>
      <c r="S54" s="313"/>
      <c r="T54" s="312">
        <v>41500</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92</v>
      </c>
      <c r="Q55" s="272"/>
      <c r="R55" s="312">
        <v>41501</v>
      </c>
      <c r="S55" s="313"/>
      <c r="T55" s="312">
        <v>41592</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41579</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325</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296856</v>
      </c>
      <c r="M65" s="317"/>
      <c r="N65" s="317">
        <f>2097+99</f>
        <v>2196</v>
      </c>
      <c r="O65" s="317"/>
      <c r="P65" s="317">
        <v>99</v>
      </c>
      <c r="Q65" s="317"/>
      <c r="R65" s="317">
        <v>0</v>
      </c>
      <c r="S65" s="317"/>
      <c r="T65" s="318">
        <f>+L65-N65+P65-R65</f>
        <v>294759</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296856</v>
      </c>
      <c r="M68" s="317"/>
      <c r="N68" s="317">
        <f>SUM(N65:N67)</f>
        <v>2196</v>
      </c>
      <c r="O68" s="317"/>
      <c r="P68" s="317">
        <f>SUM(P65:P67)</f>
        <v>99</v>
      </c>
      <c r="Q68" s="317"/>
      <c r="R68" s="317">
        <f>SUM(R65:R67)</f>
        <v>0</v>
      </c>
      <c r="S68" s="317"/>
      <c r="T68" s="317">
        <f>SUM(T65:T67)</f>
        <v>294759</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296856</v>
      </c>
      <c r="M81" s="317"/>
      <c r="N81" s="317"/>
      <c r="O81" s="317"/>
      <c r="P81" s="317"/>
      <c r="Q81" s="317"/>
      <c r="R81" s="317"/>
      <c r="S81" s="317"/>
      <c r="T81" s="317">
        <f>SUM(T68:T80)</f>
        <v>294759</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41578</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2196+60</f>
        <v>2256</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1665+731-404-229</f>
        <v>1763</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43+4</f>
        <v>47</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17</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108</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2256</v>
      </c>
      <c r="S93" s="272"/>
      <c r="T93" s="317">
        <f>SUM(T85:T92)</f>
        <v>1935</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17</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2256</v>
      </c>
      <c r="S97" s="272"/>
      <c r="T97" s="317">
        <f>T93+T95+T94+T96</f>
        <v>1952</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-114-75-4</f>
        <v>-193</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-1</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-284</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-205</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-29</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-16</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-50</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-10</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-159</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-60</v>
      </c>
      <c r="S113" s="272"/>
      <c r="T113" s="318">
        <v>60</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-114</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-943</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-99</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0</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-911</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-644</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-89</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-42</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-122</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-18</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-271</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-2196</v>
      </c>
      <c r="S130" s="317"/>
      <c r="T130" s="317">
        <f>SUM(T98:T128)</f>
        <v>-1952</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OCTOBER 2013</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1819</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272" t="s">
        <v>300</v>
      </c>
      <c r="C153" s="272"/>
      <c r="D153" s="272"/>
      <c r="E153" s="272"/>
      <c r="F153" s="272"/>
      <c r="G153" s="272"/>
      <c r="H153" s="272"/>
      <c r="I153" s="272"/>
      <c r="J153" s="272"/>
      <c r="K153" s="272"/>
      <c r="L153" s="272"/>
      <c r="M153" s="272"/>
      <c r="N153" s="272"/>
      <c r="O153" s="272"/>
      <c r="P153" s="272"/>
      <c r="Q153" s="272"/>
      <c r="R153" s="272"/>
      <c r="S153" s="272"/>
      <c r="T153" s="318">
        <v>1819</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-60</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-60</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60</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v>0</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294759</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294759</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+'July 13'!Q181</f>
        <v>46807</v>
      </c>
      <c r="R179" s="318">
        <f>+'July 13'!R181</f>
        <v>2435</v>
      </c>
      <c r="S179" s="272"/>
      <c r="T179" s="318">
        <f>Q179+R179</f>
        <v>49242</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0</v>
      </c>
      <c r="R180" s="317">
        <v>0</v>
      </c>
      <c r="S180" s="272"/>
      <c r="T180" s="318">
        <f>Q180+R180</f>
        <v>0</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46807</v>
      </c>
      <c r="R181" s="318">
        <f>R180+R179</f>
        <v>2435</v>
      </c>
      <c r="S181" s="272"/>
      <c r="T181" s="318">
        <f>Q181+R181</f>
        <v>49242</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62758</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3.3899613899613898</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1.59</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18.757575757575758</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8.6300000000000008</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6.9349112426035502</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3.9</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OCTOBER 2013</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41578</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2.2839999999999999E-2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1.0064094028531661E-2</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1.2775905971468339E-2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6.575578731775676E-3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13.21</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7.3975260732476351E-3</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0.10920000000000001</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0</v>
      </c>
      <c r="R214" s="248">
        <v>0</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57</v>
      </c>
      <c r="R215" s="360">
        <f>+R266</f>
        <v>8216</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-60</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'July 13'!R221+'Oct 13'!R220</f>
        <v>2992</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2</v>
      </c>
      <c r="R227" s="360">
        <v>296</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0</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2419</v>
      </c>
      <c r="Q233" s="388">
        <f t="shared" ref="Q233:Q240" si="2">P233/$P$242</f>
        <v>0.99424578709412248</v>
      </c>
      <c r="R233" s="318">
        <f t="shared" ref="R233:R240" si="3">+R245+R257+R269</f>
        <v>292064</v>
      </c>
      <c r="S233" s="388">
        <f t="shared" ref="S233:S240" si="4">R233/$R$242</f>
        <v>0.99085693736238756</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3</v>
      </c>
      <c r="Q234" s="388">
        <f t="shared" si="2"/>
        <v>1.2330456226880395E-3</v>
      </c>
      <c r="R234" s="318">
        <f t="shared" si="3"/>
        <v>386</v>
      </c>
      <c r="S234" s="388">
        <f t="shared" si="4"/>
        <v>1.3095444074650816E-3</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0</v>
      </c>
      <c r="Q235" s="388">
        <f t="shared" si="2"/>
        <v>0</v>
      </c>
      <c r="R235" s="318">
        <f t="shared" si="3"/>
        <v>0</v>
      </c>
      <c r="S235" s="388">
        <f t="shared" si="4"/>
        <v>0</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1</v>
      </c>
      <c r="Q238" s="388">
        <f t="shared" si="2"/>
        <v>4.1101520756267981E-4</v>
      </c>
      <c r="R238" s="318">
        <f t="shared" si="3"/>
        <v>121</v>
      </c>
      <c r="S238" s="388">
        <f t="shared" si="4"/>
        <v>4.1050485311729243E-4</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1</v>
      </c>
      <c r="Q239" s="388">
        <f t="shared" si="2"/>
        <v>4.1101520756267981E-4</v>
      </c>
      <c r="R239" s="318">
        <f t="shared" si="3"/>
        <v>121</v>
      </c>
      <c r="S239" s="388">
        <f t="shared" si="4"/>
        <v>4.1050485311729243E-4</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9</v>
      </c>
      <c r="Q240" s="388">
        <f t="shared" si="2"/>
        <v>3.6991368680641184E-3</v>
      </c>
      <c r="R240" s="318">
        <f t="shared" si="3"/>
        <v>2067</v>
      </c>
      <c r="S240" s="388">
        <f t="shared" si="4"/>
        <v>7.0125085239127558E-3</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2433</v>
      </c>
      <c r="Q242" s="388">
        <f>SUM(Q233:Q241)</f>
        <v>1</v>
      </c>
      <c r="R242" s="318">
        <f>SUM(R233:R241)</f>
        <v>294759</v>
      </c>
      <c r="S242" s="388">
        <f>SUM(S233:S241)</f>
        <v>1</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2374</v>
      </c>
      <c r="Q245" s="250">
        <f t="shared" ref="Q245:Q252" si="5">P245/$P$254</f>
        <v>0.99915824915824913</v>
      </c>
      <c r="R245" s="242">
        <v>286195</v>
      </c>
      <c r="S245" s="250">
        <f t="shared" ref="S245:S252" si="6">R245/$R$254</f>
        <v>0.99878552259172271</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2</v>
      </c>
      <c r="Q246" s="388">
        <f t="shared" si="5"/>
        <v>8.4175084175084171E-4</v>
      </c>
      <c r="R246" s="318">
        <v>348</v>
      </c>
      <c r="S246" s="388">
        <f t="shared" si="6"/>
        <v>1.2144774082772918E-3</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2376</v>
      </c>
      <c r="Q254" s="388">
        <f>SUM(Q245:Q253)</f>
        <v>1</v>
      </c>
      <c r="R254" s="318">
        <f>SUM(R245:R253)</f>
        <v>286543</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45</v>
      </c>
      <c r="Q257" s="250">
        <f t="shared" ref="Q257:Q264" si="7">P257/$P$266</f>
        <v>0.78947368421052633</v>
      </c>
      <c r="R257" s="242">
        <v>5869</v>
      </c>
      <c r="S257" s="250">
        <f t="shared" ref="S257:S264" si="8">R257/$R$266</f>
        <v>0.71433787731256082</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1</v>
      </c>
      <c r="Q258" s="388">
        <f t="shared" si="7"/>
        <v>1.7543859649122806E-2</v>
      </c>
      <c r="R258" s="318">
        <v>38</v>
      </c>
      <c r="S258" s="388">
        <f t="shared" si="8"/>
        <v>4.6251217137293086E-3</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0</v>
      </c>
      <c r="Q259" s="388">
        <f t="shared" si="7"/>
        <v>0</v>
      </c>
      <c r="R259" s="318">
        <v>0</v>
      </c>
      <c r="S259" s="388">
        <f t="shared" si="8"/>
        <v>0</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1</v>
      </c>
      <c r="Q262" s="388">
        <f t="shared" si="7"/>
        <v>1.7543859649122806E-2</v>
      </c>
      <c r="R262" s="318">
        <v>121</v>
      </c>
      <c r="S262" s="388">
        <f t="shared" si="8"/>
        <v>1.4727361246348589E-2</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1</v>
      </c>
      <c r="Q263" s="388">
        <f t="shared" si="7"/>
        <v>1.7543859649122806E-2</v>
      </c>
      <c r="R263" s="318">
        <v>121</v>
      </c>
      <c r="S263" s="388">
        <f t="shared" si="8"/>
        <v>1.4727361246348589E-2</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9</v>
      </c>
      <c r="Q264" s="388">
        <f t="shared" si="7"/>
        <v>0.15789473684210525</v>
      </c>
      <c r="R264" s="318">
        <v>2067</v>
      </c>
      <c r="S264" s="388">
        <f t="shared" si="8"/>
        <v>0.25158227848101267</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57</v>
      </c>
      <c r="Q266" s="388">
        <f>SUM(Q257:Q265)</f>
        <v>1.0000000000000002</v>
      </c>
      <c r="R266" s="318">
        <f>SUM(R257:R265)</f>
        <v>8216</v>
      </c>
      <c r="S266" s="388">
        <f>SUM(S257:S265)</f>
        <v>0.99999999999999989</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2433</v>
      </c>
      <c r="Q280" s="388"/>
      <c r="R280" s="396">
        <f>+R278+R266+R254</f>
        <v>294759</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322</v>
      </c>
      <c r="C285" s="220"/>
      <c r="D285" s="220"/>
      <c r="E285" s="220"/>
      <c r="F285" s="256" t="s">
        <v>159</v>
      </c>
      <c r="G285" s="220"/>
      <c r="H285" s="220" t="s">
        <v>167</v>
      </c>
      <c r="I285" s="255"/>
      <c r="J285" s="255"/>
      <c r="K285" s="255"/>
      <c r="L285" s="255"/>
      <c r="M285" s="255"/>
      <c r="N285" s="255"/>
      <c r="O285" s="255"/>
      <c r="P285" s="255"/>
      <c r="Q285" s="255"/>
      <c r="R285" s="255"/>
      <c r="S285" s="255"/>
      <c r="T285" s="255"/>
      <c r="U285" s="192"/>
      <c r="V285" s="5"/>
    </row>
    <row r="286" spans="1:22" ht="15.6" x14ac:dyDescent="0.3">
      <c r="A286" s="254"/>
      <c r="B286" s="220" t="s">
        <v>323</v>
      </c>
      <c r="C286" s="220"/>
      <c r="D286" s="220"/>
      <c r="E286" s="220"/>
      <c r="F286" s="256" t="s">
        <v>274</v>
      </c>
      <c r="G286" s="220"/>
      <c r="H286" s="220" t="s">
        <v>275</v>
      </c>
      <c r="I286" s="255"/>
      <c r="J286" s="255"/>
      <c r="K286" s="255"/>
      <c r="L286" s="255"/>
      <c r="M286" s="255"/>
      <c r="N286" s="255"/>
      <c r="O286" s="255"/>
      <c r="P286" s="255"/>
      <c r="Q286" s="255"/>
      <c r="R286" s="255"/>
      <c r="S286" s="255"/>
      <c r="T286" s="255"/>
      <c r="U286" s="192"/>
      <c r="V286" s="5"/>
    </row>
    <row r="287" spans="1:22" ht="15.6" x14ac:dyDescent="0.3">
      <c r="A287" s="254"/>
      <c r="B287" s="220" t="s">
        <v>324</v>
      </c>
      <c r="C287" s="220"/>
      <c r="D287" s="220"/>
      <c r="E287" s="220"/>
      <c r="F287" s="256" t="s">
        <v>158</v>
      </c>
      <c r="G287" s="220"/>
      <c r="H287" s="220" t="s">
        <v>168</v>
      </c>
      <c r="I287" s="255"/>
      <c r="J287" s="255"/>
      <c r="K287" s="255"/>
      <c r="L287" s="255"/>
      <c r="M287" s="255"/>
      <c r="N287" s="255"/>
      <c r="O287" s="255"/>
      <c r="P287" s="255"/>
      <c r="Q287" s="255"/>
      <c r="R287" s="255"/>
      <c r="S287" s="255"/>
      <c r="T287" s="255"/>
      <c r="U287" s="192"/>
      <c r="V287" s="5"/>
    </row>
    <row r="288" spans="1:22" ht="15.6" x14ac:dyDescent="0.3">
      <c r="A288" s="254"/>
      <c r="B288" s="220"/>
      <c r="C288" s="220"/>
      <c r="D288" s="220"/>
      <c r="E288" s="220"/>
      <c r="F288" s="220"/>
      <c r="G288" s="257"/>
      <c r="H288" s="255"/>
      <c r="I288" s="255"/>
      <c r="J288" s="255"/>
      <c r="K288" s="255"/>
      <c r="L288" s="255"/>
      <c r="M288" s="255"/>
      <c r="N288" s="255"/>
      <c r="O288" s="255"/>
      <c r="P288" s="255"/>
      <c r="Q288" s="255"/>
      <c r="R288" s="255"/>
      <c r="S288" s="255"/>
      <c r="T288" s="255"/>
      <c r="U288" s="192"/>
      <c r="V288" s="5"/>
    </row>
    <row r="289" spans="1:22" ht="15.6" x14ac:dyDescent="0.3">
      <c r="A289" s="216"/>
      <c r="B289" s="185"/>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ht="18" thickBot="1" x14ac:dyDescent="0.35">
      <c r="A290" s="216"/>
      <c r="B290" s="267" t="str">
        <f>B195</f>
        <v>PM9 INVESTOR REPORT QUARTER ENDING OCTOBER 2013</v>
      </c>
      <c r="C290" s="185"/>
      <c r="D290" s="185"/>
      <c r="E290" s="185"/>
      <c r="F290" s="185"/>
      <c r="G290" s="217"/>
      <c r="H290" s="192"/>
      <c r="I290" s="192"/>
      <c r="J290" s="192"/>
      <c r="K290" s="192"/>
      <c r="L290" s="192"/>
      <c r="M290" s="192"/>
      <c r="N290" s="192"/>
      <c r="O290" s="192"/>
      <c r="P290" s="192"/>
      <c r="Q290" s="192"/>
      <c r="R290" s="192"/>
      <c r="S290" s="192"/>
      <c r="T290" s="192"/>
      <c r="U290" s="192"/>
      <c r="V290" s="5"/>
    </row>
    <row r="291" spans="1:22" x14ac:dyDescent="0.25">
      <c r="A291" s="101"/>
      <c r="B291" s="101"/>
      <c r="C291" s="101"/>
      <c r="D291" s="101"/>
      <c r="E291" s="101"/>
      <c r="F291" s="101"/>
      <c r="G291" s="101"/>
      <c r="H291" s="101"/>
      <c r="I291" s="101"/>
      <c r="J291" s="101"/>
      <c r="K291" s="101"/>
      <c r="L291" s="101"/>
      <c r="M291" s="101"/>
      <c r="N291" s="101"/>
      <c r="O291" s="101"/>
      <c r="P291" s="101"/>
      <c r="Q291" s="101"/>
      <c r="R291" s="101"/>
      <c r="S291" s="101"/>
      <c r="T291" s="101"/>
      <c r="U291" s="101"/>
    </row>
  </sheetData>
  <hyperlinks>
    <hyperlink ref="J9" r:id="rId1" xr:uid="{00000000-0004-0000-2000-000000000000}"/>
    <hyperlink ref="N230" r:id="rId2" xr:uid="{00000000-0004-0000-20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1" man="1"/>
    <brk id="134" max="14" man="1"/>
    <brk id="195" max="14" man="1"/>
  </row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2D2926"/>
  </sheetPr>
  <dimension ref="A1:W291"/>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0.72050000000000003</v>
      </c>
      <c r="R16" s="225" t="s">
        <v>149</v>
      </c>
      <c r="S16" s="224">
        <v>0.27950000000000003</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41694</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150</v>
      </c>
      <c r="E25" s="398"/>
      <c r="F25" s="398" t="s">
        <v>150</v>
      </c>
      <c r="G25" s="398"/>
      <c r="H25" s="398" t="s">
        <v>150</v>
      </c>
      <c r="I25" s="398"/>
      <c r="J25" s="398" t="s">
        <v>192</v>
      </c>
      <c r="K25" s="398"/>
      <c r="L25" s="398" t="s">
        <v>192</v>
      </c>
      <c r="M25" s="398"/>
      <c r="N25" s="398" t="s">
        <v>151</v>
      </c>
      <c r="O25" s="398"/>
      <c r="P25" s="398" t="s">
        <v>151</v>
      </c>
      <c r="Q25" s="398"/>
      <c r="R25" s="273"/>
      <c r="S25" s="274"/>
      <c r="T25" s="274"/>
      <c r="U25" s="275"/>
      <c r="V25" s="5"/>
    </row>
    <row r="26" spans="1:22" ht="15.6" x14ac:dyDescent="0.3">
      <c r="A26" s="276"/>
      <c r="B26" s="277" t="s">
        <v>10</v>
      </c>
      <c r="C26" s="398"/>
      <c r="D26" s="398" t="s">
        <v>153</v>
      </c>
      <c r="E26" s="398"/>
      <c r="F26" s="398" t="s">
        <v>153</v>
      </c>
      <c r="G26" s="398"/>
      <c r="H26" s="398" t="s">
        <v>153</v>
      </c>
      <c r="I26" s="398"/>
      <c r="J26" s="398" t="s">
        <v>153</v>
      </c>
      <c r="K26" s="398"/>
      <c r="L26" s="398" t="s">
        <v>153</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128055.01520000001</v>
      </c>
      <c r="E30" s="280"/>
      <c r="F30" s="282">
        <f>F29*F36</f>
        <v>131385.92600000001</v>
      </c>
      <c r="G30" s="281"/>
      <c r="H30" s="283">
        <f>H29*H36</f>
        <v>22205.982</v>
      </c>
      <c r="I30" s="281"/>
      <c r="J30" s="281">
        <f>J29*J36</f>
        <v>5895.1675999999998</v>
      </c>
      <c r="K30" s="281"/>
      <c r="L30" s="282">
        <f>L29*L36</f>
        <v>24843.920600000001</v>
      </c>
      <c r="M30" s="281"/>
      <c r="N30" s="284">
        <f>N29*N36</f>
        <v>2526.5003999999999</v>
      </c>
      <c r="O30" s="281"/>
      <c r="P30" s="282">
        <f>P29*P36</f>
        <v>55583.008799999996</v>
      </c>
      <c r="Q30" s="281"/>
      <c r="R30" s="281"/>
      <c r="S30" s="285"/>
      <c r="T30" s="281"/>
      <c r="U30" s="286"/>
      <c r="V30" s="5"/>
    </row>
    <row r="31" spans="1:22" ht="15.6" x14ac:dyDescent="0.3">
      <c r="A31" s="276"/>
      <c r="B31" s="277" t="s">
        <v>143</v>
      </c>
      <c r="C31" s="287"/>
      <c r="D31" s="288">
        <f>D35*D29</f>
        <v>126916.1216</v>
      </c>
      <c r="E31" s="287"/>
      <c r="F31" s="289">
        <f>F35*F29</f>
        <v>130217.40800000001</v>
      </c>
      <c r="G31" s="288"/>
      <c r="H31" s="290">
        <f>H35*H29</f>
        <v>22008.486000000001</v>
      </c>
      <c r="I31" s="288"/>
      <c r="J31" s="288">
        <f>J35*J29</f>
        <v>5842.7376000000004</v>
      </c>
      <c r="K31" s="288"/>
      <c r="L31" s="289">
        <f>L35*L29</f>
        <v>24622.9656</v>
      </c>
      <c r="M31" s="288"/>
      <c r="N31" s="291">
        <f>N35*N29</f>
        <v>2504.0304000000001</v>
      </c>
      <c r="O31" s="288"/>
      <c r="P31" s="289">
        <f>P35*P29</f>
        <v>55088.668799999999</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128055.01520000001</v>
      </c>
      <c r="E33" s="280"/>
      <c r="F33" s="281">
        <f>F32*F36</f>
        <v>90489.743400000007</v>
      </c>
      <c r="G33" s="281"/>
      <c r="H33" s="281">
        <f>H32*H36</f>
        <v>12546.37983</v>
      </c>
      <c r="I33" s="281"/>
      <c r="J33" s="281">
        <f>J32*J36</f>
        <v>5895.1675999999998</v>
      </c>
      <c r="K33" s="281"/>
      <c r="L33" s="281">
        <f>L32*L36</f>
        <v>17095.98604</v>
      </c>
      <c r="M33" s="281"/>
      <c r="N33" s="281">
        <f>N32*N36</f>
        <v>2526.5003999999999</v>
      </c>
      <c r="O33" s="281"/>
      <c r="P33" s="281">
        <f>P32*P36</f>
        <v>38150.156040000002</v>
      </c>
      <c r="Q33" s="281"/>
      <c r="R33" s="281"/>
      <c r="S33" s="285"/>
      <c r="T33" s="281">
        <f>SUM(C33:P33)</f>
        <v>294758.94850999996</v>
      </c>
      <c r="U33" s="286"/>
      <c r="V33" s="5"/>
    </row>
    <row r="34" spans="1:22" ht="15.6" x14ac:dyDescent="0.3">
      <c r="A34" s="276"/>
      <c r="B34" s="277" t="s">
        <v>291</v>
      </c>
      <c r="C34" s="287"/>
      <c r="D34" s="288">
        <f>D35*D32</f>
        <v>126916.1216</v>
      </c>
      <c r="E34" s="287"/>
      <c r="F34" s="288">
        <f>F35*F32</f>
        <v>89684.94720000001</v>
      </c>
      <c r="G34" s="288"/>
      <c r="H34" s="288">
        <f>H35*H32</f>
        <v>12434.794590000001</v>
      </c>
      <c r="I34" s="288"/>
      <c r="J34" s="288">
        <f>J35*J32</f>
        <v>5842.7376000000004</v>
      </c>
      <c r="K34" s="288"/>
      <c r="L34" s="288">
        <f>L35*L32</f>
        <v>16943.939040000001</v>
      </c>
      <c r="M34" s="288"/>
      <c r="N34" s="288">
        <f>N35*N32</f>
        <v>2504.0304000000001</v>
      </c>
      <c r="O34" s="288"/>
      <c r="P34" s="288">
        <f>P35*P32</f>
        <v>37810.859040000003</v>
      </c>
      <c r="Q34" s="288"/>
      <c r="R34" s="288"/>
      <c r="S34" s="292"/>
      <c r="T34" s="288">
        <f>SUM(C34:P34)</f>
        <v>292137.42946999997</v>
      </c>
      <c r="U34" s="286"/>
      <c r="V34" s="5"/>
    </row>
    <row r="35" spans="1:22" ht="15.6" x14ac:dyDescent="0.3">
      <c r="A35" s="276"/>
      <c r="B35" s="293" t="s">
        <v>139</v>
      </c>
      <c r="C35" s="294"/>
      <c r="D35" s="295">
        <v>0.36680960000000001</v>
      </c>
      <c r="E35" s="296"/>
      <c r="F35" s="295">
        <v>0.36680960000000001</v>
      </c>
      <c r="G35" s="295"/>
      <c r="H35" s="295">
        <v>0.36680810000000003</v>
      </c>
      <c r="I35" s="297"/>
      <c r="J35" s="295">
        <v>0.8346768</v>
      </c>
      <c r="K35" s="297"/>
      <c r="L35" s="295">
        <v>0.8346768</v>
      </c>
      <c r="M35" s="297"/>
      <c r="N35" s="295">
        <v>0.8346768</v>
      </c>
      <c r="O35" s="297"/>
      <c r="P35" s="295">
        <v>0.8346768</v>
      </c>
      <c r="Q35" s="298"/>
      <c r="R35" s="298"/>
      <c r="S35" s="299"/>
      <c r="T35" s="298"/>
      <c r="U35" s="300"/>
      <c r="V35" s="5"/>
    </row>
    <row r="36" spans="1:22" ht="15.6" x14ac:dyDescent="0.3">
      <c r="A36" s="276"/>
      <c r="B36" s="293" t="s">
        <v>140</v>
      </c>
      <c r="C36" s="294"/>
      <c r="D36" s="295">
        <v>0.37010120000000002</v>
      </c>
      <c r="E36" s="296"/>
      <c r="F36" s="295">
        <v>0.37010120000000002</v>
      </c>
      <c r="G36" s="295"/>
      <c r="H36" s="295">
        <v>0.37009969999999998</v>
      </c>
      <c r="I36" s="297"/>
      <c r="J36" s="295">
        <v>0.84216679999999999</v>
      </c>
      <c r="K36" s="297"/>
      <c r="L36" s="295">
        <v>0.84216679999999999</v>
      </c>
      <c r="M36" s="297"/>
      <c r="N36" s="295">
        <v>0.84216679999999999</v>
      </c>
      <c r="O36" s="297"/>
      <c r="P36" s="295">
        <v>0.84216679999999999</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8.8406000000000005E-3</v>
      </c>
      <c r="E38" s="272"/>
      <c r="F38" s="303">
        <v>5.7800000000000004E-3</v>
      </c>
      <c r="G38" s="304"/>
      <c r="H38" s="303">
        <v>6.0060000000000001E-3</v>
      </c>
      <c r="I38" s="304"/>
      <c r="J38" s="303">
        <v>1.1040599999999999E-2</v>
      </c>
      <c r="K38" s="304"/>
      <c r="L38" s="303">
        <v>7.9799999999999992E-3</v>
      </c>
      <c r="M38" s="304"/>
      <c r="N38" s="303">
        <v>1.5640600000000001E-2</v>
      </c>
      <c r="O38" s="304"/>
      <c r="P38" s="303">
        <v>1.2579999999999999E-2</v>
      </c>
      <c r="Q38" s="304"/>
      <c r="R38" s="303"/>
      <c r="S38" s="274"/>
      <c r="T38" s="304"/>
      <c r="U38" s="275"/>
      <c r="V38" s="5"/>
    </row>
    <row r="39" spans="1:22" ht="15.6" x14ac:dyDescent="0.3">
      <c r="A39" s="302"/>
      <c r="B39" s="272" t="s">
        <v>14</v>
      </c>
      <c r="C39" s="272"/>
      <c r="D39" s="303">
        <v>8.7250000000000001E-3</v>
      </c>
      <c r="E39" s="272"/>
      <c r="F39" s="303">
        <v>5.8500000000000002E-3</v>
      </c>
      <c r="G39" s="304"/>
      <c r="H39" s="303">
        <v>6.2420000000000002E-3</v>
      </c>
      <c r="I39" s="304"/>
      <c r="J39" s="303">
        <v>1.0925000000000001E-2</v>
      </c>
      <c r="K39" s="304"/>
      <c r="L39" s="303">
        <v>8.0499999999999999E-3</v>
      </c>
      <c r="M39" s="304"/>
      <c r="N39" s="303">
        <v>1.5525000000000001E-2</v>
      </c>
      <c r="O39" s="304"/>
      <c r="P39" s="303">
        <v>1.265E-2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8.8406000000000005E-3</v>
      </c>
      <c r="E41" s="272"/>
      <c r="F41" s="303">
        <v>9.0405999999999993E-3</v>
      </c>
      <c r="G41" s="304"/>
      <c r="H41" s="303">
        <v>9.3005999999999991E-3</v>
      </c>
      <c r="I41" s="304"/>
      <c r="J41" s="303">
        <f>+J38</f>
        <v>1.1040599999999999E-2</v>
      </c>
      <c r="K41" s="304"/>
      <c r="L41" s="303">
        <v>1.16306E-2</v>
      </c>
      <c r="M41" s="304"/>
      <c r="N41" s="303">
        <f>+N38</f>
        <v>1.5640600000000001E-2</v>
      </c>
      <c r="O41" s="304"/>
      <c r="P41" s="303">
        <v>1.65206E-2</v>
      </c>
      <c r="Q41" s="304"/>
      <c r="R41" s="303"/>
      <c r="S41" s="274"/>
      <c r="T41" s="304">
        <f>SUMPRODUCT(D41:P41,D33:P33)/T33</f>
        <v>1.0179693711237099E-2</v>
      </c>
      <c r="U41" s="275"/>
      <c r="V41" s="5"/>
    </row>
    <row r="42" spans="1:22" ht="15.6" x14ac:dyDescent="0.3">
      <c r="A42" s="302"/>
      <c r="B42" s="272" t="s">
        <v>294</v>
      </c>
      <c r="C42" s="272"/>
      <c r="D42" s="303">
        <f>+D39</f>
        <v>8.7250000000000001E-3</v>
      </c>
      <c r="E42" s="272"/>
      <c r="F42" s="303">
        <v>8.9250000000000006E-3</v>
      </c>
      <c r="G42" s="304"/>
      <c r="H42" s="303">
        <v>9.1850000000000005E-3</v>
      </c>
      <c r="I42" s="304"/>
      <c r="J42" s="303">
        <f>+J39</f>
        <v>1.0925000000000001E-2</v>
      </c>
      <c r="K42" s="304"/>
      <c r="L42" s="303">
        <v>1.1514999999999999E-2</v>
      </c>
      <c r="M42" s="304"/>
      <c r="N42" s="303">
        <f>+N39</f>
        <v>1.5525000000000001E-2</v>
      </c>
      <c r="O42" s="304"/>
      <c r="P42" s="303">
        <v>1.6404999999999999E-2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0.27550954311705883</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41688</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92</v>
      </c>
      <c r="Q54" s="272"/>
      <c r="R54" s="312">
        <v>41501</v>
      </c>
      <c r="S54" s="313"/>
      <c r="T54" s="312">
        <v>41592</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95</v>
      </c>
      <c r="Q55" s="272"/>
      <c r="R55" s="312">
        <v>41593</v>
      </c>
      <c r="S55" s="313"/>
      <c r="T55" s="312">
        <v>41687</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41673</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326</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294759</v>
      </c>
      <c r="M65" s="317"/>
      <c r="N65" s="317">
        <f>2622+129+293</f>
        <v>3044</v>
      </c>
      <c r="O65" s="317"/>
      <c r="P65" s="317">
        <f>129+293</f>
        <v>422</v>
      </c>
      <c r="Q65" s="317"/>
      <c r="R65" s="317">
        <v>0</v>
      </c>
      <c r="S65" s="317"/>
      <c r="T65" s="318">
        <f>+L65-N65+P65-R65</f>
        <v>292137</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294759</v>
      </c>
      <c r="M68" s="317"/>
      <c r="N68" s="317">
        <f>SUM(N65:N67)</f>
        <v>3044</v>
      </c>
      <c r="O68" s="317"/>
      <c r="P68" s="317">
        <f>SUM(P65:P67)</f>
        <v>422</v>
      </c>
      <c r="Q68" s="317"/>
      <c r="R68" s="317">
        <f>SUM(R65:R67)</f>
        <v>0</v>
      </c>
      <c r="S68" s="317"/>
      <c r="T68" s="317">
        <f>SUM(T65:T67)</f>
        <v>292137</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294759</v>
      </c>
      <c r="M81" s="317"/>
      <c r="N81" s="317"/>
      <c r="O81" s="317"/>
      <c r="P81" s="317"/>
      <c r="Q81" s="317"/>
      <c r="R81" s="317"/>
      <c r="S81" s="317"/>
      <c r="T81" s="317">
        <f>SUM(T68:T80)</f>
        <v>292137</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41670</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3044-301</f>
        <v>2743</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1581+609-373-131</f>
        <v>1686</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14+6</f>
        <v>20</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18</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139</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2743</v>
      </c>
      <c r="S93" s="272"/>
      <c r="T93" s="317">
        <f>SUM(T85:T92)</f>
        <v>1863</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138</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2743</v>
      </c>
      <c r="S97" s="272"/>
      <c r="T97" s="317">
        <f>T93+T95+T94+T96</f>
        <v>2001</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-113-81-4</f>
        <v>-198</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-1</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-295</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-213</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-30</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-17</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-52</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-10</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-164</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301</v>
      </c>
      <c r="S113" s="272"/>
      <c r="T113" s="318">
        <v>-301</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-112</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-600</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-422</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-1139</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-805</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-112</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-52</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-152</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-23</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-339</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-3044</v>
      </c>
      <c r="S130" s="317"/>
      <c r="T130" s="317">
        <f>SUM(T98:T128)</f>
        <v>-2001</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JANUARY 2014</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1819</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400" t="s">
        <v>327</v>
      </c>
      <c r="C153" s="272"/>
      <c r="D153" s="272"/>
      <c r="E153" s="272"/>
      <c r="F153" s="272"/>
      <c r="G153" s="272"/>
      <c r="H153" s="272"/>
      <c r="I153" s="272"/>
      <c r="J153" s="272"/>
      <c r="K153" s="272"/>
      <c r="L153" s="272"/>
      <c r="M153" s="272"/>
      <c r="N153" s="272"/>
      <c r="O153" s="272"/>
      <c r="P153" s="272"/>
      <c r="Q153" s="272"/>
      <c r="R153" s="272"/>
      <c r="S153" s="272"/>
      <c r="T153" s="318">
        <v>0</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301</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301</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-301</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v>0</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292137</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292137</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+'Oct 13'!Q181</f>
        <v>46807</v>
      </c>
      <c r="R179" s="318">
        <f>+'Oct 13'!R181</f>
        <v>2435</v>
      </c>
      <c r="S179" s="272"/>
      <c r="T179" s="318">
        <f>Q179+R179</f>
        <v>49242</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f>293+129</f>
        <v>422</v>
      </c>
      <c r="R180" s="317">
        <v>0</v>
      </c>
      <c r="S180" s="272"/>
      <c r="T180" s="318">
        <f>Q180+R180</f>
        <v>422</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47229</v>
      </c>
      <c r="R181" s="318">
        <f>R180+R179</f>
        <v>2435</v>
      </c>
      <c r="S181" s="272"/>
      <c r="T181" s="318">
        <f>Q181+R181</f>
        <v>49664</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62336</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3.3457249070631971</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1.6</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18.289855072463769</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8.73</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6.8563218390804597</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3.94</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JANUARY 2014</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41670</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2.2859999999999998E-2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1.0179693711237099E-2</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1.26803062887629E-2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6.7885967858487785E-3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12.99</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1.0327080767678002E-2</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0.10730000000000001</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0</v>
      </c>
      <c r="R214" s="248">
        <v>0</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55</v>
      </c>
      <c r="R215" s="360">
        <f>+R266</f>
        <v>7949</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301</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'Oct 13'!R221+'Jan 14'!R220</f>
        <v>3293</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4</v>
      </c>
      <c r="R227" s="360">
        <v>682</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5.74</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2390</v>
      </c>
      <c r="Q233" s="388">
        <f t="shared" ref="Q233:Q240" si="2">P233/$P$242</f>
        <v>0.9921129099211291</v>
      </c>
      <c r="R233" s="318">
        <f t="shared" ref="R233:R240" si="3">+R245+R257+R269</f>
        <v>289056</v>
      </c>
      <c r="S233" s="388">
        <f t="shared" ref="S233:S240" si="4">R233/$R$242</f>
        <v>0.98945357828689962</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6</v>
      </c>
      <c r="Q234" s="388">
        <f t="shared" si="2"/>
        <v>2.4906600249066002E-3</v>
      </c>
      <c r="R234" s="318">
        <f t="shared" si="3"/>
        <v>495</v>
      </c>
      <c r="S234" s="388">
        <f t="shared" si="4"/>
        <v>1.6944104991836021E-3</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3</v>
      </c>
      <c r="Q235" s="388">
        <f t="shared" si="2"/>
        <v>1.2453300124533001E-3</v>
      </c>
      <c r="R235" s="318">
        <f t="shared" si="3"/>
        <v>695</v>
      </c>
      <c r="S235" s="388">
        <f t="shared" si="4"/>
        <v>2.3790208018840474E-3</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1</v>
      </c>
      <c r="Q236" s="388">
        <f t="shared" si="2"/>
        <v>4.1511000415110004E-4</v>
      </c>
      <c r="R236" s="318">
        <f t="shared" si="3"/>
        <v>121</v>
      </c>
      <c r="S236" s="388">
        <f t="shared" si="4"/>
        <v>4.1418923313376943E-4</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0</v>
      </c>
      <c r="Q238" s="388">
        <f t="shared" si="2"/>
        <v>0</v>
      </c>
      <c r="R238" s="318">
        <f t="shared" si="3"/>
        <v>0</v>
      </c>
      <c r="S238" s="388">
        <f t="shared" si="4"/>
        <v>0</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1</v>
      </c>
      <c r="Q239" s="388">
        <f t="shared" si="2"/>
        <v>4.1511000415110004E-4</v>
      </c>
      <c r="R239" s="318">
        <f t="shared" si="3"/>
        <v>120</v>
      </c>
      <c r="S239" s="388">
        <f t="shared" si="4"/>
        <v>4.1076618162026718E-4</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8</v>
      </c>
      <c r="Q240" s="388">
        <f t="shared" si="2"/>
        <v>3.3208800332088003E-3</v>
      </c>
      <c r="R240" s="318">
        <f t="shared" si="3"/>
        <v>1650</v>
      </c>
      <c r="S240" s="388">
        <f t="shared" si="4"/>
        <v>5.6480349972786743E-3</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2409</v>
      </c>
      <c r="Q242" s="388">
        <f>SUM(Q233:Q241)</f>
        <v>1</v>
      </c>
      <c r="R242" s="318">
        <f>SUM(R233:R241)</f>
        <v>292137</v>
      </c>
      <c r="S242" s="388">
        <f>SUM(S233:S241)</f>
        <v>1</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2347</v>
      </c>
      <c r="Q245" s="250">
        <f t="shared" ref="Q245:Q252" si="5">P245/$P$254</f>
        <v>0.99702633814783348</v>
      </c>
      <c r="R245" s="242">
        <v>283417</v>
      </c>
      <c r="S245" s="250">
        <f t="shared" ref="S245:S252" si="6">R245/$R$254</f>
        <v>0.99728700719242191</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6</v>
      </c>
      <c r="Q246" s="388">
        <f t="shared" si="5"/>
        <v>2.5488530161427358E-3</v>
      </c>
      <c r="R246" s="318">
        <v>495</v>
      </c>
      <c r="S246" s="388">
        <f t="shared" si="6"/>
        <v>1.7418047208186129E-3</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1</v>
      </c>
      <c r="Q247" s="388">
        <f t="shared" si="5"/>
        <v>4.248088360237893E-4</v>
      </c>
      <c r="R247" s="318">
        <v>276</v>
      </c>
      <c r="S247" s="388">
        <f t="shared" si="6"/>
        <v>9.7118808675946907E-4</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2354</v>
      </c>
      <c r="Q254" s="388">
        <f>SUM(Q245:Q253)</f>
        <v>1</v>
      </c>
      <c r="R254" s="318">
        <f>SUM(R245:R253)</f>
        <v>284188</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43</v>
      </c>
      <c r="Q257" s="250">
        <f t="shared" ref="Q257:Q264" si="7">P257/$P$266</f>
        <v>0.78181818181818186</v>
      </c>
      <c r="R257" s="242">
        <v>5639</v>
      </c>
      <c r="S257" s="250">
        <f t="shared" ref="S257:S264" si="8">R257/$R$266</f>
        <v>0.70939740847905397</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0</v>
      </c>
      <c r="Q258" s="388">
        <f t="shared" si="7"/>
        <v>0</v>
      </c>
      <c r="R258" s="318">
        <v>0</v>
      </c>
      <c r="S258" s="388">
        <f t="shared" si="8"/>
        <v>0</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2</v>
      </c>
      <c r="Q259" s="388">
        <f t="shared" si="7"/>
        <v>3.6363636363636362E-2</v>
      </c>
      <c r="R259" s="318">
        <v>419</v>
      </c>
      <c r="S259" s="388">
        <f t="shared" si="8"/>
        <v>5.2711032834318786E-2</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1</v>
      </c>
      <c r="Q260" s="388">
        <f t="shared" si="7"/>
        <v>1.8181818181818181E-2</v>
      </c>
      <c r="R260" s="318">
        <v>121</v>
      </c>
      <c r="S260" s="388">
        <f t="shared" si="8"/>
        <v>1.5222040508240031E-2</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0</v>
      </c>
      <c r="Q262" s="388">
        <f t="shared" si="7"/>
        <v>0</v>
      </c>
      <c r="R262" s="318">
        <v>0</v>
      </c>
      <c r="S262" s="388">
        <f t="shared" si="8"/>
        <v>0</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1</v>
      </c>
      <c r="Q263" s="388">
        <f t="shared" si="7"/>
        <v>1.8181818181818181E-2</v>
      </c>
      <c r="R263" s="318">
        <v>120</v>
      </c>
      <c r="S263" s="388">
        <f t="shared" si="8"/>
        <v>1.5096238520568624E-2</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8</v>
      </c>
      <c r="Q264" s="388">
        <f t="shared" si="7"/>
        <v>0.14545454545454545</v>
      </c>
      <c r="R264" s="318">
        <v>1650</v>
      </c>
      <c r="S264" s="388">
        <f t="shared" si="8"/>
        <v>0.2075732796578186</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55</v>
      </c>
      <c r="Q266" s="388">
        <f>SUM(Q257:Q265)</f>
        <v>1</v>
      </c>
      <c r="R266" s="318">
        <f>SUM(R257:R265)</f>
        <v>7949</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2409</v>
      </c>
      <c r="Q280" s="388"/>
      <c r="R280" s="396">
        <f>+R278+R266+R254</f>
        <v>292137</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322</v>
      </c>
      <c r="C285" s="220"/>
      <c r="D285" s="220"/>
      <c r="E285" s="220"/>
      <c r="F285" s="256" t="s">
        <v>159</v>
      </c>
      <c r="G285" s="220"/>
      <c r="H285" s="220" t="s">
        <v>167</v>
      </c>
      <c r="I285" s="255"/>
      <c r="J285" s="255"/>
      <c r="K285" s="255"/>
      <c r="L285" s="255"/>
      <c r="M285" s="255"/>
      <c r="N285" s="255"/>
      <c r="O285" s="255"/>
      <c r="P285" s="255"/>
      <c r="Q285" s="255"/>
      <c r="R285" s="255"/>
      <c r="S285" s="255"/>
      <c r="T285" s="255"/>
      <c r="U285" s="192"/>
      <c r="V285" s="5"/>
    </row>
    <row r="286" spans="1:22" ht="15.6" x14ac:dyDescent="0.3">
      <c r="A286" s="254"/>
      <c r="B286" s="220" t="s">
        <v>323</v>
      </c>
      <c r="C286" s="220"/>
      <c r="D286" s="220"/>
      <c r="E286" s="220"/>
      <c r="F286" s="256" t="s">
        <v>274</v>
      </c>
      <c r="G286" s="220"/>
      <c r="H286" s="220" t="s">
        <v>275</v>
      </c>
      <c r="I286" s="255"/>
      <c r="J286" s="255"/>
      <c r="K286" s="255"/>
      <c r="L286" s="255"/>
      <c r="M286" s="255"/>
      <c r="N286" s="255"/>
      <c r="O286" s="255"/>
      <c r="P286" s="255"/>
      <c r="Q286" s="255"/>
      <c r="R286" s="255"/>
      <c r="S286" s="255"/>
      <c r="T286" s="255"/>
      <c r="U286" s="192"/>
      <c r="V286" s="5"/>
    </row>
    <row r="287" spans="1:22" ht="15.6" x14ac:dyDescent="0.3">
      <c r="A287" s="254"/>
      <c r="B287" s="220" t="s">
        <v>324</v>
      </c>
      <c r="C287" s="220"/>
      <c r="D287" s="220"/>
      <c r="E287" s="220"/>
      <c r="F287" s="256" t="s">
        <v>158</v>
      </c>
      <c r="G287" s="220"/>
      <c r="H287" s="220" t="s">
        <v>168</v>
      </c>
      <c r="I287" s="255"/>
      <c r="J287" s="255"/>
      <c r="K287" s="255"/>
      <c r="L287" s="255"/>
      <c r="M287" s="255"/>
      <c r="N287" s="255"/>
      <c r="O287" s="255"/>
      <c r="P287" s="255"/>
      <c r="Q287" s="255"/>
      <c r="R287" s="255"/>
      <c r="S287" s="255"/>
      <c r="T287" s="255"/>
      <c r="U287" s="192"/>
      <c r="V287" s="5"/>
    </row>
    <row r="288" spans="1:22" ht="15.6" x14ac:dyDescent="0.3">
      <c r="A288" s="254"/>
      <c r="B288" s="220"/>
      <c r="C288" s="220"/>
      <c r="D288" s="220"/>
      <c r="E288" s="220"/>
      <c r="F288" s="220"/>
      <c r="G288" s="257"/>
      <c r="H288" s="255"/>
      <c r="I288" s="255"/>
      <c r="J288" s="255"/>
      <c r="K288" s="255"/>
      <c r="L288" s="255"/>
      <c r="M288" s="255"/>
      <c r="N288" s="255"/>
      <c r="O288" s="255"/>
      <c r="P288" s="255"/>
      <c r="Q288" s="255"/>
      <c r="R288" s="255"/>
      <c r="S288" s="255"/>
      <c r="T288" s="255"/>
      <c r="U288" s="192"/>
      <c r="V288" s="5"/>
    </row>
    <row r="289" spans="1:22" ht="15.6" x14ac:dyDescent="0.3">
      <c r="A289" s="216"/>
      <c r="B289" s="185"/>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ht="18" thickBot="1" x14ac:dyDescent="0.35">
      <c r="A290" s="216"/>
      <c r="B290" s="267" t="str">
        <f>B195</f>
        <v>PM9 INVESTOR REPORT QUARTER ENDING JANUARY 2014</v>
      </c>
      <c r="C290" s="185"/>
      <c r="D290" s="185"/>
      <c r="E290" s="185"/>
      <c r="F290" s="185"/>
      <c r="G290" s="217"/>
      <c r="H290" s="192"/>
      <c r="I290" s="192"/>
      <c r="J290" s="192"/>
      <c r="K290" s="192"/>
      <c r="L290" s="192"/>
      <c r="M290" s="192"/>
      <c r="N290" s="192"/>
      <c r="O290" s="192"/>
      <c r="P290" s="192"/>
      <c r="Q290" s="192"/>
      <c r="R290" s="192"/>
      <c r="S290" s="192"/>
      <c r="T290" s="192"/>
      <c r="U290" s="192"/>
      <c r="V290" s="5"/>
    </row>
    <row r="291" spans="1:22" x14ac:dyDescent="0.25">
      <c r="A291" s="101"/>
      <c r="B291" s="101"/>
      <c r="C291" s="101"/>
      <c r="D291" s="101"/>
      <c r="E291" s="101"/>
      <c r="F291" s="101"/>
      <c r="G291" s="101"/>
      <c r="H291" s="101"/>
      <c r="I291" s="101"/>
      <c r="J291" s="101"/>
      <c r="K291" s="101"/>
      <c r="L291" s="101"/>
      <c r="M291" s="101"/>
      <c r="N291" s="101"/>
      <c r="O291" s="101"/>
      <c r="P291" s="101"/>
      <c r="Q291" s="101"/>
      <c r="R291" s="101"/>
      <c r="S291" s="101"/>
      <c r="T291" s="101"/>
      <c r="U291" s="101"/>
    </row>
  </sheetData>
  <hyperlinks>
    <hyperlink ref="J9" r:id="rId1" xr:uid="{00000000-0004-0000-2100-000000000000}"/>
    <hyperlink ref="N230" r:id="rId2" xr:uid="{00000000-0004-0000-21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1" man="1"/>
    <brk id="134" max="14" man="1"/>
    <brk id="195" max="14" man="1"/>
  </rowBreak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89CB31"/>
  </sheetPr>
  <dimension ref="A1:W291"/>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402"/>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0.72209999999999996</v>
      </c>
      <c r="R16" s="225" t="s">
        <v>149</v>
      </c>
      <c r="S16" s="224">
        <v>0.27789999999999998</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41781</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329</v>
      </c>
      <c r="E25" s="398"/>
      <c r="F25" s="398" t="s">
        <v>329</v>
      </c>
      <c r="G25" s="398"/>
      <c r="H25" s="398" t="s">
        <v>329</v>
      </c>
      <c r="I25" s="398"/>
      <c r="J25" s="398" t="s">
        <v>330</v>
      </c>
      <c r="K25" s="398"/>
      <c r="L25" s="398" t="s">
        <v>330</v>
      </c>
      <c r="M25" s="398"/>
      <c r="N25" s="398" t="s">
        <v>151</v>
      </c>
      <c r="O25" s="398"/>
      <c r="P25" s="398" t="s">
        <v>151</v>
      </c>
      <c r="Q25" s="398"/>
      <c r="R25" s="273"/>
      <c r="S25" s="274"/>
      <c r="T25" s="274"/>
      <c r="U25" s="275"/>
      <c r="V25" s="5"/>
    </row>
    <row r="26" spans="1:22" ht="15.6" x14ac:dyDescent="0.3">
      <c r="A26" s="276"/>
      <c r="B26" s="277" t="s">
        <v>10</v>
      </c>
      <c r="C26" s="398"/>
      <c r="D26" s="398" t="s">
        <v>153</v>
      </c>
      <c r="E26" s="398"/>
      <c r="F26" s="398" t="s">
        <v>153</v>
      </c>
      <c r="G26" s="398"/>
      <c r="H26" s="398" t="s">
        <v>153</v>
      </c>
      <c r="I26" s="398"/>
      <c r="J26" s="398" t="s">
        <v>153</v>
      </c>
      <c r="K26" s="398"/>
      <c r="L26" s="398" t="s">
        <v>153</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126916.1216</v>
      </c>
      <c r="E30" s="280"/>
      <c r="F30" s="282">
        <f>F29*F36</f>
        <v>130217.40800000001</v>
      </c>
      <c r="G30" s="281"/>
      <c r="H30" s="283">
        <f>H29*H36</f>
        <v>22008.486000000001</v>
      </c>
      <c r="I30" s="281"/>
      <c r="J30" s="281">
        <f>J29*J36</f>
        <v>5842.7376000000004</v>
      </c>
      <c r="K30" s="281"/>
      <c r="L30" s="282">
        <f>L29*L36</f>
        <v>24622.9656</v>
      </c>
      <c r="M30" s="281"/>
      <c r="N30" s="284">
        <f>N29*N36</f>
        <v>2504.0304000000001</v>
      </c>
      <c r="O30" s="281"/>
      <c r="P30" s="282">
        <f>P29*P36</f>
        <v>55088.668799999999</v>
      </c>
      <c r="Q30" s="281"/>
      <c r="R30" s="281"/>
      <c r="S30" s="285"/>
      <c r="T30" s="281"/>
      <c r="U30" s="286"/>
      <c r="V30" s="5"/>
    </row>
    <row r="31" spans="1:22" ht="15.6" x14ac:dyDescent="0.3">
      <c r="A31" s="276"/>
      <c r="B31" s="277" t="s">
        <v>143</v>
      </c>
      <c r="C31" s="287"/>
      <c r="D31" s="288">
        <f>D35*D29</f>
        <v>125346.18119999999</v>
      </c>
      <c r="E31" s="287"/>
      <c r="F31" s="289">
        <f>F35*F29</f>
        <v>128606.63099999999</v>
      </c>
      <c r="G31" s="288"/>
      <c r="H31" s="290">
        <f>H35*H29</f>
        <v>21736.241999999998</v>
      </c>
      <c r="I31" s="288"/>
      <c r="J31" s="288">
        <f>J35*J29</f>
        <v>5770.4639999999999</v>
      </c>
      <c r="K31" s="288"/>
      <c r="L31" s="289">
        <f>L35*L29</f>
        <v>24318.383999999998</v>
      </c>
      <c r="M31" s="288"/>
      <c r="N31" s="291">
        <f>N35*N29</f>
        <v>2473.056</v>
      </c>
      <c r="O31" s="288"/>
      <c r="P31" s="289">
        <f>P35*P29</f>
        <v>54407.231999999996</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126916.1216</v>
      </c>
      <c r="E33" s="280"/>
      <c r="F33" s="281">
        <f>F32*F36</f>
        <v>89684.94720000001</v>
      </c>
      <c r="G33" s="281"/>
      <c r="H33" s="281">
        <f>H32*H36</f>
        <v>12434.794590000001</v>
      </c>
      <c r="I33" s="281"/>
      <c r="J33" s="281">
        <f>J32*J36</f>
        <v>5842.7376000000004</v>
      </c>
      <c r="K33" s="281"/>
      <c r="L33" s="281">
        <f>L32*L36</f>
        <v>16943.939040000001</v>
      </c>
      <c r="M33" s="281"/>
      <c r="N33" s="281">
        <f>N32*N36</f>
        <v>2504.0304000000001</v>
      </c>
      <c r="O33" s="281"/>
      <c r="P33" s="281">
        <f>P32*P36</f>
        <v>37810.859040000003</v>
      </c>
      <c r="Q33" s="281"/>
      <c r="R33" s="281"/>
      <c r="S33" s="285"/>
      <c r="T33" s="281">
        <f>SUM(C33:P33)</f>
        <v>292137.42946999997</v>
      </c>
      <c r="U33" s="286"/>
      <c r="V33" s="5"/>
    </row>
    <row r="34" spans="1:22" ht="15.6" x14ac:dyDescent="0.3">
      <c r="A34" s="276"/>
      <c r="B34" s="277" t="s">
        <v>291</v>
      </c>
      <c r="C34" s="287"/>
      <c r="D34" s="288">
        <f>D35*D32</f>
        <v>125346.18119999999</v>
      </c>
      <c r="E34" s="287"/>
      <c r="F34" s="288">
        <f>F35*F32</f>
        <v>88575.552899999995</v>
      </c>
      <c r="G34" s="288"/>
      <c r="H34" s="288">
        <f>H35*H32</f>
        <v>12280.97673</v>
      </c>
      <c r="I34" s="288"/>
      <c r="J34" s="288">
        <f>J35*J32</f>
        <v>5770.4639999999999</v>
      </c>
      <c r="K34" s="288"/>
      <c r="L34" s="288">
        <f>L35*L32</f>
        <v>16734.345600000001</v>
      </c>
      <c r="M34" s="288"/>
      <c r="N34" s="288">
        <f>N35*N32</f>
        <v>2473.056</v>
      </c>
      <c r="O34" s="288"/>
      <c r="P34" s="288">
        <f>P35*P32</f>
        <v>37343.145599999996</v>
      </c>
      <c r="Q34" s="288"/>
      <c r="R34" s="288"/>
      <c r="S34" s="292"/>
      <c r="T34" s="288">
        <f>SUM(C34:P34)</f>
        <v>288523.72203</v>
      </c>
      <c r="U34" s="286"/>
      <c r="V34" s="5"/>
    </row>
    <row r="35" spans="1:22" ht="15.6" x14ac:dyDescent="0.3">
      <c r="A35" s="276"/>
      <c r="B35" s="293" t="s">
        <v>139</v>
      </c>
      <c r="C35" s="294"/>
      <c r="D35" s="295">
        <v>0.36227219999999999</v>
      </c>
      <c r="E35" s="296"/>
      <c r="F35" s="295">
        <v>0.36227219999999999</v>
      </c>
      <c r="G35" s="295"/>
      <c r="H35" s="295">
        <v>0.3622707</v>
      </c>
      <c r="I35" s="297"/>
      <c r="J35" s="295">
        <v>0.82435199999999997</v>
      </c>
      <c r="K35" s="297"/>
      <c r="L35" s="295">
        <v>0.82435199999999997</v>
      </c>
      <c r="M35" s="297"/>
      <c r="N35" s="295">
        <v>0.82435199999999997</v>
      </c>
      <c r="O35" s="297"/>
      <c r="P35" s="295">
        <v>0.82435199999999997</v>
      </c>
      <c r="Q35" s="298"/>
      <c r="R35" s="298"/>
      <c r="S35" s="299"/>
      <c r="T35" s="298"/>
      <c r="U35" s="300"/>
      <c r="V35" s="5"/>
    </row>
    <row r="36" spans="1:22" ht="15.6" x14ac:dyDescent="0.3">
      <c r="A36" s="276"/>
      <c r="B36" s="293" t="s">
        <v>140</v>
      </c>
      <c r="C36" s="294"/>
      <c r="D36" s="295">
        <v>0.36680960000000001</v>
      </c>
      <c r="E36" s="296"/>
      <c r="F36" s="295">
        <v>0.36680960000000001</v>
      </c>
      <c r="G36" s="295"/>
      <c r="H36" s="295">
        <v>0.36680810000000003</v>
      </c>
      <c r="I36" s="297"/>
      <c r="J36" s="295">
        <v>0.8346768</v>
      </c>
      <c r="K36" s="297"/>
      <c r="L36" s="295">
        <v>0.8346768</v>
      </c>
      <c r="M36" s="297"/>
      <c r="N36" s="295">
        <v>0.8346768</v>
      </c>
      <c r="O36" s="297"/>
      <c r="P36" s="295">
        <v>0.8346768</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8.8094000000000002E-3</v>
      </c>
      <c r="E38" s="272"/>
      <c r="F38" s="303">
        <v>6.4700000000000001E-3</v>
      </c>
      <c r="G38" s="304"/>
      <c r="H38" s="303">
        <v>5.9585000000000003E-3</v>
      </c>
      <c r="I38" s="304"/>
      <c r="J38" s="303">
        <v>1.1009400000000001E-2</v>
      </c>
      <c r="K38" s="304"/>
      <c r="L38" s="303">
        <v>8.6700000000000006E-3</v>
      </c>
      <c r="M38" s="304"/>
      <c r="N38" s="303">
        <v>1.5609400000000001E-2</v>
      </c>
      <c r="O38" s="304"/>
      <c r="P38" s="303">
        <v>1.3270000000000001E-2</v>
      </c>
      <c r="Q38" s="304"/>
      <c r="R38" s="303"/>
      <c r="S38" s="274"/>
      <c r="T38" s="304"/>
      <c r="U38" s="275"/>
      <c r="V38" s="5"/>
    </row>
    <row r="39" spans="1:22" ht="15.6" x14ac:dyDescent="0.3">
      <c r="A39" s="302"/>
      <c r="B39" s="272" t="s">
        <v>14</v>
      </c>
      <c r="C39" s="272"/>
      <c r="D39" s="303">
        <v>8.8406000000000005E-3</v>
      </c>
      <c r="E39" s="272"/>
      <c r="F39" s="303">
        <v>5.7800000000000004E-3</v>
      </c>
      <c r="G39" s="304"/>
      <c r="H39" s="303">
        <v>6.0060000000000001E-3</v>
      </c>
      <c r="I39" s="304"/>
      <c r="J39" s="303">
        <v>1.1040599999999999E-2</v>
      </c>
      <c r="K39" s="304"/>
      <c r="L39" s="303">
        <v>7.9799999999999992E-3</v>
      </c>
      <c r="M39" s="304"/>
      <c r="N39" s="303">
        <v>1.5640600000000001E-2</v>
      </c>
      <c r="O39" s="304"/>
      <c r="P39" s="303">
        <v>1.2579999999999999E-2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8.8094000000000002E-3</v>
      </c>
      <c r="E41" s="272"/>
      <c r="F41" s="303">
        <v>9.0094000000000007E-3</v>
      </c>
      <c r="G41" s="304"/>
      <c r="H41" s="303">
        <v>9.2694000000000006E-3</v>
      </c>
      <c r="I41" s="304"/>
      <c r="J41" s="303">
        <f>+J38</f>
        <v>1.1009400000000001E-2</v>
      </c>
      <c r="K41" s="304"/>
      <c r="L41" s="303">
        <v>1.1599399999999999E-2</v>
      </c>
      <c r="M41" s="304"/>
      <c r="N41" s="303">
        <f>+N38</f>
        <v>1.5609400000000001E-2</v>
      </c>
      <c r="O41" s="304"/>
      <c r="P41" s="303">
        <v>1.6489400000000001E-2</v>
      </c>
      <c r="Q41" s="304"/>
      <c r="R41" s="303"/>
      <c r="S41" s="274"/>
      <c r="T41" s="304">
        <f>SUMPRODUCT(D41:P41,D33:P33)/T33</f>
        <v>1.0148493769839491E-2</v>
      </c>
      <c r="U41" s="275"/>
      <c r="V41" s="5"/>
    </row>
    <row r="42" spans="1:22" ht="15.6" x14ac:dyDescent="0.3">
      <c r="A42" s="302"/>
      <c r="B42" s="272" t="s">
        <v>294</v>
      </c>
      <c r="C42" s="272"/>
      <c r="D42" s="303">
        <f>+D39</f>
        <v>8.8406000000000005E-3</v>
      </c>
      <c r="E42" s="272"/>
      <c r="F42" s="303">
        <v>9.0405999999999993E-3</v>
      </c>
      <c r="G42" s="304"/>
      <c r="H42" s="303">
        <v>9.3005999999999991E-3</v>
      </c>
      <c r="I42" s="304"/>
      <c r="J42" s="303">
        <f>+J39</f>
        <v>1.1040599999999999E-2</v>
      </c>
      <c r="K42" s="304"/>
      <c r="L42" s="303">
        <v>1.16306E-2</v>
      </c>
      <c r="M42" s="304"/>
      <c r="N42" s="303">
        <f>+N39</f>
        <v>1.5640600000000001E-2</v>
      </c>
      <c r="O42" s="304"/>
      <c r="P42" s="303">
        <v>1.65206E-2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0.275509568259934</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41774</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95</v>
      </c>
      <c r="Q54" s="272"/>
      <c r="R54" s="312">
        <v>41593</v>
      </c>
      <c r="S54" s="313"/>
      <c r="T54" s="312">
        <v>41687</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86</v>
      </c>
      <c r="Q55" s="272"/>
      <c r="R55" s="312">
        <v>41688</v>
      </c>
      <c r="S55" s="313"/>
      <c r="T55" s="312">
        <v>41773</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41760</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328</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292137</v>
      </c>
      <c r="M65" s="317"/>
      <c r="N65" s="317">
        <f>3613+38</f>
        <v>3651</v>
      </c>
      <c r="O65" s="317"/>
      <c r="P65" s="317">
        <v>38</v>
      </c>
      <c r="Q65" s="317"/>
      <c r="R65" s="317">
        <v>0</v>
      </c>
      <c r="S65" s="317"/>
      <c r="T65" s="318">
        <f>+L65-N65+P65-R65</f>
        <v>288524</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292137</v>
      </c>
      <c r="M68" s="317"/>
      <c r="N68" s="317">
        <f>SUM(N65:N67)</f>
        <v>3651</v>
      </c>
      <c r="O68" s="317"/>
      <c r="P68" s="317">
        <f>SUM(P65:P67)</f>
        <v>38</v>
      </c>
      <c r="Q68" s="317"/>
      <c r="R68" s="317">
        <f>SUM(R65:R67)</f>
        <v>0</v>
      </c>
      <c r="S68" s="317"/>
      <c r="T68" s="317">
        <f>SUM(T65:T67)</f>
        <v>288524</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292137</v>
      </c>
      <c r="M81" s="317"/>
      <c r="N81" s="317"/>
      <c r="O81" s="317"/>
      <c r="P81" s="317"/>
      <c r="Q81" s="317"/>
      <c r="R81" s="317"/>
      <c r="S81" s="317"/>
      <c r="T81" s="317">
        <f>SUM(T68:T80)</f>
        <v>288524</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41759</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3651+32</f>
        <v>3683</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1643+567-479-122</f>
        <v>1609</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85+63</f>
        <v>148</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19</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0</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3683</v>
      </c>
      <c r="S93" s="272"/>
      <c r="T93" s="317">
        <f>SUM(T85:T92)</f>
        <v>1776</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-48</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3683</v>
      </c>
      <c r="S97" s="272"/>
      <c r="T97" s="317">
        <f>T93+T95+T94+T96</f>
        <v>1728</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-109-90-4</f>
        <v>-203</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0</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-264</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-190</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-27</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-15</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-46</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-9</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-147</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-32</v>
      </c>
      <c r="S113" s="272"/>
      <c r="T113" s="318">
        <v>32</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-108</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-743</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-38</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-1570</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-1109</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-154</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-72</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-210</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-31</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-467</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-3651</v>
      </c>
      <c r="S130" s="317"/>
      <c r="T130" s="317">
        <f>SUM(T98:T128)</f>
        <v>-1728</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APRIL 2014</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400" t="s">
        <v>327</v>
      </c>
      <c r="C153" s="272"/>
      <c r="D153" s="272"/>
      <c r="E153" s="272"/>
      <c r="F153" s="272"/>
      <c r="G153" s="272"/>
      <c r="H153" s="272"/>
      <c r="I153" s="272"/>
      <c r="J153" s="272"/>
      <c r="K153" s="272"/>
      <c r="L153" s="272"/>
      <c r="M153" s="272"/>
      <c r="N153" s="272"/>
      <c r="O153" s="272"/>
      <c r="P153" s="272"/>
      <c r="Q153" s="272"/>
      <c r="R153" s="272"/>
      <c r="S153" s="272"/>
      <c r="T153" s="318">
        <v>0</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-32</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-32</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32</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f>-T96</f>
        <v>48</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288524</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288524</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+'Jan 14'!Q181</f>
        <v>47229</v>
      </c>
      <c r="R179" s="318">
        <f>+'Jan 14'!R181</f>
        <v>2435</v>
      </c>
      <c r="S179" s="272"/>
      <c r="T179" s="318">
        <f>Q179+R179</f>
        <v>49664</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38</v>
      </c>
      <c r="R180" s="317">
        <v>0</v>
      </c>
      <c r="S180" s="272"/>
      <c r="T180" s="318">
        <f>Q180+R180</f>
        <v>38</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47267</v>
      </c>
      <c r="R181" s="318">
        <f>R180+R179</f>
        <v>2435</v>
      </c>
      <c r="S181" s="272"/>
      <c r="T181" s="318">
        <f>Q181+R181</f>
        <v>49702</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62298</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3.1663201663201663</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1.61</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17.081967213114755</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8.8000000000000007</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6.2884615384615383</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3.96</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APRIL 2014</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41759</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2.2880000000000001E-2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1.0148493769839491E-2</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1.2731506230160511E-2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5.9150330153318479E-3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12.76</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1.249756107579663E-2</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0.1057</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0</v>
      </c>
      <c r="R214" s="248">
        <v>0</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61</v>
      </c>
      <c r="R215" s="360">
        <f>+R266</f>
        <v>7885</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-32</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'Jan 14'!R221+'April 14'!R220</f>
        <v>3261</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3</v>
      </c>
      <c r="R227" s="360">
        <v>296</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0</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2365</v>
      </c>
      <c r="Q233" s="388">
        <f t="shared" ref="Q233:Q240" si="2">P233/$P$242</f>
        <v>0.99286314021830391</v>
      </c>
      <c r="R233" s="318">
        <f t="shared" ref="R233:R240" si="3">+R245+R257+R269</f>
        <v>285688</v>
      </c>
      <c r="S233" s="388">
        <f t="shared" ref="S233:S240" si="4">R233/$R$242</f>
        <v>0.99017066171271717</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5</v>
      </c>
      <c r="Q234" s="388">
        <f t="shared" si="2"/>
        <v>2.0990764063811922E-3</v>
      </c>
      <c r="R234" s="318">
        <f t="shared" si="3"/>
        <v>723</v>
      </c>
      <c r="S234" s="388">
        <f t="shared" si="4"/>
        <v>2.5058573983446786E-3</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3</v>
      </c>
      <c r="Q235" s="388">
        <f t="shared" si="2"/>
        <v>1.2594458438287153E-3</v>
      </c>
      <c r="R235" s="318">
        <f t="shared" si="3"/>
        <v>342</v>
      </c>
      <c r="S235" s="388">
        <f t="shared" si="4"/>
        <v>1.1853433336568189E-3</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1</v>
      </c>
      <c r="Q238" s="388">
        <f t="shared" si="2"/>
        <v>4.1981528127623844E-4</v>
      </c>
      <c r="R238" s="318">
        <f t="shared" si="3"/>
        <v>121</v>
      </c>
      <c r="S238" s="388">
        <f t="shared" si="4"/>
        <v>4.1937585781425462E-4</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0</v>
      </c>
      <c r="Q239" s="388">
        <f t="shared" si="2"/>
        <v>0</v>
      </c>
      <c r="R239" s="318">
        <f t="shared" si="3"/>
        <v>0</v>
      </c>
      <c r="S239" s="388">
        <f t="shared" si="4"/>
        <v>0</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8</v>
      </c>
      <c r="Q240" s="388">
        <f t="shared" si="2"/>
        <v>3.3585222502099076E-3</v>
      </c>
      <c r="R240" s="318">
        <f t="shared" si="3"/>
        <v>1650</v>
      </c>
      <c r="S240" s="388">
        <f t="shared" si="4"/>
        <v>5.7187616974671085E-3</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2382</v>
      </c>
      <c r="Q242" s="388">
        <f>SUM(Q233:Q241)</f>
        <v>1</v>
      </c>
      <c r="R242" s="318">
        <f>SUM(R233:R241)</f>
        <v>288524</v>
      </c>
      <c r="S242" s="388">
        <f>SUM(S233:S241)</f>
        <v>1</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2316</v>
      </c>
      <c r="Q245" s="250">
        <f t="shared" ref="Q245:Q252" si="5">P245/$P$254</f>
        <v>0.99784575613959503</v>
      </c>
      <c r="R245" s="242">
        <v>279916</v>
      </c>
      <c r="S245" s="250">
        <f t="shared" ref="S245:S252" si="6">R245/$R$254</f>
        <v>0.9974237365441011</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5</v>
      </c>
      <c r="Q246" s="388">
        <f t="shared" si="5"/>
        <v>2.1542438604049978E-3</v>
      </c>
      <c r="R246" s="318">
        <v>723</v>
      </c>
      <c r="S246" s="388">
        <f t="shared" si="6"/>
        <v>2.5762634558988595E-3</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2321</v>
      </c>
      <c r="Q254" s="388">
        <f>SUM(Q245:Q253)</f>
        <v>1</v>
      </c>
      <c r="R254" s="318">
        <f>SUM(R245:R253)</f>
        <v>280639</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49</v>
      </c>
      <c r="Q257" s="250">
        <f t="shared" ref="Q257:Q264" si="7">P257/$P$266</f>
        <v>0.80327868852459017</v>
      </c>
      <c r="R257" s="242">
        <v>5772</v>
      </c>
      <c r="S257" s="250">
        <f t="shared" ref="S257:S264" si="8">R257/$R$266</f>
        <v>0.73202282815472419</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0</v>
      </c>
      <c r="Q258" s="388">
        <f t="shared" si="7"/>
        <v>0</v>
      </c>
      <c r="R258" s="318">
        <v>0</v>
      </c>
      <c r="S258" s="388">
        <f t="shared" si="8"/>
        <v>0</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3</v>
      </c>
      <c r="Q259" s="388">
        <f t="shared" si="7"/>
        <v>4.9180327868852458E-2</v>
      </c>
      <c r="R259" s="318">
        <v>342</v>
      </c>
      <c r="S259" s="388">
        <f t="shared" si="8"/>
        <v>4.3373493975903614E-2</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1</v>
      </c>
      <c r="Q262" s="388">
        <f t="shared" si="7"/>
        <v>1.6393442622950821E-2</v>
      </c>
      <c r="R262" s="318">
        <v>121</v>
      </c>
      <c r="S262" s="388">
        <f t="shared" si="8"/>
        <v>1.5345592897907418E-2</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0</v>
      </c>
      <c r="Q263" s="388">
        <f t="shared" si="7"/>
        <v>0</v>
      </c>
      <c r="R263" s="318">
        <v>0</v>
      </c>
      <c r="S263" s="388">
        <f t="shared" si="8"/>
        <v>0</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8</v>
      </c>
      <c r="Q264" s="388">
        <f t="shared" si="7"/>
        <v>0.13114754098360656</v>
      </c>
      <c r="R264" s="318">
        <v>1650</v>
      </c>
      <c r="S264" s="388">
        <f t="shared" si="8"/>
        <v>0.20925808497146481</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61</v>
      </c>
      <c r="Q266" s="388">
        <f>SUM(Q257:Q265)</f>
        <v>1</v>
      </c>
      <c r="R266" s="318">
        <f>SUM(R257:R265)</f>
        <v>7885</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2382</v>
      </c>
      <c r="Q280" s="388"/>
      <c r="R280" s="396">
        <f>+R278+R266+R254</f>
        <v>288524</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322</v>
      </c>
      <c r="C285" s="220"/>
      <c r="D285" s="220"/>
      <c r="E285" s="220"/>
      <c r="F285" s="256" t="s">
        <v>159</v>
      </c>
      <c r="G285" s="220"/>
      <c r="H285" s="220" t="s">
        <v>167</v>
      </c>
      <c r="I285" s="255"/>
      <c r="J285" s="255"/>
      <c r="K285" s="255"/>
      <c r="L285" s="255"/>
      <c r="M285" s="255"/>
      <c r="N285" s="255"/>
      <c r="O285" s="255"/>
      <c r="P285" s="255"/>
      <c r="Q285" s="255"/>
      <c r="R285" s="255"/>
      <c r="S285" s="255"/>
      <c r="T285" s="255"/>
      <c r="U285" s="192"/>
      <c r="V285" s="5"/>
    </row>
    <row r="286" spans="1:22" ht="15.6" x14ac:dyDescent="0.3">
      <c r="A286" s="254"/>
      <c r="B286" s="220" t="s">
        <v>323</v>
      </c>
      <c r="C286" s="220"/>
      <c r="D286" s="220"/>
      <c r="E286" s="220"/>
      <c r="F286" s="256" t="s">
        <v>274</v>
      </c>
      <c r="G286" s="220"/>
      <c r="H286" s="220" t="s">
        <v>275</v>
      </c>
      <c r="I286" s="255"/>
      <c r="J286" s="255"/>
      <c r="K286" s="255"/>
      <c r="L286" s="255"/>
      <c r="M286" s="255"/>
      <c r="N286" s="255"/>
      <c r="O286" s="255"/>
      <c r="P286" s="255"/>
      <c r="Q286" s="255"/>
      <c r="R286" s="255"/>
      <c r="S286" s="255"/>
      <c r="T286" s="255"/>
      <c r="U286" s="192"/>
      <c r="V286" s="5"/>
    </row>
    <row r="287" spans="1:22" ht="15.6" x14ac:dyDescent="0.3">
      <c r="A287" s="254"/>
      <c r="B287" s="220" t="s">
        <v>324</v>
      </c>
      <c r="C287" s="220"/>
      <c r="D287" s="220"/>
      <c r="E287" s="220"/>
      <c r="F287" s="256" t="s">
        <v>158</v>
      </c>
      <c r="G287" s="220"/>
      <c r="H287" s="220" t="s">
        <v>168</v>
      </c>
      <c r="I287" s="255"/>
      <c r="J287" s="255"/>
      <c r="K287" s="255"/>
      <c r="L287" s="255"/>
      <c r="M287" s="255"/>
      <c r="N287" s="255"/>
      <c r="O287" s="255"/>
      <c r="P287" s="255"/>
      <c r="Q287" s="255"/>
      <c r="R287" s="255"/>
      <c r="S287" s="255"/>
      <c r="T287" s="255"/>
      <c r="U287" s="192"/>
      <c r="V287" s="5"/>
    </row>
    <row r="288" spans="1:22" ht="15.6" x14ac:dyDescent="0.3">
      <c r="A288" s="254"/>
      <c r="B288" s="220"/>
      <c r="C288" s="220"/>
      <c r="D288" s="220"/>
      <c r="E288" s="220"/>
      <c r="F288" s="220"/>
      <c r="G288" s="257"/>
      <c r="H288" s="255"/>
      <c r="I288" s="255"/>
      <c r="J288" s="255"/>
      <c r="K288" s="255"/>
      <c r="L288" s="255"/>
      <c r="M288" s="255"/>
      <c r="N288" s="255"/>
      <c r="O288" s="255"/>
      <c r="P288" s="255"/>
      <c r="Q288" s="255"/>
      <c r="R288" s="255"/>
      <c r="S288" s="255"/>
      <c r="T288" s="255"/>
      <c r="U288" s="192"/>
      <c r="V288" s="5"/>
    </row>
    <row r="289" spans="1:22" ht="15.6" x14ac:dyDescent="0.3">
      <c r="A289" s="216"/>
      <c r="B289" s="185"/>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ht="18" thickBot="1" x14ac:dyDescent="0.35">
      <c r="A290" s="216"/>
      <c r="B290" s="267" t="str">
        <f>B195</f>
        <v>PM9 INVESTOR REPORT QUARTER ENDING APRIL 2014</v>
      </c>
      <c r="C290" s="185"/>
      <c r="D290" s="185"/>
      <c r="E290" s="185"/>
      <c r="F290" s="185"/>
      <c r="G290" s="217"/>
      <c r="H290" s="192"/>
      <c r="I290" s="192"/>
      <c r="J290" s="192"/>
      <c r="K290" s="192"/>
      <c r="L290" s="192"/>
      <c r="M290" s="192"/>
      <c r="N290" s="192"/>
      <c r="O290" s="192"/>
      <c r="P290" s="192"/>
      <c r="Q290" s="192"/>
      <c r="R290" s="192"/>
      <c r="S290" s="192"/>
      <c r="T290" s="192"/>
      <c r="U290" s="192"/>
      <c r="V290" s="5"/>
    </row>
    <row r="291" spans="1:22" x14ac:dyDescent="0.25">
      <c r="A291" s="101"/>
      <c r="B291" s="101"/>
      <c r="C291" s="101"/>
      <c r="D291" s="101"/>
      <c r="E291" s="101"/>
      <c r="F291" s="101"/>
      <c r="G291" s="101"/>
      <c r="H291" s="101"/>
      <c r="I291" s="101"/>
      <c r="J291" s="101"/>
      <c r="K291" s="101"/>
      <c r="L291" s="101"/>
      <c r="M291" s="101"/>
      <c r="N291" s="101"/>
      <c r="O291" s="101"/>
      <c r="P291" s="101"/>
      <c r="Q291" s="101"/>
      <c r="R291" s="101"/>
      <c r="S291" s="101"/>
      <c r="T291" s="101"/>
      <c r="U291" s="101"/>
    </row>
  </sheetData>
  <hyperlinks>
    <hyperlink ref="J9" r:id="rId1" xr:uid="{00000000-0004-0000-2200-000000000000}"/>
    <hyperlink ref="N230" r:id="rId2" xr:uid="{00000000-0004-0000-22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1" man="1"/>
    <brk id="134" max="14" man="1"/>
    <brk id="195" max="14" man="1"/>
  </rowBreaks>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2D2926"/>
  </sheetPr>
  <dimension ref="A1:W291"/>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0.72119999999999995</v>
      </c>
      <c r="R16" s="225" t="s">
        <v>149</v>
      </c>
      <c r="S16" s="224">
        <v>0.27879999999999999</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41871</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329</v>
      </c>
      <c r="E25" s="398"/>
      <c r="F25" s="398" t="s">
        <v>329</v>
      </c>
      <c r="G25" s="398"/>
      <c r="H25" s="398" t="s">
        <v>329</v>
      </c>
      <c r="I25" s="398"/>
      <c r="J25" s="398" t="s">
        <v>330</v>
      </c>
      <c r="K25" s="398"/>
      <c r="L25" s="398" t="s">
        <v>330</v>
      </c>
      <c r="M25" s="398"/>
      <c r="N25" s="398" t="s">
        <v>151</v>
      </c>
      <c r="O25" s="398"/>
      <c r="P25" s="398" t="s">
        <v>151</v>
      </c>
      <c r="Q25" s="398"/>
      <c r="R25" s="273"/>
      <c r="S25" s="274"/>
      <c r="T25" s="274"/>
      <c r="U25" s="275"/>
      <c r="V25" s="5"/>
    </row>
    <row r="26" spans="1:22" ht="15.6" x14ac:dyDescent="0.3">
      <c r="A26" s="276"/>
      <c r="B26" s="277" t="s">
        <v>10</v>
      </c>
      <c r="C26" s="398"/>
      <c r="D26" s="398" t="s">
        <v>153</v>
      </c>
      <c r="E26" s="398"/>
      <c r="F26" s="398" t="s">
        <v>153</v>
      </c>
      <c r="G26" s="398"/>
      <c r="H26" s="398" t="s">
        <v>153</v>
      </c>
      <c r="I26" s="398"/>
      <c r="J26" s="398" t="s">
        <v>153</v>
      </c>
      <c r="K26" s="398"/>
      <c r="L26" s="398" t="s">
        <v>153</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125346.18119999999</v>
      </c>
      <c r="E30" s="280"/>
      <c r="F30" s="282">
        <f>F29*F36</f>
        <v>128606.63099999999</v>
      </c>
      <c r="G30" s="281"/>
      <c r="H30" s="283">
        <f>H29*H36</f>
        <v>21736.241999999998</v>
      </c>
      <c r="I30" s="281"/>
      <c r="J30" s="281">
        <f>J29*J36</f>
        <v>5770.4639999999999</v>
      </c>
      <c r="K30" s="281"/>
      <c r="L30" s="282">
        <f>L29*L36</f>
        <v>24318.383999999998</v>
      </c>
      <c r="M30" s="281"/>
      <c r="N30" s="284">
        <f>N29*N36</f>
        <v>2473.056</v>
      </c>
      <c r="O30" s="281"/>
      <c r="P30" s="282">
        <f>P29*P36</f>
        <v>54407.231999999996</v>
      </c>
      <c r="Q30" s="281"/>
      <c r="R30" s="281"/>
      <c r="S30" s="285"/>
      <c r="T30" s="281"/>
      <c r="U30" s="286"/>
      <c r="V30" s="5"/>
    </row>
    <row r="31" spans="1:22" ht="15.6" x14ac:dyDescent="0.3">
      <c r="A31" s="276"/>
      <c r="B31" s="277" t="s">
        <v>143</v>
      </c>
      <c r="C31" s="287"/>
      <c r="D31" s="288">
        <f>D35*D29</f>
        <v>124020.4476</v>
      </c>
      <c r="E31" s="287"/>
      <c r="F31" s="289">
        <f>F35*F29</f>
        <v>127246.413</v>
      </c>
      <c r="G31" s="288"/>
      <c r="H31" s="290">
        <f>H35*H29</f>
        <v>21506.34</v>
      </c>
      <c r="I31" s="288"/>
      <c r="J31" s="288">
        <f>J35*J29</f>
        <v>5709.4296000000004</v>
      </c>
      <c r="K31" s="288"/>
      <c r="L31" s="289">
        <f>L35*L29</f>
        <v>24061.167600000001</v>
      </c>
      <c r="M31" s="288"/>
      <c r="N31" s="291">
        <f>N35*N29</f>
        <v>2446.8984</v>
      </c>
      <c r="O31" s="288"/>
      <c r="P31" s="289">
        <f>P35*P29</f>
        <v>53831.764800000004</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125346.18119999999</v>
      </c>
      <c r="E33" s="280"/>
      <c r="F33" s="281">
        <f>F32*F36</f>
        <v>88575.552899999995</v>
      </c>
      <c r="G33" s="281"/>
      <c r="H33" s="281">
        <f>H32*H36</f>
        <v>12280.97673</v>
      </c>
      <c r="I33" s="281"/>
      <c r="J33" s="281">
        <f>J32*J36</f>
        <v>5770.4639999999999</v>
      </c>
      <c r="K33" s="281"/>
      <c r="L33" s="281">
        <f>L32*L36</f>
        <v>16734.345600000001</v>
      </c>
      <c r="M33" s="281"/>
      <c r="N33" s="281">
        <f>N32*N36</f>
        <v>2473.056</v>
      </c>
      <c r="O33" s="281"/>
      <c r="P33" s="281">
        <f>P32*P36</f>
        <v>37343.145599999996</v>
      </c>
      <c r="Q33" s="281"/>
      <c r="R33" s="281"/>
      <c r="S33" s="285"/>
      <c r="T33" s="281">
        <f>SUM(C33:P33)</f>
        <v>288523.72203</v>
      </c>
      <c r="U33" s="286"/>
      <c r="V33" s="5"/>
    </row>
    <row r="34" spans="1:22" ht="15.6" x14ac:dyDescent="0.3">
      <c r="A34" s="276"/>
      <c r="B34" s="277" t="s">
        <v>291</v>
      </c>
      <c r="C34" s="287"/>
      <c r="D34" s="288">
        <f>D35*D32</f>
        <v>124020.4476</v>
      </c>
      <c r="E34" s="287"/>
      <c r="F34" s="288">
        <f>F35*F32</f>
        <v>87638.726699999999</v>
      </c>
      <c r="G34" s="288"/>
      <c r="H34" s="288">
        <f>H35*H32</f>
        <v>12151.0821</v>
      </c>
      <c r="I34" s="288"/>
      <c r="J34" s="288">
        <f>J35*J32</f>
        <v>5709.4296000000004</v>
      </c>
      <c r="K34" s="288"/>
      <c r="L34" s="288">
        <f>L35*L32</f>
        <v>16557.345840000002</v>
      </c>
      <c r="M34" s="288"/>
      <c r="N34" s="288">
        <f>N35*N32</f>
        <v>2446.8984</v>
      </c>
      <c r="O34" s="288"/>
      <c r="P34" s="288">
        <f>P35*P32</f>
        <v>36948.165840000001</v>
      </c>
      <c r="Q34" s="288"/>
      <c r="R34" s="288"/>
      <c r="S34" s="292"/>
      <c r="T34" s="288">
        <f>SUM(C34:P34)</f>
        <v>285472.09608000005</v>
      </c>
      <c r="U34" s="286"/>
      <c r="V34" s="5"/>
    </row>
    <row r="35" spans="1:22" ht="15.6" x14ac:dyDescent="0.3">
      <c r="A35" s="276"/>
      <c r="B35" s="293" t="s">
        <v>139</v>
      </c>
      <c r="C35" s="294"/>
      <c r="D35" s="295">
        <v>0.3584406</v>
      </c>
      <c r="E35" s="296"/>
      <c r="F35" s="295">
        <v>0.3584406</v>
      </c>
      <c r="G35" s="295"/>
      <c r="H35" s="295">
        <v>0.35843900000000001</v>
      </c>
      <c r="I35" s="297"/>
      <c r="J35" s="295">
        <v>0.81563280000000005</v>
      </c>
      <c r="K35" s="297"/>
      <c r="L35" s="295">
        <v>0.81563280000000005</v>
      </c>
      <c r="M35" s="297"/>
      <c r="N35" s="295">
        <v>0.81563280000000005</v>
      </c>
      <c r="O35" s="297"/>
      <c r="P35" s="295">
        <v>0.81563280000000005</v>
      </c>
      <c r="Q35" s="298"/>
      <c r="R35" s="298"/>
      <c r="S35" s="299"/>
      <c r="T35" s="298"/>
      <c r="U35" s="300"/>
      <c r="V35" s="5"/>
    </row>
    <row r="36" spans="1:22" ht="15.6" x14ac:dyDescent="0.3">
      <c r="A36" s="276"/>
      <c r="B36" s="293" t="s">
        <v>140</v>
      </c>
      <c r="C36" s="294"/>
      <c r="D36" s="295">
        <v>0.36227219999999999</v>
      </c>
      <c r="E36" s="296"/>
      <c r="F36" s="295">
        <v>0.36227219999999999</v>
      </c>
      <c r="G36" s="295"/>
      <c r="H36" s="295">
        <v>0.3622707</v>
      </c>
      <c r="I36" s="297"/>
      <c r="J36" s="295">
        <v>0.82435199999999997</v>
      </c>
      <c r="K36" s="297"/>
      <c r="L36" s="295">
        <v>0.82435199999999997</v>
      </c>
      <c r="M36" s="297"/>
      <c r="N36" s="295">
        <v>0.82435199999999997</v>
      </c>
      <c r="O36" s="297"/>
      <c r="P36" s="295">
        <v>0.82435199999999997</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8.8506000000000001E-3</v>
      </c>
      <c r="E38" s="272"/>
      <c r="F38" s="303">
        <v>6.9499999999999996E-3</v>
      </c>
      <c r="G38" s="304"/>
      <c r="H38" s="303">
        <v>5.8384999999999999E-3</v>
      </c>
      <c r="I38" s="304"/>
      <c r="J38" s="303">
        <v>1.1050600000000001E-2</v>
      </c>
      <c r="K38" s="304"/>
      <c r="L38" s="303">
        <v>9.1500000000000001E-3</v>
      </c>
      <c r="M38" s="304"/>
      <c r="N38" s="303">
        <v>1.5650600000000001E-2</v>
      </c>
      <c r="O38" s="304"/>
      <c r="P38" s="303">
        <v>1.375E-2</v>
      </c>
      <c r="Q38" s="304"/>
      <c r="R38" s="303"/>
      <c r="S38" s="274"/>
      <c r="T38" s="304"/>
      <c r="U38" s="275"/>
      <c r="V38" s="5"/>
    </row>
    <row r="39" spans="1:22" ht="15.6" x14ac:dyDescent="0.3">
      <c r="A39" s="302"/>
      <c r="B39" s="272" t="s">
        <v>14</v>
      </c>
      <c r="C39" s="272"/>
      <c r="D39" s="303">
        <v>8.8094000000000002E-3</v>
      </c>
      <c r="E39" s="272"/>
      <c r="F39" s="303">
        <v>6.4700000000000001E-3</v>
      </c>
      <c r="G39" s="304"/>
      <c r="H39" s="303">
        <v>5.9585000000000003E-3</v>
      </c>
      <c r="I39" s="304"/>
      <c r="J39" s="303">
        <v>1.1009400000000001E-2</v>
      </c>
      <c r="K39" s="304"/>
      <c r="L39" s="303">
        <v>8.6700000000000006E-3</v>
      </c>
      <c r="M39" s="304"/>
      <c r="N39" s="303">
        <v>1.5609400000000001E-2</v>
      </c>
      <c r="O39" s="304"/>
      <c r="P39" s="303">
        <v>1.3270000000000001E-2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8.8506000000000001E-3</v>
      </c>
      <c r="E41" s="272"/>
      <c r="F41" s="303">
        <v>9.0506000000000007E-3</v>
      </c>
      <c r="G41" s="304"/>
      <c r="H41" s="303">
        <v>9.3106000000000005E-3</v>
      </c>
      <c r="I41" s="304"/>
      <c r="J41" s="303">
        <f>+J38</f>
        <v>1.1050600000000001E-2</v>
      </c>
      <c r="K41" s="304"/>
      <c r="L41" s="303">
        <v>1.1640599999999999E-2</v>
      </c>
      <c r="M41" s="304"/>
      <c r="N41" s="303">
        <f>+N38</f>
        <v>1.5650600000000001E-2</v>
      </c>
      <c r="O41" s="304"/>
      <c r="P41" s="303">
        <v>1.6530599999999999E-2</v>
      </c>
      <c r="Q41" s="304"/>
      <c r="R41" s="303"/>
      <c r="S41" s="274"/>
      <c r="T41" s="304">
        <f>SUMPRODUCT(D41:P41,D33:P33)/T33</f>
        <v>1.0189693857480553E-2</v>
      </c>
      <c r="U41" s="275"/>
      <c r="V41" s="5"/>
    </row>
    <row r="42" spans="1:22" ht="15.6" x14ac:dyDescent="0.3">
      <c r="A42" s="302"/>
      <c r="B42" s="272" t="s">
        <v>294</v>
      </c>
      <c r="C42" s="272"/>
      <c r="D42" s="303">
        <f>+D39</f>
        <v>8.8094000000000002E-3</v>
      </c>
      <c r="E42" s="272"/>
      <c r="F42" s="303">
        <v>9.0094000000000007E-3</v>
      </c>
      <c r="G42" s="304"/>
      <c r="H42" s="303">
        <v>9.2694000000000006E-3</v>
      </c>
      <c r="I42" s="304"/>
      <c r="J42" s="303">
        <f>+J39</f>
        <v>1.1009400000000001E-2</v>
      </c>
      <c r="K42" s="304"/>
      <c r="L42" s="303">
        <v>1.1599399999999999E-2</v>
      </c>
      <c r="M42" s="304"/>
      <c r="N42" s="303">
        <f>+N39</f>
        <v>1.5609400000000001E-2</v>
      </c>
      <c r="O42" s="304"/>
      <c r="P42" s="303">
        <v>1.6489400000000001E-2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0.27550944568776253</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41866</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86</v>
      </c>
      <c r="Q54" s="272"/>
      <c r="R54" s="312">
        <v>41688</v>
      </c>
      <c r="S54" s="313"/>
      <c r="T54" s="312">
        <v>41773</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92</v>
      </c>
      <c r="Q55" s="272"/>
      <c r="R55" s="312">
        <v>41774</v>
      </c>
      <c r="S55" s="313"/>
      <c r="T55" s="312">
        <v>41865</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41852</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331</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288524</v>
      </c>
      <c r="M65" s="317"/>
      <c r="N65" s="317">
        <v>3052</v>
      </c>
      <c r="O65" s="317"/>
      <c r="P65" s="317">
        <v>0</v>
      </c>
      <c r="Q65" s="317"/>
      <c r="R65" s="317">
        <v>0</v>
      </c>
      <c r="S65" s="317"/>
      <c r="T65" s="318">
        <f>+L65-N65+P65-R65</f>
        <v>285472</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288524</v>
      </c>
      <c r="M68" s="317"/>
      <c r="N68" s="317">
        <f>SUM(N65:N67)</f>
        <v>3052</v>
      </c>
      <c r="O68" s="317"/>
      <c r="P68" s="317">
        <f>SUM(P65:P67)</f>
        <v>0</v>
      </c>
      <c r="Q68" s="317"/>
      <c r="R68" s="317">
        <f>SUM(R65:R67)</f>
        <v>0</v>
      </c>
      <c r="S68" s="317"/>
      <c r="T68" s="317">
        <f>SUM(T65:T67)</f>
        <v>285472</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288524</v>
      </c>
      <c r="M81" s="317"/>
      <c r="N81" s="317"/>
      <c r="O81" s="317"/>
      <c r="P81" s="317"/>
      <c r="Q81" s="317"/>
      <c r="R81" s="317"/>
      <c r="S81" s="317"/>
      <c r="T81" s="317">
        <f>SUM(T68:T80)</f>
        <v>285472</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41851</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3052-277</f>
        <v>2775</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1582+692-456-219</f>
        <v>1599</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207+3</f>
        <v>210</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17</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0</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2775</v>
      </c>
      <c r="S93" s="272"/>
      <c r="T93" s="317">
        <f>SUM(T85:T92)</f>
        <v>1826</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151</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2775</v>
      </c>
      <c r="S97" s="272"/>
      <c r="T97" s="317">
        <f>T93+T95+T94+T96</f>
        <v>1977</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-111-65-4</f>
        <v>-180</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0</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-280</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-202</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-29</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-16</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-49</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-10</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-155</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277</v>
      </c>
      <c r="S113" s="272"/>
      <c r="T113" s="318">
        <v>-277</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-111</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-660</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0</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-1326</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-937</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-130</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-61</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-177</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-26</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-395</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-3052</v>
      </c>
      <c r="S130" s="317"/>
      <c r="T130" s="317">
        <f>SUM(T98:T128)</f>
        <v>-1977</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JULY 2014</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400" t="s">
        <v>327</v>
      </c>
      <c r="C153" s="272"/>
      <c r="D153" s="272"/>
      <c r="E153" s="272"/>
      <c r="F153" s="272"/>
      <c r="G153" s="272"/>
      <c r="H153" s="272"/>
      <c r="I153" s="272"/>
      <c r="J153" s="272"/>
      <c r="K153" s="272"/>
      <c r="L153" s="272"/>
      <c r="M153" s="272"/>
      <c r="N153" s="272"/>
      <c r="O153" s="272"/>
      <c r="P153" s="272"/>
      <c r="Q153" s="272"/>
      <c r="R153" s="272"/>
      <c r="S153" s="272"/>
      <c r="T153" s="318">
        <v>0</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277</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277</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-277</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v>0</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285472</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285472</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+'April 14'!Q181</f>
        <v>47267</v>
      </c>
      <c r="R179" s="318">
        <f>+'April 14'!R181</f>
        <v>2435</v>
      </c>
      <c r="S179" s="272"/>
      <c r="T179" s="318">
        <f>Q179+R179</f>
        <v>49702</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0</v>
      </c>
      <c r="R180" s="317">
        <v>0</v>
      </c>
      <c r="S180" s="272"/>
      <c r="T180" s="318">
        <f>Q180+R180</f>
        <v>0</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47267</v>
      </c>
      <c r="R181" s="318">
        <f>R180+R179</f>
        <v>2435</v>
      </c>
      <c r="S181" s="272"/>
      <c r="T181" s="318">
        <f>Q181+R181</f>
        <v>49702</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62298</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3.5127201565557731</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1.62</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19.753846153846155</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8.89</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7.3878787878787877</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4</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JULY 2014</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41851</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2.29E-2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1.0189693857480553E-2</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1.2710306142519447E-2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6.8521162884196806E-3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12.52</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1.057797618222401E-2</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0.10390000000000001</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0</v>
      </c>
      <c r="R214" s="248">
        <v>0</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57</v>
      </c>
      <c r="R215" s="360">
        <f>+R266</f>
        <v>7284</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277</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'April 14'!R221+'July 14'!R220</f>
        <v>3538</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5</v>
      </c>
      <c r="R227" s="360">
        <v>810</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12.93</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2340</v>
      </c>
      <c r="Q233" s="388">
        <f t="shared" ref="Q233:Q240" si="2">P233/$P$242</f>
        <v>0.99363057324840764</v>
      </c>
      <c r="R233" s="318">
        <f t="shared" ref="R233:R240" si="3">+R245+R257+R269</f>
        <v>283404</v>
      </c>
      <c r="S233" s="388">
        <f t="shared" ref="S233:S240" si="4">R233/$R$242</f>
        <v>0.99275585696670776</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3</v>
      </c>
      <c r="Q234" s="388">
        <f t="shared" si="2"/>
        <v>1.2738853503184713E-3</v>
      </c>
      <c r="R234" s="318">
        <f t="shared" si="3"/>
        <v>175</v>
      </c>
      <c r="S234" s="388">
        <f t="shared" si="4"/>
        <v>6.1301984082501966E-4</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1</v>
      </c>
      <c r="Q235" s="388">
        <f t="shared" si="2"/>
        <v>4.2462845010615713E-4</v>
      </c>
      <c r="R235" s="318">
        <f t="shared" si="3"/>
        <v>43</v>
      </c>
      <c r="S235" s="388">
        <f t="shared" si="4"/>
        <v>1.5062773231700483E-4</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1</v>
      </c>
      <c r="Q236" s="388">
        <f t="shared" si="2"/>
        <v>4.2462845010615713E-4</v>
      </c>
      <c r="R236" s="318">
        <f t="shared" si="3"/>
        <v>170</v>
      </c>
      <c r="S236" s="388">
        <f t="shared" si="4"/>
        <v>5.9550498823001904E-4</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2</v>
      </c>
      <c r="Q237" s="388">
        <f t="shared" si="2"/>
        <v>8.4925690021231425E-4</v>
      </c>
      <c r="R237" s="318">
        <f t="shared" si="3"/>
        <v>330</v>
      </c>
      <c r="S237" s="388">
        <f t="shared" si="4"/>
        <v>1.1559802712700371E-3</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1</v>
      </c>
      <c r="Q238" s="388">
        <f t="shared" si="2"/>
        <v>4.2462845010615713E-4</v>
      </c>
      <c r="R238" s="318">
        <f t="shared" si="3"/>
        <v>51</v>
      </c>
      <c r="S238" s="388">
        <f t="shared" si="4"/>
        <v>1.7865149646900571E-4</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1</v>
      </c>
      <c r="Q239" s="388">
        <f t="shared" si="2"/>
        <v>4.2462845010615713E-4</v>
      </c>
      <c r="R239" s="318">
        <f t="shared" si="3"/>
        <v>216</v>
      </c>
      <c r="S239" s="388">
        <f t="shared" si="4"/>
        <v>7.5664163210402424E-4</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6</v>
      </c>
      <c r="Q240" s="388">
        <f t="shared" si="2"/>
        <v>2.5477707006369425E-3</v>
      </c>
      <c r="R240" s="318">
        <f t="shared" si="3"/>
        <v>1083</v>
      </c>
      <c r="S240" s="388">
        <f t="shared" si="4"/>
        <v>3.7937170720771215E-3</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2355</v>
      </c>
      <c r="Q242" s="388">
        <f>SUM(Q233:Q241)</f>
        <v>1</v>
      </c>
      <c r="R242" s="318">
        <f>SUM(R233:R241)</f>
        <v>285472</v>
      </c>
      <c r="S242" s="388">
        <f>SUM(S233:S241)</f>
        <v>1</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2294</v>
      </c>
      <c r="Q245" s="250">
        <f t="shared" ref="Q245:Q252" si="5">P245/$P$254</f>
        <v>0.99825935596170579</v>
      </c>
      <c r="R245" s="242">
        <v>277804</v>
      </c>
      <c r="S245" s="250">
        <f t="shared" ref="S245:S252" si="6">R245/$R$254</f>
        <v>0.99861963851783686</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3</v>
      </c>
      <c r="Q246" s="388">
        <f t="shared" si="5"/>
        <v>1.3054830287206266E-3</v>
      </c>
      <c r="R246" s="318">
        <v>175</v>
      </c>
      <c r="S246" s="388">
        <f t="shared" si="6"/>
        <v>6.2907098796497331E-4</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1</v>
      </c>
      <c r="Q249" s="388">
        <f t="shared" si="5"/>
        <v>4.351610095735422E-4</v>
      </c>
      <c r="R249" s="318">
        <v>209</v>
      </c>
      <c r="S249" s="388">
        <f t="shared" si="6"/>
        <v>7.5129049419816812E-4</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2298</v>
      </c>
      <c r="Q254" s="388">
        <f>SUM(Q245:Q253)</f>
        <v>0.99999999999999989</v>
      </c>
      <c r="R254" s="318">
        <f>SUM(R245:R253)</f>
        <v>278188</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46</v>
      </c>
      <c r="Q257" s="250">
        <f t="shared" ref="Q257:Q264" si="7">P257/$P$266</f>
        <v>0.80701754385964908</v>
      </c>
      <c r="R257" s="242">
        <v>5600</v>
      </c>
      <c r="S257" s="250">
        <f t="shared" ref="S257:S264" si="8">R257/$R$266</f>
        <v>0.76880834706205381</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0</v>
      </c>
      <c r="Q258" s="388">
        <f t="shared" si="7"/>
        <v>0</v>
      </c>
      <c r="R258" s="318">
        <v>0</v>
      </c>
      <c r="S258" s="388">
        <f t="shared" si="8"/>
        <v>0</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1</v>
      </c>
      <c r="Q259" s="388">
        <f t="shared" si="7"/>
        <v>1.7543859649122806E-2</v>
      </c>
      <c r="R259" s="318">
        <v>43</v>
      </c>
      <c r="S259" s="388">
        <f t="shared" si="8"/>
        <v>5.9033498077979132E-3</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1</v>
      </c>
      <c r="Q260" s="388">
        <f t="shared" si="7"/>
        <v>1.7543859649122806E-2</v>
      </c>
      <c r="R260" s="318">
        <v>170</v>
      </c>
      <c r="S260" s="388">
        <f t="shared" si="8"/>
        <v>2.3338824821526633E-2</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1</v>
      </c>
      <c r="Q261" s="388">
        <f t="shared" si="7"/>
        <v>1.7543859649122806E-2</v>
      </c>
      <c r="R261" s="318">
        <v>121</v>
      </c>
      <c r="S261" s="388">
        <f t="shared" si="8"/>
        <v>1.6611751784733664E-2</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1</v>
      </c>
      <c r="Q262" s="388">
        <f t="shared" si="7"/>
        <v>1.7543859649122806E-2</v>
      </c>
      <c r="R262" s="318">
        <v>51</v>
      </c>
      <c r="S262" s="388">
        <f t="shared" si="8"/>
        <v>7.0016474464579901E-3</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1</v>
      </c>
      <c r="Q263" s="388">
        <f t="shared" si="7"/>
        <v>1.7543859649122806E-2</v>
      </c>
      <c r="R263" s="318">
        <v>216</v>
      </c>
      <c r="S263" s="388">
        <f t="shared" si="8"/>
        <v>2.9654036243822075E-2</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6</v>
      </c>
      <c r="Q264" s="388">
        <f t="shared" si="7"/>
        <v>0.10526315789473684</v>
      </c>
      <c r="R264" s="318">
        <v>1083</v>
      </c>
      <c r="S264" s="388">
        <f t="shared" si="8"/>
        <v>0.14868204283360792</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57</v>
      </c>
      <c r="Q266" s="388">
        <f>SUM(Q257:Q265)</f>
        <v>1</v>
      </c>
      <c r="R266" s="318">
        <f>SUM(R257:R265)</f>
        <v>7284</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2355</v>
      </c>
      <c r="Q280" s="388"/>
      <c r="R280" s="396">
        <f>+R278+R266+R254</f>
        <v>285472</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322</v>
      </c>
      <c r="C285" s="220"/>
      <c r="D285" s="220"/>
      <c r="E285" s="220"/>
      <c r="F285" s="256" t="s">
        <v>159</v>
      </c>
      <c r="G285" s="220"/>
      <c r="H285" s="220" t="s">
        <v>167</v>
      </c>
      <c r="I285" s="255"/>
      <c r="J285" s="255"/>
      <c r="K285" s="255"/>
      <c r="L285" s="255"/>
      <c r="M285" s="255"/>
      <c r="N285" s="255"/>
      <c r="O285" s="255"/>
      <c r="P285" s="255"/>
      <c r="Q285" s="255"/>
      <c r="R285" s="255"/>
      <c r="S285" s="255"/>
      <c r="T285" s="255"/>
      <c r="U285" s="192"/>
      <c r="V285" s="5"/>
    </row>
    <row r="286" spans="1:22" ht="15.6" x14ac:dyDescent="0.3">
      <c r="A286" s="254"/>
      <c r="B286" s="220" t="s">
        <v>323</v>
      </c>
      <c r="C286" s="220"/>
      <c r="D286" s="220"/>
      <c r="E286" s="220"/>
      <c r="F286" s="256" t="s">
        <v>274</v>
      </c>
      <c r="G286" s="220"/>
      <c r="H286" s="220" t="s">
        <v>275</v>
      </c>
      <c r="I286" s="255"/>
      <c r="J286" s="255"/>
      <c r="K286" s="255"/>
      <c r="L286" s="255"/>
      <c r="M286" s="255"/>
      <c r="N286" s="255"/>
      <c r="O286" s="255"/>
      <c r="P286" s="255"/>
      <c r="Q286" s="255"/>
      <c r="R286" s="255"/>
      <c r="S286" s="255"/>
      <c r="T286" s="255"/>
      <c r="U286" s="192"/>
      <c r="V286" s="5"/>
    </row>
    <row r="287" spans="1:22" ht="15.6" x14ac:dyDescent="0.3">
      <c r="A287" s="254"/>
      <c r="B287" s="220" t="s">
        <v>324</v>
      </c>
      <c r="C287" s="220"/>
      <c r="D287" s="220"/>
      <c r="E287" s="220"/>
      <c r="F287" s="256" t="s">
        <v>158</v>
      </c>
      <c r="G287" s="220"/>
      <c r="H287" s="220" t="s">
        <v>168</v>
      </c>
      <c r="I287" s="255"/>
      <c r="J287" s="255"/>
      <c r="K287" s="255"/>
      <c r="L287" s="255"/>
      <c r="M287" s="255"/>
      <c r="N287" s="255"/>
      <c r="O287" s="255"/>
      <c r="P287" s="255"/>
      <c r="Q287" s="255"/>
      <c r="R287" s="255"/>
      <c r="S287" s="255"/>
      <c r="T287" s="255"/>
      <c r="U287" s="192"/>
      <c r="V287" s="5"/>
    </row>
    <row r="288" spans="1:22" ht="15.6" x14ac:dyDescent="0.3">
      <c r="A288" s="254"/>
      <c r="B288" s="220"/>
      <c r="C288" s="220"/>
      <c r="D288" s="220"/>
      <c r="E288" s="220"/>
      <c r="F288" s="220"/>
      <c r="G288" s="257"/>
      <c r="H288" s="255"/>
      <c r="I288" s="255"/>
      <c r="J288" s="255"/>
      <c r="K288" s="255"/>
      <c r="L288" s="255"/>
      <c r="M288" s="255"/>
      <c r="N288" s="255"/>
      <c r="O288" s="255"/>
      <c r="P288" s="255"/>
      <c r="Q288" s="255"/>
      <c r="R288" s="255"/>
      <c r="S288" s="255"/>
      <c r="T288" s="255"/>
      <c r="U288" s="192"/>
      <c r="V288" s="5"/>
    </row>
    <row r="289" spans="1:22" ht="15.6" x14ac:dyDescent="0.3">
      <c r="A289" s="216"/>
      <c r="B289" s="185"/>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ht="18" thickBot="1" x14ac:dyDescent="0.35">
      <c r="A290" s="216"/>
      <c r="B290" s="267" t="str">
        <f>B195</f>
        <v>PM9 INVESTOR REPORT QUARTER ENDING JULY 2014</v>
      </c>
      <c r="C290" s="185"/>
      <c r="D290" s="185"/>
      <c r="E290" s="185"/>
      <c r="F290" s="185"/>
      <c r="G290" s="217"/>
      <c r="H290" s="192"/>
      <c r="I290" s="192"/>
      <c r="J290" s="192"/>
      <c r="K290" s="192"/>
      <c r="L290" s="192"/>
      <c r="M290" s="192"/>
      <c r="N290" s="192"/>
      <c r="O290" s="192"/>
      <c r="P290" s="192"/>
      <c r="Q290" s="192"/>
      <c r="R290" s="192"/>
      <c r="S290" s="192"/>
      <c r="T290" s="192"/>
      <c r="U290" s="192"/>
      <c r="V290" s="5"/>
    </row>
    <row r="291" spans="1:22" x14ac:dyDescent="0.25">
      <c r="A291" s="101"/>
      <c r="B291" s="101"/>
      <c r="C291" s="101"/>
      <c r="D291" s="101"/>
      <c r="E291" s="101"/>
      <c r="F291" s="101"/>
      <c r="G291" s="101"/>
      <c r="H291" s="101"/>
      <c r="I291" s="101"/>
      <c r="J291" s="101"/>
      <c r="K291" s="101"/>
      <c r="L291" s="101"/>
      <c r="M291" s="101"/>
      <c r="N291" s="101"/>
      <c r="O291" s="101"/>
      <c r="P291" s="101"/>
      <c r="Q291" s="101"/>
      <c r="R291" s="101"/>
      <c r="S291" s="101"/>
      <c r="T291" s="101"/>
      <c r="U291" s="101"/>
    </row>
  </sheetData>
  <hyperlinks>
    <hyperlink ref="J9" r:id="rId1" xr:uid="{00000000-0004-0000-2300-000000000000}"/>
    <hyperlink ref="N230" r:id="rId2" xr:uid="{00000000-0004-0000-23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0" man="1"/>
    <brk id="134" max="20" man="1"/>
    <brk id="195" max="20" man="1"/>
  </rowBreaks>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89CB31"/>
  </sheetPr>
  <dimension ref="A1:W291"/>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402"/>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0.7208</v>
      </c>
      <c r="R16" s="225" t="s">
        <v>149</v>
      </c>
      <c r="S16" s="224">
        <v>0.2792</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41964</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329</v>
      </c>
      <c r="E25" s="398"/>
      <c r="F25" s="398" t="s">
        <v>329</v>
      </c>
      <c r="G25" s="398"/>
      <c r="H25" s="398" t="s">
        <v>329</v>
      </c>
      <c r="I25" s="398"/>
      <c r="J25" s="398" t="s">
        <v>330</v>
      </c>
      <c r="K25" s="398"/>
      <c r="L25" s="398" t="s">
        <v>330</v>
      </c>
      <c r="M25" s="398"/>
      <c r="N25" s="398" t="s">
        <v>151</v>
      </c>
      <c r="O25" s="398"/>
      <c r="P25" s="398" t="s">
        <v>151</v>
      </c>
      <c r="Q25" s="398"/>
      <c r="R25" s="273"/>
      <c r="S25" s="274"/>
      <c r="T25" s="274"/>
      <c r="U25" s="275"/>
      <c r="V25" s="5"/>
    </row>
    <row r="26" spans="1:22" ht="15.6" x14ac:dyDescent="0.3">
      <c r="A26" s="276"/>
      <c r="B26" s="277" t="s">
        <v>10</v>
      </c>
      <c r="C26" s="398"/>
      <c r="D26" s="398" t="s">
        <v>153</v>
      </c>
      <c r="E26" s="398"/>
      <c r="F26" s="398" t="s">
        <v>153</v>
      </c>
      <c r="G26" s="398"/>
      <c r="H26" s="398" t="s">
        <v>153</v>
      </c>
      <c r="I26" s="398"/>
      <c r="J26" s="398" t="s">
        <v>153</v>
      </c>
      <c r="K26" s="398"/>
      <c r="L26" s="398" t="s">
        <v>153</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124020.4476</v>
      </c>
      <c r="E30" s="280"/>
      <c r="F30" s="282">
        <f>F29*F36</f>
        <v>127246.413</v>
      </c>
      <c r="G30" s="281"/>
      <c r="H30" s="283">
        <f>H29*H36</f>
        <v>21506.34</v>
      </c>
      <c r="I30" s="281"/>
      <c r="J30" s="281">
        <f>J29*J36</f>
        <v>5709.4296000000004</v>
      </c>
      <c r="K30" s="281"/>
      <c r="L30" s="282">
        <f>L29*L36</f>
        <v>24061.167600000001</v>
      </c>
      <c r="M30" s="281"/>
      <c r="N30" s="284">
        <f>N29*N36</f>
        <v>2446.8984</v>
      </c>
      <c r="O30" s="281"/>
      <c r="P30" s="282">
        <f>P29*P36</f>
        <v>53831.764800000004</v>
      </c>
      <c r="Q30" s="281"/>
      <c r="R30" s="281"/>
      <c r="S30" s="285"/>
      <c r="T30" s="281"/>
      <c r="U30" s="286"/>
      <c r="V30" s="5"/>
    </row>
    <row r="31" spans="1:22" ht="15.6" x14ac:dyDescent="0.3">
      <c r="A31" s="276"/>
      <c r="B31" s="277" t="s">
        <v>143</v>
      </c>
      <c r="C31" s="287"/>
      <c r="D31" s="288">
        <f>D35*D29</f>
        <v>122662.46679999999</v>
      </c>
      <c r="E31" s="287"/>
      <c r="F31" s="289">
        <f>F35*F29</f>
        <v>125853.109</v>
      </c>
      <c r="G31" s="288"/>
      <c r="H31" s="290">
        <f>H35*H29</f>
        <v>21270.846000000001</v>
      </c>
      <c r="I31" s="288"/>
      <c r="J31" s="288">
        <f>J35*J29</f>
        <v>5646.9126000000006</v>
      </c>
      <c r="K31" s="288"/>
      <c r="L31" s="289">
        <f>L35*L29</f>
        <v>23797.703100000002</v>
      </c>
      <c r="M31" s="288"/>
      <c r="N31" s="291">
        <f>N35*N29</f>
        <v>2420.1053999999999</v>
      </c>
      <c r="O31" s="288"/>
      <c r="P31" s="289">
        <f>P35*P29</f>
        <v>53242.318800000001</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124020.4476</v>
      </c>
      <c r="E33" s="280"/>
      <c r="F33" s="281">
        <f>F32*F36</f>
        <v>87638.726699999999</v>
      </c>
      <c r="G33" s="281"/>
      <c r="H33" s="281">
        <f>H32*H36</f>
        <v>12151.0821</v>
      </c>
      <c r="I33" s="281"/>
      <c r="J33" s="281">
        <f>J32*J36</f>
        <v>5709.4296000000004</v>
      </c>
      <c r="K33" s="281"/>
      <c r="L33" s="281">
        <f>L32*L36</f>
        <v>16557.345840000002</v>
      </c>
      <c r="M33" s="281"/>
      <c r="N33" s="281">
        <f>N32*N36</f>
        <v>2446.8984</v>
      </c>
      <c r="O33" s="281"/>
      <c r="P33" s="281">
        <f>P32*P36</f>
        <v>36948.165840000001</v>
      </c>
      <c r="Q33" s="281"/>
      <c r="R33" s="281"/>
      <c r="S33" s="285"/>
      <c r="T33" s="281">
        <f>SUM(C33:P33)</f>
        <v>285472.09608000005</v>
      </c>
      <c r="U33" s="286"/>
      <c r="V33" s="5"/>
    </row>
    <row r="34" spans="1:22" ht="15.6" x14ac:dyDescent="0.3">
      <c r="A34" s="276"/>
      <c r="B34" s="277" t="s">
        <v>291</v>
      </c>
      <c r="C34" s="287"/>
      <c r="D34" s="288">
        <f>D35*D32</f>
        <v>122662.46679999999</v>
      </c>
      <c r="E34" s="287"/>
      <c r="F34" s="288">
        <f>F35*F32</f>
        <v>86679.113100000002</v>
      </c>
      <c r="G34" s="288"/>
      <c r="H34" s="288">
        <f>H35*H32</f>
        <v>12018.027990000001</v>
      </c>
      <c r="I34" s="288"/>
      <c r="J34" s="288">
        <f>J35*J32</f>
        <v>5646.9126000000006</v>
      </c>
      <c r="K34" s="288"/>
      <c r="L34" s="288">
        <f>L35*L32</f>
        <v>16376.046540000001</v>
      </c>
      <c r="M34" s="288"/>
      <c r="N34" s="288">
        <f>N35*N32</f>
        <v>2420.1053999999999</v>
      </c>
      <c r="O34" s="288"/>
      <c r="P34" s="288">
        <f>P35*P32</f>
        <v>36543.591540000001</v>
      </c>
      <c r="Q34" s="288"/>
      <c r="R34" s="288"/>
      <c r="S34" s="292"/>
      <c r="T34" s="288">
        <f>SUM(C34:P34)</f>
        <v>282346.26397000003</v>
      </c>
      <c r="U34" s="286"/>
      <c r="V34" s="5"/>
    </row>
    <row r="35" spans="1:22" ht="15.6" x14ac:dyDescent="0.3">
      <c r="A35" s="276"/>
      <c r="B35" s="293" t="s">
        <v>139</v>
      </c>
      <c r="C35" s="294"/>
      <c r="D35" s="295">
        <v>0.35451579999999999</v>
      </c>
      <c r="E35" s="296"/>
      <c r="F35" s="295">
        <v>0.35451579999999999</v>
      </c>
      <c r="G35" s="295"/>
      <c r="H35" s="295">
        <v>0.3545141</v>
      </c>
      <c r="I35" s="297"/>
      <c r="J35" s="295">
        <v>0.80670180000000002</v>
      </c>
      <c r="K35" s="297"/>
      <c r="L35" s="295">
        <v>0.80670180000000002</v>
      </c>
      <c r="M35" s="297"/>
      <c r="N35" s="295">
        <v>0.80670180000000002</v>
      </c>
      <c r="O35" s="297"/>
      <c r="P35" s="295">
        <v>0.80670180000000002</v>
      </c>
      <c r="Q35" s="298"/>
      <c r="R35" s="298"/>
      <c r="S35" s="299"/>
      <c r="T35" s="298"/>
      <c r="U35" s="300"/>
      <c r="V35" s="5"/>
    </row>
    <row r="36" spans="1:22" ht="15.6" x14ac:dyDescent="0.3">
      <c r="A36" s="276"/>
      <c r="B36" s="293" t="s">
        <v>140</v>
      </c>
      <c r="C36" s="294"/>
      <c r="D36" s="295">
        <v>0.3584406</v>
      </c>
      <c r="E36" s="296"/>
      <c r="F36" s="295">
        <v>0.3584406</v>
      </c>
      <c r="G36" s="295"/>
      <c r="H36" s="295">
        <v>0.35843900000000001</v>
      </c>
      <c r="I36" s="297"/>
      <c r="J36" s="295">
        <v>0.81563280000000005</v>
      </c>
      <c r="K36" s="297"/>
      <c r="L36" s="295">
        <v>0.81563280000000005</v>
      </c>
      <c r="M36" s="297"/>
      <c r="N36" s="295">
        <v>0.81563280000000005</v>
      </c>
      <c r="O36" s="297"/>
      <c r="P36" s="295">
        <v>0.81563280000000005</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9.1962999999999993E-3</v>
      </c>
      <c r="E38" s="272"/>
      <c r="F38" s="303">
        <v>5.5900000000000004E-3</v>
      </c>
      <c r="G38" s="304"/>
      <c r="H38" s="303">
        <v>5.9360000000000003E-3</v>
      </c>
      <c r="I38" s="304"/>
      <c r="J38" s="303">
        <v>1.13963E-2</v>
      </c>
      <c r="K38" s="304"/>
      <c r="L38" s="303">
        <v>7.79E-3</v>
      </c>
      <c r="M38" s="304"/>
      <c r="N38" s="303">
        <v>1.5996300000000001E-2</v>
      </c>
      <c r="O38" s="304"/>
      <c r="P38" s="303">
        <v>1.239E-2</v>
      </c>
      <c r="Q38" s="304"/>
      <c r="R38" s="303"/>
      <c r="S38" s="274"/>
      <c r="T38" s="304"/>
      <c r="U38" s="275"/>
      <c r="V38" s="5"/>
    </row>
    <row r="39" spans="1:22" ht="15.6" x14ac:dyDescent="0.3">
      <c r="A39" s="302"/>
      <c r="B39" s="272" t="s">
        <v>14</v>
      </c>
      <c r="C39" s="272"/>
      <c r="D39" s="303">
        <v>8.8506000000000001E-3</v>
      </c>
      <c r="E39" s="272"/>
      <c r="F39" s="303">
        <v>6.9499999999999996E-3</v>
      </c>
      <c r="G39" s="304"/>
      <c r="H39" s="303">
        <v>5.8384999999999999E-3</v>
      </c>
      <c r="I39" s="304"/>
      <c r="J39" s="303">
        <v>1.1050600000000001E-2</v>
      </c>
      <c r="K39" s="304"/>
      <c r="L39" s="303">
        <v>9.1500000000000001E-3</v>
      </c>
      <c r="M39" s="304"/>
      <c r="N39" s="303">
        <v>1.5650600000000001E-2</v>
      </c>
      <c r="O39" s="304"/>
      <c r="P39" s="303">
        <v>1.375E-2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9.1962999999999993E-3</v>
      </c>
      <c r="E41" s="272"/>
      <c r="F41" s="303">
        <v>9.3962999999999998E-3</v>
      </c>
      <c r="G41" s="304"/>
      <c r="H41" s="303">
        <v>9.6562999999999996E-3</v>
      </c>
      <c r="I41" s="304"/>
      <c r="J41" s="303">
        <f>+J38</f>
        <v>1.13963E-2</v>
      </c>
      <c r="K41" s="304"/>
      <c r="L41" s="303">
        <v>1.19863E-2</v>
      </c>
      <c r="M41" s="304"/>
      <c r="N41" s="303">
        <f>+N38</f>
        <v>1.5996300000000001E-2</v>
      </c>
      <c r="O41" s="304"/>
      <c r="P41" s="303">
        <v>1.68763E-2</v>
      </c>
      <c r="Q41" s="304"/>
      <c r="R41" s="303"/>
      <c r="S41" s="274"/>
      <c r="T41" s="304">
        <f>SUMPRODUCT(D41:P41,D33:P33)/T33</f>
        <v>1.0535393421528918E-2</v>
      </c>
      <c r="U41" s="275"/>
      <c r="V41" s="5"/>
    </row>
    <row r="42" spans="1:22" ht="15.6" x14ac:dyDescent="0.3">
      <c r="A42" s="302"/>
      <c r="B42" s="272" t="s">
        <v>294</v>
      </c>
      <c r="C42" s="272"/>
      <c r="D42" s="303">
        <f>+D39</f>
        <v>8.8506000000000001E-3</v>
      </c>
      <c r="E42" s="272"/>
      <c r="F42" s="303">
        <v>9.0506000000000007E-3</v>
      </c>
      <c r="G42" s="304"/>
      <c r="H42" s="303">
        <v>9.3106000000000005E-3</v>
      </c>
      <c r="I42" s="304"/>
      <c r="J42" s="303">
        <f>+J39</f>
        <v>1.1050600000000001E-2</v>
      </c>
      <c r="K42" s="304"/>
      <c r="L42" s="303">
        <v>1.1640599999999999E-2</v>
      </c>
      <c r="M42" s="304"/>
      <c r="N42" s="303">
        <f>+N39</f>
        <v>1.5650600000000001E-2</v>
      </c>
      <c r="O42" s="304"/>
      <c r="P42" s="303">
        <v>1.6530599999999999E-2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0.27550941502528337</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41960</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92</v>
      </c>
      <c r="Q54" s="272"/>
      <c r="R54" s="312">
        <v>41774</v>
      </c>
      <c r="S54" s="313"/>
      <c r="T54" s="312">
        <v>41865</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94</v>
      </c>
      <c r="Q55" s="272"/>
      <c r="R55" s="312">
        <v>41866</v>
      </c>
      <c r="S55" s="313"/>
      <c r="T55" s="312">
        <v>41959</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41946</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332</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285472</v>
      </c>
      <c r="M65" s="317"/>
      <c r="N65" s="317">
        <f>3126+77</f>
        <v>3203</v>
      </c>
      <c r="O65" s="317"/>
      <c r="P65" s="317">
        <v>77</v>
      </c>
      <c r="Q65" s="317"/>
      <c r="R65" s="317">
        <v>0</v>
      </c>
      <c r="S65" s="317"/>
      <c r="T65" s="318">
        <f>+L65-N65+P65-R65</f>
        <v>282346</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285472</v>
      </c>
      <c r="M68" s="317"/>
      <c r="N68" s="317">
        <f>SUM(N65:N67)</f>
        <v>3203</v>
      </c>
      <c r="O68" s="317"/>
      <c r="P68" s="317">
        <f>SUM(P65:P67)</f>
        <v>77</v>
      </c>
      <c r="Q68" s="317"/>
      <c r="R68" s="317">
        <f>SUM(R65:R67)</f>
        <v>0</v>
      </c>
      <c r="S68" s="317"/>
      <c r="T68" s="317">
        <f>SUM(T65:T67)</f>
        <v>282346</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285472</v>
      </c>
      <c r="M81" s="317"/>
      <c r="N81" s="317"/>
      <c r="O81" s="317"/>
      <c r="P81" s="317"/>
      <c r="Q81" s="317"/>
      <c r="R81" s="317"/>
      <c r="S81" s="317"/>
      <c r="T81" s="317">
        <f>SUM(T68:T80)</f>
        <v>282346</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41943</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3203-45</f>
        <v>3158</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1713+608-540-132</f>
        <v>1649</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41+4</f>
        <v>45</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17</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126</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3158</v>
      </c>
      <c r="S93" s="272"/>
      <c r="T93" s="317">
        <f>SUM(T85:T92)</f>
        <v>1837</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-114</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3158</v>
      </c>
      <c r="S97" s="272"/>
      <c r="T97" s="317">
        <f>T93+T95+T94+T96</f>
        <v>1723</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-110-74-4</f>
        <v>-188</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0</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-294</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-212</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-30</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-17</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-51</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-10</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-161</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45</v>
      </c>
      <c r="S113" s="272"/>
      <c r="T113" s="318">
        <v>-45</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-109</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-598</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-77</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-1358</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-960</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-133</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-62</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-181</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-27</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-405</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-3203</v>
      </c>
      <c r="S130" s="317"/>
      <c r="T130" s="317">
        <f>SUM(T98:T128)</f>
        <v>-1723</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OCTOBER 2014</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400" t="s">
        <v>327</v>
      </c>
      <c r="C153" s="272"/>
      <c r="D153" s="272"/>
      <c r="E153" s="272"/>
      <c r="F153" s="272"/>
      <c r="G153" s="272"/>
      <c r="H153" s="272"/>
      <c r="I153" s="272"/>
      <c r="J153" s="272"/>
      <c r="K153" s="272"/>
      <c r="L153" s="272"/>
      <c r="M153" s="272"/>
      <c r="N153" s="272"/>
      <c r="O153" s="272"/>
      <c r="P153" s="272"/>
      <c r="Q153" s="272"/>
      <c r="R153" s="272"/>
      <c r="S153" s="272"/>
      <c r="T153" s="318">
        <v>0</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45</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45</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-45</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f>-T96</f>
        <v>114</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282346</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282346</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+'July 14'!Q181</f>
        <v>47267</v>
      </c>
      <c r="R179" s="318">
        <f>+'July 14'!R181</f>
        <v>2435</v>
      </c>
      <c r="S179" s="272"/>
      <c r="T179" s="318">
        <f>Q179+R179</f>
        <v>49702</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77</v>
      </c>
      <c r="R180" s="317">
        <v>0</v>
      </c>
      <c r="S180" s="272"/>
      <c r="T180" s="318">
        <f>Q180+R180</f>
        <v>77</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47344</v>
      </c>
      <c r="R181" s="318">
        <f>R180+R179</f>
        <v>2435</v>
      </c>
      <c r="S181" s="272"/>
      <c r="T181" s="318">
        <f>Q181+R181</f>
        <v>49779</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62221</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2.8600746268656718</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1.62</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14.661764705882353</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8.9499999999999993</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5.4327485380116958</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4.0199999999999996</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OCTOBER 2014</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41943</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2.3060000000000001E-2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1.0535393421528918E-2</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1.2524606578471082E-2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6.0356182042371935E-3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12.3</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1.122001457235736E-2</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0.1024</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0</v>
      </c>
      <c r="R214" s="248">
        <v>0</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54</v>
      </c>
      <c r="R215" s="360">
        <f>+R266</f>
        <v>7072</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45</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'July 14'!R221+'Oct 14'!R220</f>
        <v>3583</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4</v>
      </c>
      <c r="R227" s="360">
        <v>235</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0.5</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2312</v>
      </c>
      <c r="Q233" s="388">
        <f t="shared" ref="Q233:Q240" si="2">P233/$P$242</f>
        <v>0.99398108340498714</v>
      </c>
      <c r="R233" s="318">
        <f t="shared" ref="R233:R240" si="3">+R245+R257+R269</f>
        <v>279631</v>
      </c>
      <c r="S233" s="388">
        <f t="shared" ref="S233:S240" si="4">R233/$R$242</f>
        <v>0.99038413861007413</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3</v>
      </c>
      <c r="Q234" s="388">
        <f t="shared" si="2"/>
        <v>1.2897678417884782E-3</v>
      </c>
      <c r="R234" s="318">
        <f t="shared" si="3"/>
        <v>887</v>
      </c>
      <c r="S234" s="388">
        <f t="shared" si="4"/>
        <v>3.1415355627492508E-3</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1</v>
      </c>
      <c r="Q235" s="388">
        <f t="shared" si="2"/>
        <v>4.299226139294927E-4</v>
      </c>
      <c r="R235" s="318">
        <f t="shared" si="3"/>
        <v>187</v>
      </c>
      <c r="S235" s="388">
        <f t="shared" si="4"/>
        <v>6.6230794840373163E-4</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2</v>
      </c>
      <c r="Q237" s="388">
        <f t="shared" si="2"/>
        <v>8.598452278589854E-4</v>
      </c>
      <c r="R237" s="318">
        <f t="shared" si="3"/>
        <v>291</v>
      </c>
      <c r="S237" s="388">
        <f t="shared" si="4"/>
        <v>1.0306503368207802E-3</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1</v>
      </c>
      <c r="Q238" s="388">
        <f t="shared" si="2"/>
        <v>4.299226139294927E-4</v>
      </c>
      <c r="R238" s="318">
        <f t="shared" si="3"/>
        <v>216</v>
      </c>
      <c r="S238" s="388">
        <f t="shared" si="4"/>
        <v>7.6501880671233171E-4</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1</v>
      </c>
      <c r="Q239" s="388">
        <f t="shared" si="2"/>
        <v>4.299226139294927E-4</v>
      </c>
      <c r="R239" s="318">
        <f t="shared" si="3"/>
        <v>51</v>
      </c>
      <c r="S239" s="388">
        <f t="shared" si="4"/>
        <v>1.8062944047374498E-4</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6</v>
      </c>
      <c r="Q240" s="388">
        <f t="shared" si="2"/>
        <v>2.5795356835769563E-3</v>
      </c>
      <c r="R240" s="318">
        <f t="shared" si="3"/>
        <v>1083</v>
      </c>
      <c r="S240" s="388">
        <f t="shared" si="4"/>
        <v>3.8357192947659964E-3</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2326</v>
      </c>
      <c r="Q242" s="388">
        <f>SUM(Q233:Q241)</f>
        <v>1</v>
      </c>
      <c r="R242" s="318">
        <f>SUM(R233:R241)</f>
        <v>282346</v>
      </c>
      <c r="S242" s="388">
        <f>SUM(S233:S241)</f>
        <v>0.99999999999999989</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2268</v>
      </c>
      <c r="Q245" s="250">
        <f t="shared" ref="Q245:Q252" si="5">P245/$P$254</f>
        <v>0.99823943661971826</v>
      </c>
      <c r="R245" s="242">
        <v>274200</v>
      </c>
      <c r="S245" s="250">
        <f t="shared" ref="S245:S252" si="6">R245/$R$254</f>
        <v>0.9960984328341943</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3</v>
      </c>
      <c r="Q246" s="388">
        <f t="shared" si="5"/>
        <v>1.3204225352112676E-3</v>
      </c>
      <c r="R246" s="318">
        <v>887</v>
      </c>
      <c r="S246" s="388">
        <f t="shared" si="6"/>
        <v>3.2222440186868355E-3</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1</v>
      </c>
      <c r="Q247" s="388">
        <f t="shared" si="5"/>
        <v>4.4014084507042255E-4</v>
      </c>
      <c r="R247" s="318">
        <v>187</v>
      </c>
      <c r="S247" s="388">
        <f t="shared" si="6"/>
        <v>6.793231471188707E-4</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2272</v>
      </c>
      <c r="Q254" s="388">
        <f>SUM(Q245:Q253)</f>
        <v>0.99999999999999989</v>
      </c>
      <c r="R254" s="318">
        <f>SUM(R245:R253)</f>
        <v>275274</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44</v>
      </c>
      <c r="Q257" s="250">
        <f t="shared" ref="Q257:Q264" si="7">P257/$P$266</f>
        <v>0.81481481481481477</v>
      </c>
      <c r="R257" s="242">
        <v>5431</v>
      </c>
      <c r="S257" s="250">
        <f t="shared" ref="S257:S264" si="8">R257/$R$266</f>
        <v>0.76795814479638014</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0</v>
      </c>
      <c r="Q258" s="388">
        <f t="shared" si="7"/>
        <v>0</v>
      </c>
      <c r="R258" s="318">
        <v>0</v>
      </c>
      <c r="S258" s="388">
        <f t="shared" si="8"/>
        <v>0</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0</v>
      </c>
      <c r="Q259" s="388">
        <f t="shared" si="7"/>
        <v>0</v>
      </c>
      <c r="R259" s="318">
        <v>0</v>
      </c>
      <c r="S259" s="388">
        <f t="shared" si="8"/>
        <v>0</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2</v>
      </c>
      <c r="Q261" s="388">
        <f t="shared" si="7"/>
        <v>3.7037037037037035E-2</v>
      </c>
      <c r="R261" s="318">
        <v>291</v>
      </c>
      <c r="S261" s="388">
        <f t="shared" si="8"/>
        <v>4.1148190045248868E-2</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1</v>
      </c>
      <c r="Q262" s="388">
        <f t="shared" si="7"/>
        <v>1.8518518518518517E-2</v>
      </c>
      <c r="R262" s="318">
        <v>216</v>
      </c>
      <c r="S262" s="388">
        <f t="shared" si="8"/>
        <v>3.0542986425339366E-2</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1</v>
      </c>
      <c r="Q263" s="388">
        <f t="shared" si="7"/>
        <v>1.8518518518518517E-2</v>
      </c>
      <c r="R263" s="318">
        <v>51</v>
      </c>
      <c r="S263" s="388">
        <f t="shared" si="8"/>
        <v>7.2115384615384619E-3</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6</v>
      </c>
      <c r="Q264" s="388">
        <f t="shared" si="7"/>
        <v>0.1111111111111111</v>
      </c>
      <c r="R264" s="318">
        <v>1083</v>
      </c>
      <c r="S264" s="388">
        <f t="shared" si="8"/>
        <v>0.15313914027149322</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54</v>
      </c>
      <c r="Q266" s="388">
        <f>SUM(Q257:Q265)</f>
        <v>1</v>
      </c>
      <c r="R266" s="318">
        <f>SUM(R257:R265)</f>
        <v>7072</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2326</v>
      </c>
      <c r="Q280" s="388"/>
      <c r="R280" s="396">
        <f>+R278+R266+R254</f>
        <v>282346</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322</v>
      </c>
      <c r="C285" s="220"/>
      <c r="D285" s="220"/>
      <c r="E285" s="220"/>
      <c r="F285" s="256" t="s">
        <v>159</v>
      </c>
      <c r="G285" s="220"/>
      <c r="H285" s="220" t="s">
        <v>167</v>
      </c>
      <c r="I285" s="255"/>
      <c r="J285" s="255"/>
      <c r="K285" s="255"/>
      <c r="L285" s="255"/>
      <c r="M285" s="255"/>
      <c r="N285" s="255"/>
      <c r="O285" s="255"/>
      <c r="P285" s="255"/>
      <c r="Q285" s="255"/>
      <c r="R285" s="255"/>
      <c r="S285" s="255"/>
      <c r="T285" s="255"/>
      <c r="U285" s="192"/>
      <c r="V285" s="5"/>
    </row>
    <row r="286" spans="1:22" ht="15.6" x14ac:dyDescent="0.3">
      <c r="A286" s="254"/>
      <c r="B286" s="220" t="s">
        <v>323</v>
      </c>
      <c r="C286" s="220"/>
      <c r="D286" s="220"/>
      <c r="E286" s="220"/>
      <c r="F286" s="256" t="s">
        <v>274</v>
      </c>
      <c r="G286" s="220"/>
      <c r="H286" s="220" t="s">
        <v>275</v>
      </c>
      <c r="I286" s="255"/>
      <c r="J286" s="255"/>
      <c r="K286" s="255"/>
      <c r="L286" s="255"/>
      <c r="M286" s="255"/>
      <c r="N286" s="255"/>
      <c r="O286" s="255"/>
      <c r="P286" s="255"/>
      <c r="Q286" s="255"/>
      <c r="R286" s="255"/>
      <c r="S286" s="255"/>
      <c r="T286" s="255"/>
      <c r="U286" s="192"/>
      <c r="V286" s="5"/>
    </row>
    <row r="287" spans="1:22" ht="15.6" x14ac:dyDescent="0.3">
      <c r="A287" s="254"/>
      <c r="B287" s="220" t="s">
        <v>324</v>
      </c>
      <c r="C287" s="220"/>
      <c r="D287" s="220"/>
      <c r="E287" s="220"/>
      <c r="F287" s="256" t="s">
        <v>158</v>
      </c>
      <c r="G287" s="220"/>
      <c r="H287" s="220" t="s">
        <v>168</v>
      </c>
      <c r="I287" s="255"/>
      <c r="J287" s="255"/>
      <c r="K287" s="255"/>
      <c r="L287" s="255"/>
      <c r="M287" s="255"/>
      <c r="N287" s="255"/>
      <c r="O287" s="255"/>
      <c r="P287" s="255"/>
      <c r="Q287" s="255"/>
      <c r="R287" s="255"/>
      <c r="S287" s="255"/>
      <c r="T287" s="255"/>
      <c r="U287" s="192"/>
      <c r="V287" s="5"/>
    </row>
    <row r="288" spans="1:22" ht="15.6" x14ac:dyDescent="0.3">
      <c r="A288" s="254"/>
      <c r="B288" s="220"/>
      <c r="C288" s="220"/>
      <c r="D288" s="220"/>
      <c r="E288" s="220"/>
      <c r="F288" s="220"/>
      <c r="G288" s="257"/>
      <c r="H288" s="255"/>
      <c r="I288" s="255"/>
      <c r="J288" s="255"/>
      <c r="K288" s="255"/>
      <c r="L288" s="255"/>
      <c r="M288" s="255"/>
      <c r="N288" s="255"/>
      <c r="O288" s="255"/>
      <c r="P288" s="255"/>
      <c r="Q288" s="255"/>
      <c r="R288" s="255"/>
      <c r="S288" s="255"/>
      <c r="T288" s="255"/>
      <c r="U288" s="192"/>
      <c r="V288" s="5"/>
    </row>
    <row r="289" spans="1:22" ht="15.6" x14ac:dyDescent="0.3">
      <c r="A289" s="216"/>
      <c r="B289" s="185"/>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ht="18" thickBot="1" x14ac:dyDescent="0.35">
      <c r="A290" s="216"/>
      <c r="B290" s="267" t="str">
        <f>B195</f>
        <v>PM9 INVESTOR REPORT QUARTER ENDING OCTOBER 2014</v>
      </c>
      <c r="C290" s="185"/>
      <c r="D290" s="185"/>
      <c r="E290" s="185"/>
      <c r="F290" s="185"/>
      <c r="G290" s="217"/>
      <c r="H290" s="192"/>
      <c r="I290" s="192"/>
      <c r="J290" s="192"/>
      <c r="K290" s="192"/>
      <c r="L290" s="192"/>
      <c r="M290" s="192"/>
      <c r="N290" s="192"/>
      <c r="O290" s="192"/>
      <c r="P290" s="192"/>
      <c r="Q290" s="192"/>
      <c r="R290" s="192"/>
      <c r="S290" s="192"/>
      <c r="T290" s="192"/>
      <c r="U290" s="192"/>
      <c r="V290" s="5"/>
    </row>
    <row r="291" spans="1:22" x14ac:dyDescent="0.25">
      <c r="A291" s="101"/>
      <c r="B291" s="101"/>
      <c r="C291" s="101"/>
      <c r="D291" s="101"/>
      <c r="E291" s="101"/>
      <c r="F291" s="101"/>
      <c r="G291" s="101"/>
      <c r="H291" s="101"/>
      <c r="I291" s="101"/>
      <c r="J291" s="101"/>
      <c r="K291" s="101"/>
      <c r="L291" s="101"/>
      <c r="M291" s="101"/>
      <c r="N291" s="101"/>
      <c r="O291" s="101"/>
      <c r="P291" s="101"/>
      <c r="Q291" s="101"/>
      <c r="R291" s="101"/>
      <c r="S291" s="101"/>
      <c r="T291" s="101"/>
      <c r="U291" s="101"/>
    </row>
  </sheetData>
  <hyperlinks>
    <hyperlink ref="J9" r:id="rId1" xr:uid="{00000000-0004-0000-2400-000000000000}"/>
    <hyperlink ref="N230" r:id="rId2" xr:uid="{00000000-0004-0000-24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0" man="1"/>
    <brk id="134" max="20" man="1"/>
    <brk id="195" max="20" man="1"/>
  </rowBreak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2D2926"/>
  </sheetPr>
  <dimension ref="A1:W291"/>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0.72570000000000001</v>
      </c>
      <c r="R16" s="225" t="s">
        <v>149</v>
      </c>
      <c r="S16" s="224">
        <v>0.27429999999999999</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42059</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334</v>
      </c>
      <c r="E25" s="398"/>
      <c r="F25" s="398" t="s">
        <v>334</v>
      </c>
      <c r="G25" s="398"/>
      <c r="H25" s="398" t="s">
        <v>334</v>
      </c>
      <c r="I25" s="398"/>
      <c r="J25" s="398" t="s">
        <v>335</v>
      </c>
      <c r="K25" s="398"/>
      <c r="L25" s="398" t="s">
        <v>335</v>
      </c>
      <c r="M25" s="398"/>
      <c r="N25" s="398" t="s">
        <v>336</v>
      </c>
      <c r="O25" s="398"/>
      <c r="P25" s="398" t="s">
        <v>336</v>
      </c>
      <c r="Q25" s="398"/>
      <c r="R25" s="273"/>
      <c r="S25" s="274"/>
      <c r="T25" s="274"/>
      <c r="U25" s="275"/>
      <c r="V25" s="5"/>
    </row>
    <row r="26" spans="1:22" ht="15.6" x14ac:dyDescent="0.3">
      <c r="A26" s="276"/>
      <c r="B26" s="277" t="s">
        <v>10</v>
      </c>
      <c r="C26" s="398"/>
      <c r="D26" s="398" t="s">
        <v>153</v>
      </c>
      <c r="E26" s="398"/>
      <c r="F26" s="398" t="s">
        <v>153</v>
      </c>
      <c r="G26" s="398"/>
      <c r="H26" s="398" t="s">
        <v>153</v>
      </c>
      <c r="I26" s="398"/>
      <c r="J26" s="398" t="s">
        <v>153</v>
      </c>
      <c r="K26" s="398"/>
      <c r="L26" s="398" t="s">
        <v>153</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122662.46679999999</v>
      </c>
      <c r="E30" s="280"/>
      <c r="F30" s="282">
        <f>F29*F36</f>
        <v>125853.109</v>
      </c>
      <c r="G30" s="281"/>
      <c r="H30" s="283">
        <f>H29*H36</f>
        <v>21270.846000000001</v>
      </c>
      <c r="I30" s="281"/>
      <c r="J30" s="281">
        <f>J29*J36</f>
        <v>5646.9126000000006</v>
      </c>
      <c r="K30" s="281"/>
      <c r="L30" s="282">
        <f>L29*L36</f>
        <v>23797.703100000002</v>
      </c>
      <c r="M30" s="281"/>
      <c r="N30" s="284">
        <f>N29*N36</f>
        <v>2420.1053999999999</v>
      </c>
      <c r="O30" s="281"/>
      <c r="P30" s="282">
        <f>P29*P36</f>
        <v>53242.318800000001</v>
      </c>
      <c r="Q30" s="281"/>
      <c r="R30" s="281"/>
      <c r="S30" s="285"/>
      <c r="T30" s="281"/>
      <c r="U30" s="286"/>
      <c r="V30" s="5"/>
    </row>
    <row r="31" spans="1:22" ht="15.6" x14ac:dyDescent="0.3">
      <c r="A31" s="276"/>
      <c r="B31" s="277" t="s">
        <v>143</v>
      </c>
      <c r="C31" s="287"/>
      <c r="D31" s="288">
        <f>D35*D29</f>
        <v>121140.2052</v>
      </c>
      <c r="E31" s="287"/>
      <c r="F31" s="289">
        <f>F35*F29</f>
        <v>124291.25099999999</v>
      </c>
      <c r="G31" s="288"/>
      <c r="H31" s="290">
        <f>H35*H29</f>
        <v>21006.87</v>
      </c>
      <c r="I31" s="288"/>
      <c r="J31" s="288">
        <f>J35*J29</f>
        <v>5576.8328000000001</v>
      </c>
      <c r="K31" s="288"/>
      <c r="L31" s="289">
        <f>L35*L29</f>
        <v>23502.3668</v>
      </c>
      <c r="M31" s="288"/>
      <c r="N31" s="291">
        <f>N35*N29</f>
        <v>2390.0711999999999</v>
      </c>
      <c r="O31" s="288"/>
      <c r="P31" s="289">
        <f>P35*P29</f>
        <v>52581.566400000003</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122662.46679999999</v>
      </c>
      <c r="E33" s="280"/>
      <c r="F33" s="281">
        <f>F32*F36</f>
        <v>86679.113100000002</v>
      </c>
      <c r="G33" s="281"/>
      <c r="H33" s="281">
        <f>H32*H36</f>
        <v>12018.027990000001</v>
      </c>
      <c r="I33" s="281"/>
      <c r="J33" s="281">
        <f>J32*J36</f>
        <v>5646.9126000000006</v>
      </c>
      <c r="K33" s="281"/>
      <c r="L33" s="281">
        <f>L32*L36</f>
        <v>16376.046540000001</v>
      </c>
      <c r="M33" s="281"/>
      <c r="N33" s="281">
        <f>N32*N36</f>
        <v>2420.1053999999999</v>
      </c>
      <c r="O33" s="281"/>
      <c r="P33" s="281">
        <f>P32*P36</f>
        <v>36543.591540000001</v>
      </c>
      <c r="Q33" s="281"/>
      <c r="R33" s="281"/>
      <c r="S33" s="285"/>
      <c r="T33" s="281">
        <f>SUM(C33:P33)</f>
        <v>282346.26397000003</v>
      </c>
      <c r="U33" s="286"/>
      <c r="V33" s="5"/>
    </row>
    <row r="34" spans="1:22" ht="15.6" x14ac:dyDescent="0.3">
      <c r="A34" s="276"/>
      <c r="B34" s="277" t="s">
        <v>291</v>
      </c>
      <c r="C34" s="287"/>
      <c r="D34" s="288">
        <f>D35*D32</f>
        <v>121140.2052</v>
      </c>
      <c r="E34" s="287"/>
      <c r="F34" s="288">
        <f>F35*F32</f>
        <v>85603.410900000003</v>
      </c>
      <c r="G34" s="288"/>
      <c r="H34" s="288">
        <f>H35*H32</f>
        <v>11868.88155</v>
      </c>
      <c r="I34" s="288"/>
      <c r="J34" s="288">
        <f>J35*J32</f>
        <v>5576.8328000000001</v>
      </c>
      <c r="K34" s="288"/>
      <c r="L34" s="288">
        <f>L35*L32</f>
        <v>16172.815120000001</v>
      </c>
      <c r="M34" s="288"/>
      <c r="N34" s="288">
        <f>N35*N32</f>
        <v>2390.0711999999999</v>
      </c>
      <c r="O34" s="288"/>
      <c r="P34" s="288">
        <f>P35*P32</f>
        <v>36090.075120000001</v>
      </c>
      <c r="Q34" s="288"/>
      <c r="R34" s="288"/>
      <c r="S34" s="292"/>
      <c r="T34" s="288">
        <f>SUM(C34:P34)</f>
        <v>278842.29188999999</v>
      </c>
      <c r="U34" s="286"/>
      <c r="V34" s="5"/>
    </row>
    <row r="35" spans="1:22" ht="15.6" x14ac:dyDescent="0.3">
      <c r="A35" s="276"/>
      <c r="B35" s="293" t="s">
        <v>139</v>
      </c>
      <c r="C35" s="294"/>
      <c r="D35" s="295">
        <v>0.35011619999999999</v>
      </c>
      <c r="E35" s="296"/>
      <c r="F35" s="295">
        <v>0.35011619999999999</v>
      </c>
      <c r="G35" s="295"/>
      <c r="H35" s="295">
        <v>0.3501145</v>
      </c>
      <c r="I35" s="297"/>
      <c r="J35" s="295">
        <v>0.79669040000000002</v>
      </c>
      <c r="K35" s="297"/>
      <c r="L35" s="295">
        <v>0.79669040000000002</v>
      </c>
      <c r="M35" s="297"/>
      <c r="N35" s="295">
        <v>0.79669040000000002</v>
      </c>
      <c r="O35" s="297"/>
      <c r="P35" s="295">
        <v>0.79669040000000002</v>
      </c>
      <c r="Q35" s="298"/>
      <c r="R35" s="298"/>
      <c r="S35" s="299"/>
      <c r="T35" s="298"/>
      <c r="U35" s="300"/>
      <c r="V35" s="5"/>
    </row>
    <row r="36" spans="1:22" ht="15.6" x14ac:dyDescent="0.3">
      <c r="A36" s="276"/>
      <c r="B36" s="293" t="s">
        <v>140</v>
      </c>
      <c r="C36" s="294"/>
      <c r="D36" s="295">
        <v>0.35451579999999999</v>
      </c>
      <c r="E36" s="296"/>
      <c r="F36" s="295">
        <v>0.35451579999999999</v>
      </c>
      <c r="G36" s="295"/>
      <c r="H36" s="295">
        <v>0.3545141</v>
      </c>
      <c r="I36" s="297"/>
      <c r="J36" s="295">
        <v>0.80670180000000002</v>
      </c>
      <c r="K36" s="297"/>
      <c r="L36" s="295">
        <v>0.80670180000000002</v>
      </c>
      <c r="M36" s="297"/>
      <c r="N36" s="295">
        <v>0.80670180000000002</v>
      </c>
      <c r="O36" s="297"/>
      <c r="P36" s="295">
        <v>0.80670180000000002</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9.1524999999999992E-3</v>
      </c>
      <c r="E38" s="272"/>
      <c r="F38" s="303">
        <v>4.3800000000000002E-3</v>
      </c>
      <c r="G38" s="304"/>
      <c r="H38" s="303">
        <v>5.921E-3</v>
      </c>
      <c r="I38" s="304"/>
      <c r="J38" s="303">
        <v>1.13525E-2</v>
      </c>
      <c r="K38" s="304"/>
      <c r="L38" s="303">
        <v>6.5799999999999999E-3</v>
      </c>
      <c r="M38" s="304"/>
      <c r="N38" s="303">
        <v>1.5952500000000001E-2</v>
      </c>
      <c r="O38" s="304"/>
      <c r="P38" s="303">
        <v>1.1180000000000001E-2</v>
      </c>
      <c r="Q38" s="304"/>
      <c r="R38" s="303"/>
      <c r="S38" s="274"/>
      <c r="T38" s="304"/>
      <c r="U38" s="275"/>
      <c r="V38" s="5"/>
    </row>
    <row r="39" spans="1:22" ht="15.6" x14ac:dyDescent="0.3">
      <c r="A39" s="302"/>
      <c r="B39" s="272" t="s">
        <v>14</v>
      </c>
      <c r="C39" s="272"/>
      <c r="D39" s="303">
        <v>9.1962999999999993E-3</v>
      </c>
      <c r="E39" s="272"/>
      <c r="F39" s="303">
        <v>5.5900000000000004E-3</v>
      </c>
      <c r="G39" s="304"/>
      <c r="H39" s="303">
        <v>5.9360000000000003E-3</v>
      </c>
      <c r="I39" s="304"/>
      <c r="J39" s="303">
        <v>1.13963E-2</v>
      </c>
      <c r="K39" s="304"/>
      <c r="L39" s="303">
        <v>7.79E-3</v>
      </c>
      <c r="M39" s="304"/>
      <c r="N39" s="303">
        <v>1.5996300000000001E-2</v>
      </c>
      <c r="O39" s="304"/>
      <c r="P39" s="303">
        <v>1.239E-2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9.1524999999999992E-3</v>
      </c>
      <c r="E41" s="272"/>
      <c r="F41" s="303">
        <v>9.3524999999999997E-3</v>
      </c>
      <c r="G41" s="304"/>
      <c r="H41" s="303">
        <v>9.6124999999999995E-3</v>
      </c>
      <c r="I41" s="304"/>
      <c r="J41" s="303">
        <f>+J38</f>
        <v>1.13525E-2</v>
      </c>
      <c r="K41" s="304"/>
      <c r="L41" s="303">
        <v>1.19425E-2</v>
      </c>
      <c r="M41" s="304"/>
      <c r="N41" s="303">
        <f>+N38</f>
        <v>1.5952500000000001E-2</v>
      </c>
      <c r="O41" s="304"/>
      <c r="P41" s="303">
        <v>1.68325E-2</v>
      </c>
      <c r="Q41" s="304"/>
      <c r="R41" s="303"/>
      <c r="S41" s="274"/>
      <c r="T41" s="304">
        <f>SUMPRODUCT(D41:P41,D33:P33)/T33</f>
        <v>1.0491593308666454E-2</v>
      </c>
      <c r="U41" s="275"/>
      <c r="V41" s="5"/>
    </row>
    <row r="42" spans="1:22" ht="15.6" x14ac:dyDescent="0.3">
      <c r="A42" s="302"/>
      <c r="B42" s="272" t="s">
        <v>294</v>
      </c>
      <c r="C42" s="272"/>
      <c r="D42" s="303">
        <f>+D39</f>
        <v>9.1962999999999993E-3</v>
      </c>
      <c r="E42" s="272"/>
      <c r="F42" s="303">
        <v>9.3962999999999998E-3</v>
      </c>
      <c r="G42" s="304"/>
      <c r="H42" s="303">
        <v>9.6562999999999996E-3</v>
      </c>
      <c r="I42" s="304"/>
      <c r="J42" s="303">
        <f>+J39</f>
        <v>1.13963E-2</v>
      </c>
      <c r="K42" s="304"/>
      <c r="L42" s="303">
        <v>1.19863E-2</v>
      </c>
      <c r="M42" s="304"/>
      <c r="N42" s="303">
        <f>+N39</f>
        <v>1.5996300000000001E-2</v>
      </c>
      <c r="O42" s="304"/>
      <c r="P42" s="303">
        <v>1.68763E-2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0.27550938252591711</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42052</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94</v>
      </c>
      <c r="Q54" s="272"/>
      <c r="R54" s="312">
        <v>41866</v>
      </c>
      <c r="S54" s="313"/>
      <c r="T54" s="312">
        <v>41959</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92</v>
      </c>
      <c r="Q55" s="272"/>
      <c r="R55" s="312">
        <v>41960</v>
      </c>
      <c r="S55" s="313"/>
      <c r="T55" s="312">
        <v>42051</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42037</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333</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282346</v>
      </c>
      <c r="M65" s="317"/>
      <c r="N65" s="317">
        <f>3504+288+89</f>
        <v>3881</v>
      </c>
      <c r="O65" s="317"/>
      <c r="P65" s="317">
        <f>288+89</f>
        <v>377</v>
      </c>
      <c r="Q65" s="317"/>
      <c r="R65" s="317">
        <v>0</v>
      </c>
      <c r="S65" s="317"/>
      <c r="T65" s="318">
        <f>+L65-N65+P65-R65</f>
        <v>278842</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282346</v>
      </c>
      <c r="M68" s="317"/>
      <c r="N68" s="317">
        <f>SUM(N65:N67)</f>
        <v>3881</v>
      </c>
      <c r="O68" s="317"/>
      <c r="P68" s="317">
        <f>SUM(P65:P67)</f>
        <v>377</v>
      </c>
      <c r="Q68" s="317"/>
      <c r="R68" s="317">
        <f>SUM(R65:R67)</f>
        <v>0</v>
      </c>
      <c r="S68" s="317"/>
      <c r="T68" s="317">
        <f>SUM(T65:T67)</f>
        <v>278842</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282346</v>
      </c>
      <c r="M81" s="317"/>
      <c r="N81" s="317"/>
      <c r="O81" s="317"/>
      <c r="P81" s="317"/>
      <c r="Q81" s="317"/>
      <c r="R81" s="317"/>
      <c r="S81" s="317"/>
      <c r="T81" s="317">
        <f>SUM(T68:T80)</f>
        <v>278842</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42034</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3881-28</f>
        <v>3853</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1658+604-532-184</f>
        <v>1546</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76+78</f>
        <v>154</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17</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4</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3853</v>
      </c>
      <c r="S93" s="272"/>
      <c r="T93" s="317">
        <f>SUM(T85:T92)</f>
        <v>1721</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-24</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3853</v>
      </c>
      <c r="S97" s="272"/>
      <c r="T97" s="317">
        <f>T93+T95+T94+T96</f>
        <v>1697</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-109-76-4</f>
        <v>-189</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0</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-283</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-204</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-29</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-16</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-49</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-10</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-155</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28</v>
      </c>
      <c r="S113" s="272"/>
      <c r="T113" s="318">
        <v>-28</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-108</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-618</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-377</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-1522</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-1076</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-149</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-70</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-203</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-30</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-454</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-3881</v>
      </c>
      <c r="S130" s="317"/>
      <c r="T130" s="317">
        <f>SUM(T98:T128)</f>
        <v>-1697</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JANUARY 2015</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400" t="s">
        <v>327</v>
      </c>
      <c r="C153" s="272"/>
      <c r="D153" s="272"/>
      <c r="E153" s="272"/>
      <c r="F153" s="272"/>
      <c r="G153" s="272"/>
      <c r="H153" s="272"/>
      <c r="I153" s="272"/>
      <c r="J153" s="272"/>
      <c r="K153" s="272"/>
      <c r="L153" s="272"/>
      <c r="M153" s="272"/>
      <c r="N153" s="272"/>
      <c r="O153" s="272"/>
      <c r="P153" s="272"/>
      <c r="Q153" s="272"/>
      <c r="R153" s="272"/>
      <c r="S153" s="272"/>
      <c r="T153" s="318">
        <v>0</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28</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28</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-28</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f>-T96</f>
        <v>24</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278842</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278842</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+'Oct 14'!Q181</f>
        <v>47344</v>
      </c>
      <c r="R179" s="318">
        <f>+'Oct 14'!R181</f>
        <v>2435</v>
      </c>
      <c r="S179" s="272"/>
      <c r="T179" s="318">
        <f>Q179+R179</f>
        <v>49779</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f>288+89</f>
        <v>377</v>
      </c>
      <c r="R180" s="317">
        <v>0</v>
      </c>
      <c r="S180" s="272"/>
      <c r="T180" s="318">
        <f>Q180+R180</f>
        <v>377</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47721</v>
      </c>
      <c r="R181" s="318">
        <f>R180+R179</f>
        <v>2435</v>
      </c>
      <c r="S181" s="272"/>
      <c r="T181" s="318">
        <f>Q181+R181</f>
        <v>50156</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61844</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2.9186046511627906</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1.63</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15.23076923076923</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9</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5.6060606060606064</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4.03</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JANUARY 2015</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42034</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2.3050000000000001E-2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1.0491593308666454E-2</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1.2558406691333547E-2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6.0103560879204944E-3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12.11</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1.3745546244678514E-2</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0.1012</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0</v>
      </c>
      <c r="R214" s="248">
        <v>0</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52</v>
      </c>
      <c r="R215" s="360">
        <f>+R266</f>
        <v>7135</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28</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'Oct 14'!R221+'Jan 15'!R220</f>
        <v>3611</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5</v>
      </c>
      <c r="R227" s="360">
        <v>612</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3.03</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2285</v>
      </c>
      <c r="Q233" s="388">
        <f t="shared" ref="Q233:Q240" si="2">P233/$P$242</f>
        <v>0.99607672188317353</v>
      </c>
      <c r="R233" s="318">
        <f t="shared" ref="R233:R240" si="3">+R245+R257+R269</f>
        <v>277274</v>
      </c>
      <c r="S233" s="388">
        <f t="shared" ref="S233:S240" si="4">R233/$R$242</f>
        <v>0.99437674381908037</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1</v>
      </c>
      <c r="Q234" s="388">
        <f t="shared" si="2"/>
        <v>4.3591979075850045E-4</v>
      </c>
      <c r="R234" s="318">
        <f t="shared" si="3"/>
        <v>148</v>
      </c>
      <c r="S234" s="388">
        <f t="shared" si="4"/>
        <v>5.3076652728068223E-4</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0</v>
      </c>
      <c r="Q235" s="388">
        <f t="shared" si="2"/>
        <v>0</v>
      </c>
      <c r="R235" s="318">
        <f t="shared" si="3"/>
        <v>0</v>
      </c>
      <c r="S235" s="388">
        <f t="shared" si="4"/>
        <v>0</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1</v>
      </c>
      <c r="Q237" s="388">
        <f t="shared" si="2"/>
        <v>4.3591979075850045E-4</v>
      </c>
      <c r="R237" s="318">
        <f t="shared" si="3"/>
        <v>216</v>
      </c>
      <c r="S237" s="388">
        <f t="shared" si="4"/>
        <v>7.74632229004239E-4</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0</v>
      </c>
      <c r="Q238" s="388">
        <f t="shared" si="2"/>
        <v>0</v>
      </c>
      <c r="R238" s="318">
        <f t="shared" si="3"/>
        <v>0</v>
      </c>
      <c r="S238" s="388">
        <f t="shared" si="4"/>
        <v>0</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1</v>
      </c>
      <c r="Q239" s="388">
        <f t="shared" si="2"/>
        <v>4.3591979075850045E-4</v>
      </c>
      <c r="R239" s="318">
        <f t="shared" si="3"/>
        <v>121</v>
      </c>
      <c r="S239" s="388">
        <f t="shared" si="4"/>
        <v>4.339374986551524E-4</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6</v>
      </c>
      <c r="Q240" s="388">
        <f t="shared" si="2"/>
        <v>2.6155187445510027E-3</v>
      </c>
      <c r="R240" s="318">
        <f t="shared" si="3"/>
        <v>1083</v>
      </c>
      <c r="S240" s="388">
        <f t="shared" si="4"/>
        <v>3.8839199259795868E-3</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2294</v>
      </c>
      <c r="Q242" s="388">
        <f>SUM(Q233:Q241)</f>
        <v>1</v>
      </c>
      <c r="R242" s="318">
        <f>SUM(R233:R241)</f>
        <v>278842</v>
      </c>
      <c r="S242" s="388">
        <f>SUM(S233:S241)</f>
        <v>1</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2242</v>
      </c>
      <c r="Q245" s="250">
        <f t="shared" ref="Q245:Q252" si="5">P245/$P$254</f>
        <v>1</v>
      </c>
      <c r="R245" s="242">
        <v>271707</v>
      </c>
      <c r="S245" s="250">
        <f t="shared" ref="S245:S252" si="6">R245/$R$254</f>
        <v>1</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0</v>
      </c>
      <c r="Q246" s="388">
        <f t="shared" si="5"/>
        <v>0</v>
      </c>
      <c r="R246" s="318">
        <v>0</v>
      </c>
      <c r="S246" s="388">
        <f t="shared" si="6"/>
        <v>0</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2242</v>
      </c>
      <c r="Q254" s="388">
        <f>SUM(Q245:Q253)</f>
        <v>1</v>
      </c>
      <c r="R254" s="318">
        <f>SUM(R245:R253)</f>
        <v>271707</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43</v>
      </c>
      <c r="Q257" s="250">
        <f t="shared" ref="Q257:Q264" si="7">P257/$P$266</f>
        <v>0.82692307692307687</v>
      </c>
      <c r="R257" s="242">
        <v>5567</v>
      </c>
      <c r="S257" s="250">
        <f t="shared" ref="S257:S264" si="8">R257/$R$266</f>
        <v>0.78023826208829716</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1</v>
      </c>
      <c r="Q258" s="388">
        <f t="shared" si="7"/>
        <v>1.9230769230769232E-2</v>
      </c>
      <c r="R258" s="318">
        <v>148</v>
      </c>
      <c r="S258" s="388">
        <f t="shared" si="8"/>
        <v>2.0742817098808691E-2</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0</v>
      </c>
      <c r="Q259" s="388">
        <f t="shared" si="7"/>
        <v>0</v>
      </c>
      <c r="R259" s="318">
        <v>0</v>
      </c>
      <c r="S259" s="388">
        <f t="shared" si="8"/>
        <v>0</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1</v>
      </c>
      <c r="Q261" s="388">
        <f t="shared" si="7"/>
        <v>1.9230769230769232E-2</v>
      </c>
      <c r="R261" s="318">
        <v>216</v>
      </c>
      <c r="S261" s="388">
        <f t="shared" si="8"/>
        <v>3.0273300630693764E-2</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0</v>
      </c>
      <c r="Q262" s="388">
        <f t="shared" si="7"/>
        <v>0</v>
      </c>
      <c r="R262" s="318">
        <v>0</v>
      </c>
      <c r="S262" s="388">
        <f t="shared" si="8"/>
        <v>0</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1</v>
      </c>
      <c r="Q263" s="388">
        <f t="shared" si="7"/>
        <v>1.9230769230769232E-2</v>
      </c>
      <c r="R263" s="318">
        <v>121</v>
      </c>
      <c r="S263" s="388">
        <f t="shared" si="8"/>
        <v>1.6958654519971968E-2</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6</v>
      </c>
      <c r="Q264" s="388">
        <f t="shared" si="7"/>
        <v>0.11538461538461539</v>
      </c>
      <c r="R264" s="318">
        <v>1083</v>
      </c>
      <c r="S264" s="388">
        <f t="shared" si="8"/>
        <v>0.15178696566222846</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52</v>
      </c>
      <c r="Q266" s="388">
        <f>SUM(Q257:Q265)</f>
        <v>1</v>
      </c>
      <c r="R266" s="318">
        <f>SUM(R257:R265)</f>
        <v>7135</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2294</v>
      </c>
      <c r="Q280" s="388"/>
      <c r="R280" s="396">
        <f>+R278+R266+R254</f>
        <v>278842</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322</v>
      </c>
      <c r="C285" s="220"/>
      <c r="D285" s="220"/>
      <c r="E285" s="220"/>
      <c r="F285" s="256" t="s">
        <v>159</v>
      </c>
      <c r="G285" s="220"/>
      <c r="H285" s="220" t="s">
        <v>167</v>
      </c>
      <c r="I285" s="255"/>
      <c r="J285" s="255"/>
      <c r="K285" s="255"/>
      <c r="L285" s="255"/>
      <c r="M285" s="255"/>
      <c r="N285" s="255"/>
      <c r="O285" s="255"/>
      <c r="P285" s="255"/>
      <c r="Q285" s="255"/>
      <c r="R285" s="255"/>
      <c r="S285" s="255"/>
      <c r="T285" s="255"/>
      <c r="U285" s="192"/>
      <c r="V285" s="5"/>
    </row>
    <row r="286" spans="1:22" ht="15.6" x14ac:dyDescent="0.3">
      <c r="A286" s="254"/>
      <c r="B286" s="220" t="s">
        <v>323</v>
      </c>
      <c r="C286" s="220"/>
      <c r="D286" s="220"/>
      <c r="E286" s="220"/>
      <c r="F286" s="256" t="s">
        <v>274</v>
      </c>
      <c r="G286" s="220"/>
      <c r="H286" s="220" t="s">
        <v>275</v>
      </c>
      <c r="I286" s="255"/>
      <c r="J286" s="255"/>
      <c r="K286" s="255"/>
      <c r="L286" s="255"/>
      <c r="M286" s="255"/>
      <c r="N286" s="255"/>
      <c r="O286" s="255"/>
      <c r="P286" s="255"/>
      <c r="Q286" s="255"/>
      <c r="R286" s="255"/>
      <c r="S286" s="255"/>
      <c r="T286" s="255"/>
      <c r="U286" s="192"/>
      <c r="V286" s="5"/>
    </row>
    <row r="287" spans="1:22" ht="15.6" x14ac:dyDescent="0.3">
      <c r="A287" s="254"/>
      <c r="B287" s="220" t="s">
        <v>324</v>
      </c>
      <c r="C287" s="220"/>
      <c r="D287" s="220"/>
      <c r="E287" s="220"/>
      <c r="F287" s="256" t="s">
        <v>158</v>
      </c>
      <c r="G287" s="220"/>
      <c r="H287" s="220" t="s">
        <v>168</v>
      </c>
      <c r="I287" s="255"/>
      <c r="J287" s="255"/>
      <c r="K287" s="255"/>
      <c r="L287" s="255"/>
      <c r="M287" s="255"/>
      <c r="N287" s="255"/>
      <c r="O287" s="255"/>
      <c r="P287" s="255"/>
      <c r="Q287" s="255"/>
      <c r="R287" s="255"/>
      <c r="S287" s="255"/>
      <c r="T287" s="255"/>
      <c r="U287" s="192"/>
      <c r="V287" s="5"/>
    </row>
    <row r="288" spans="1:22" ht="15.6" x14ac:dyDescent="0.3">
      <c r="A288" s="254"/>
      <c r="B288" s="220"/>
      <c r="C288" s="220"/>
      <c r="D288" s="220"/>
      <c r="E288" s="220"/>
      <c r="F288" s="220"/>
      <c r="G288" s="257"/>
      <c r="H288" s="255"/>
      <c r="I288" s="255"/>
      <c r="J288" s="255"/>
      <c r="K288" s="255"/>
      <c r="L288" s="255"/>
      <c r="M288" s="255"/>
      <c r="N288" s="255"/>
      <c r="O288" s="255"/>
      <c r="P288" s="255"/>
      <c r="Q288" s="255"/>
      <c r="R288" s="255"/>
      <c r="S288" s="255"/>
      <c r="T288" s="255"/>
      <c r="U288" s="192"/>
      <c r="V288" s="5"/>
    </row>
    <row r="289" spans="1:22" ht="15.6" x14ac:dyDescent="0.3">
      <c r="A289" s="216"/>
      <c r="B289" s="185"/>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ht="18" thickBot="1" x14ac:dyDescent="0.35">
      <c r="A290" s="216"/>
      <c r="B290" s="267" t="str">
        <f>B195</f>
        <v>PM9 INVESTOR REPORT QUARTER ENDING JANUARY 2015</v>
      </c>
      <c r="C290" s="185"/>
      <c r="D290" s="185"/>
      <c r="E290" s="185"/>
      <c r="F290" s="185"/>
      <c r="G290" s="217"/>
      <c r="H290" s="192"/>
      <c r="I290" s="192"/>
      <c r="J290" s="192"/>
      <c r="K290" s="192"/>
      <c r="L290" s="192"/>
      <c r="M290" s="192"/>
      <c r="N290" s="192"/>
      <c r="O290" s="192"/>
      <c r="P290" s="192"/>
      <c r="Q290" s="192"/>
      <c r="R290" s="192"/>
      <c r="S290" s="192"/>
      <c r="T290" s="192"/>
      <c r="U290" s="192"/>
      <c r="V290" s="5"/>
    </row>
    <row r="291" spans="1:22" x14ac:dyDescent="0.25">
      <c r="A291" s="101"/>
      <c r="B291" s="101"/>
      <c r="C291" s="101"/>
      <c r="D291" s="101"/>
      <c r="E291" s="101"/>
      <c r="F291" s="101"/>
      <c r="G291" s="101"/>
      <c r="H291" s="101"/>
      <c r="I291" s="101"/>
      <c r="J291" s="101"/>
      <c r="K291" s="101"/>
      <c r="L291" s="101"/>
      <c r="M291" s="101"/>
      <c r="N291" s="101"/>
      <c r="O291" s="101"/>
      <c r="P291" s="101"/>
      <c r="Q291" s="101"/>
      <c r="R291" s="101"/>
      <c r="S291" s="101"/>
      <c r="T291" s="101"/>
      <c r="U291" s="101"/>
    </row>
  </sheetData>
  <hyperlinks>
    <hyperlink ref="J9" r:id="rId1" xr:uid="{00000000-0004-0000-2500-000000000000}"/>
    <hyperlink ref="N230" r:id="rId2" xr:uid="{00000000-0004-0000-25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0" man="1"/>
    <brk id="134" max="20" man="1"/>
    <brk id="195" max="20" man="1"/>
  </row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89CB31"/>
  </sheetPr>
  <dimension ref="A1:W291"/>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0.72709999999999997</v>
      </c>
      <c r="R16" s="225" t="s">
        <v>149</v>
      </c>
      <c r="S16" s="224">
        <v>0.27289999999999998</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42146</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334</v>
      </c>
      <c r="E25" s="398"/>
      <c r="F25" s="398" t="s">
        <v>334</v>
      </c>
      <c r="G25" s="398"/>
      <c r="H25" s="398" t="s">
        <v>334</v>
      </c>
      <c r="I25" s="398"/>
      <c r="J25" s="398" t="s">
        <v>335</v>
      </c>
      <c r="K25" s="398"/>
      <c r="L25" s="398" t="s">
        <v>335</v>
      </c>
      <c r="M25" s="398"/>
      <c r="N25" s="398" t="s">
        <v>336</v>
      </c>
      <c r="O25" s="398"/>
      <c r="P25" s="398" t="s">
        <v>336</v>
      </c>
      <c r="Q25" s="398"/>
      <c r="R25" s="273"/>
      <c r="S25" s="274"/>
      <c r="T25" s="274"/>
      <c r="U25" s="275"/>
      <c r="V25" s="5"/>
    </row>
    <row r="26" spans="1:22" ht="15.6" x14ac:dyDescent="0.3">
      <c r="A26" s="276"/>
      <c r="B26" s="277" t="s">
        <v>10</v>
      </c>
      <c r="C26" s="398"/>
      <c r="D26" s="398" t="s">
        <v>153</v>
      </c>
      <c r="E26" s="398"/>
      <c r="F26" s="398" t="s">
        <v>153</v>
      </c>
      <c r="G26" s="398"/>
      <c r="H26" s="398" t="s">
        <v>153</v>
      </c>
      <c r="I26" s="398"/>
      <c r="J26" s="398" t="s">
        <v>153</v>
      </c>
      <c r="K26" s="398"/>
      <c r="L26" s="398" t="s">
        <v>153</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121140.2052</v>
      </c>
      <c r="E30" s="280"/>
      <c r="F30" s="282">
        <f>F29*F36</f>
        <v>124291.25099999999</v>
      </c>
      <c r="G30" s="281"/>
      <c r="H30" s="283">
        <f>H29*H36</f>
        <v>21006.87</v>
      </c>
      <c r="I30" s="281"/>
      <c r="J30" s="281">
        <f>J29*J36</f>
        <v>5576.8328000000001</v>
      </c>
      <c r="K30" s="281"/>
      <c r="L30" s="282">
        <f>L29*L36</f>
        <v>23502.3668</v>
      </c>
      <c r="M30" s="281"/>
      <c r="N30" s="284">
        <f>N29*N36</f>
        <v>2390.0711999999999</v>
      </c>
      <c r="O30" s="281"/>
      <c r="P30" s="282">
        <f>P29*P36</f>
        <v>52581.566400000003</v>
      </c>
      <c r="Q30" s="281"/>
      <c r="R30" s="281"/>
      <c r="S30" s="285"/>
      <c r="T30" s="281"/>
      <c r="U30" s="286"/>
      <c r="V30" s="5"/>
    </row>
    <row r="31" spans="1:22" ht="15.6" x14ac:dyDescent="0.3">
      <c r="A31" s="276"/>
      <c r="B31" s="277" t="s">
        <v>143</v>
      </c>
      <c r="C31" s="287"/>
      <c r="D31" s="288">
        <f>D35*D29</f>
        <v>120033.28199999999</v>
      </c>
      <c r="E31" s="287"/>
      <c r="F31" s="289">
        <f>F35*F29</f>
        <v>123155.53499999999</v>
      </c>
      <c r="G31" s="288"/>
      <c r="H31" s="290">
        <f>H35*H29</f>
        <v>20814.912</v>
      </c>
      <c r="I31" s="288"/>
      <c r="J31" s="288">
        <f>J35*J29</f>
        <v>5525.8728000000001</v>
      </c>
      <c r="K31" s="288"/>
      <c r="L31" s="289">
        <f>L35*L29</f>
        <v>23287.606799999998</v>
      </c>
      <c r="M31" s="288"/>
      <c r="N31" s="291">
        <f>N35*N29</f>
        <v>2368.2311999999997</v>
      </c>
      <c r="O31" s="288"/>
      <c r="P31" s="289">
        <f>P35*P29</f>
        <v>52101.0864</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121140.2052</v>
      </c>
      <c r="E33" s="280"/>
      <c r="F33" s="281">
        <f>F32*F36</f>
        <v>85603.410900000003</v>
      </c>
      <c r="G33" s="281"/>
      <c r="H33" s="281">
        <f>H32*H36</f>
        <v>11868.88155</v>
      </c>
      <c r="I33" s="281"/>
      <c r="J33" s="281">
        <f>J32*J36</f>
        <v>5576.8328000000001</v>
      </c>
      <c r="K33" s="281"/>
      <c r="L33" s="281">
        <f>L32*L36</f>
        <v>16172.815120000001</v>
      </c>
      <c r="M33" s="281"/>
      <c r="N33" s="281">
        <f>N32*N36</f>
        <v>2390.0711999999999</v>
      </c>
      <c r="O33" s="281"/>
      <c r="P33" s="281">
        <f>P32*P36</f>
        <v>36090.075120000001</v>
      </c>
      <c r="Q33" s="281"/>
      <c r="R33" s="281"/>
      <c r="S33" s="285"/>
      <c r="T33" s="281">
        <f>SUM(C33:P33)</f>
        <v>278842.29188999999</v>
      </c>
      <c r="U33" s="286"/>
      <c r="V33" s="5"/>
    </row>
    <row r="34" spans="1:22" ht="15.6" x14ac:dyDescent="0.3">
      <c r="A34" s="276"/>
      <c r="B34" s="277" t="s">
        <v>291</v>
      </c>
      <c r="C34" s="287"/>
      <c r="D34" s="288">
        <f>D35*D32</f>
        <v>120033.28199999999</v>
      </c>
      <c r="E34" s="287"/>
      <c r="F34" s="288">
        <f>F35*F32</f>
        <v>84821.2065</v>
      </c>
      <c r="G34" s="288"/>
      <c r="H34" s="288">
        <f>H35*H32</f>
        <v>11760.425279999999</v>
      </c>
      <c r="I34" s="288"/>
      <c r="J34" s="288">
        <f>J35*J32</f>
        <v>5525.8728000000001</v>
      </c>
      <c r="K34" s="288"/>
      <c r="L34" s="288">
        <f>L35*L32</f>
        <v>16025.03112</v>
      </c>
      <c r="M34" s="288"/>
      <c r="N34" s="288">
        <f>N35*N32</f>
        <v>2368.2311999999997</v>
      </c>
      <c r="O34" s="288"/>
      <c r="P34" s="288">
        <f>P35*P32</f>
        <v>35760.291119999994</v>
      </c>
      <c r="Q34" s="288"/>
      <c r="R34" s="288"/>
      <c r="S34" s="292"/>
      <c r="T34" s="288">
        <f>SUM(C34:P34)</f>
        <v>276294.34002</v>
      </c>
      <c r="U34" s="286"/>
      <c r="V34" s="5"/>
    </row>
    <row r="35" spans="1:22" ht="15.6" x14ac:dyDescent="0.3">
      <c r="A35" s="276"/>
      <c r="B35" s="293" t="s">
        <v>139</v>
      </c>
      <c r="C35" s="294"/>
      <c r="D35" s="295">
        <v>0.34691699999999998</v>
      </c>
      <c r="E35" s="296"/>
      <c r="F35" s="295">
        <v>0.34691699999999998</v>
      </c>
      <c r="G35" s="295"/>
      <c r="H35" s="295">
        <v>0.34691519999999998</v>
      </c>
      <c r="I35" s="297"/>
      <c r="J35" s="295">
        <v>0.78941039999999996</v>
      </c>
      <c r="K35" s="297"/>
      <c r="L35" s="295">
        <v>0.78941039999999996</v>
      </c>
      <c r="M35" s="297"/>
      <c r="N35" s="295">
        <v>0.78941039999999996</v>
      </c>
      <c r="O35" s="297"/>
      <c r="P35" s="295">
        <v>0.78941039999999996</v>
      </c>
      <c r="Q35" s="298"/>
      <c r="R35" s="298"/>
      <c r="S35" s="299"/>
      <c r="T35" s="298"/>
      <c r="U35" s="300"/>
      <c r="V35" s="5"/>
    </row>
    <row r="36" spans="1:22" ht="15.6" x14ac:dyDescent="0.3">
      <c r="A36" s="276"/>
      <c r="B36" s="293" t="s">
        <v>140</v>
      </c>
      <c r="C36" s="294"/>
      <c r="D36" s="295">
        <v>0.35011619999999999</v>
      </c>
      <c r="E36" s="296"/>
      <c r="F36" s="295">
        <v>0.35011619999999999</v>
      </c>
      <c r="G36" s="295"/>
      <c r="H36" s="295">
        <v>0.3501145</v>
      </c>
      <c r="I36" s="297"/>
      <c r="J36" s="295">
        <v>0.79669040000000002</v>
      </c>
      <c r="K36" s="297"/>
      <c r="L36" s="295">
        <v>0.79669040000000002</v>
      </c>
      <c r="M36" s="297"/>
      <c r="N36" s="295">
        <v>0.79669040000000002</v>
      </c>
      <c r="O36" s="297"/>
      <c r="P36" s="295">
        <v>0.79669040000000002</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9.2149999999999992E-3</v>
      </c>
      <c r="E38" s="272"/>
      <c r="F38" s="303">
        <v>4.0800000000000003E-3</v>
      </c>
      <c r="G38" s="304"/>
      <c r="H38" s="303">
        <v>6.1710000000000003E-3</v>
      </c>
      <c r="I38" s="304"/>
      <c r="J38" s="303">
        <v>1.1415E-2</v>
      </c>
      <c r="K38" s="304"/>
      <c r="L38" s="303">
        <v>6.28E-3</v>
      </c>
      <c r="M38" s="304"/>
      <c r="N38" s="303">
        <v>1.6015000000000001E-2</v>
      </c>
      <c r="O38" s="304"/>
      <c r="P38" s="303">
        <v>1.0880000000000001E-2</v>
      </c>
      <c r="Q38" s="304"/>
      <c r="R38" s="303"/>
      <c r="S38" s="274"/>
      <c r="T38" s="304"/>
      <c r="U38" s="275"/>
      <c r="V38" s="5"/>
    </row>
    <row r="39" spans="1:22" ht="15.6" x14ac:dyDescent="0.3">
      <c r="A39" s="302"/>
      <c r="B39" s="272" t="s">
        <v>14</v>
      </c>
      <c r="C39" s="272"/>
      <c r="D39" s="303">
        <v>9.1524999999999992E-3</v>
      </c>
      <c r="E39" s="272"/>
      <c r="F39" s="303">
        <v>4.3800000000000002E-3</v>
      </c>
      <c r="G39" s="304"/>
      <c r="H39" s="303">
        <v>5.921E-3</v>
      </c>
      <c r="I39" s="304"/>
      <c r="J39" s="303">
        <v>1.13525E-2</v>
      </c>
      <c r="K39" s="304"/>
      <c r="L39" s="303">
        <v>6.5799999999999999E-3</v>
      </c>
      <c r="M39" s="304"/>
      <c r="N39" s="303">
        <v>1.5952500000000001E-2</v>
      </c>
      <c r="O39" s="304"/>
      <c r="P39" s="303">
        <v>1.1180000000000001E-2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9.2149999999999992E-3</v>
      </c>
      <c r="E41" s="272"/>
      <c r="F41" s="303">
        <v>9.4149999999999998E-3</v>
      </c>
      <c r="G41" s="304"/>
      <c r="H41" s="303">
        <v>9.6749999999999996E-3</v>
      </c>
      <c r="I41" s="304"/>
      <c r="J41" s="303">
        <f>+J38</f>
        <v>1.1415E-2</v>
      </c>
      <c r="K41" s="304"/>
      <c r="L41" s="303">
        <v>1.2005E-2</v>
      </c>
      <c r="M41" s="304"/>
      <c r="N41" s="303">
        <f>+N38</f>
        <v>1.6015000000000001E-2</v>
      </c>
      <c r="O41" s="304"/>
      <c r="P41" s="303">
        <v>1.6895E-2</v>
      </c>
      <c r="Q41" s="304"/>
      <c r="R41" s="303"/>
      <c r="S41" s="274"/>
      <c r="T41" s="304">
        <f>SUMPRODUCT(D41:P41,D33:P33)/T33</f>
        <v>1.0554093193462562E-2</v>
      </c>
      <c r="U41" s="275"/>
      <c r="V41" s="5"/>
    </row>
    <row r="42" spans="1:22" ht="15.6" x14ac:dyDescent="0.3">
      <c r="A42" s="302"/>
      <c r="B42" s="272" t="s">
        <v>294</v>
      </c>
      <c r="C42" s="272"/>
      <c r="D42" s="303">
        <f>+D39</f>
        <v>9.1524999999999992E-3</v>
      </c>
      <c r="E42" s="272"/>
      <c r="F42" s="303">
        <v>9.3524999999999997E-3</v>
      </c>
      <c r="G42" s="304"/>
      <c r="H42" s="303">
        <v>9.6124999999999995E-3</v>
      </c>
      <c r="I42" s="304"/>
      <c r="J42" s="303">
        <f>+J39</f>
        <v>1.13525E-2</v>
      </c>
      <c r="K42" s="304"/>
      <c r="L42" s="303">
        <v>1.19425E-2</v>
      </c>
      <c r="M42" s="304"/>
      <c r="N42" s="303">
        <f>+N39</f>
        <v>1.5952500000000001E-2</v>
      </c>
      <c r="O42" s="304"/>
      <c r="P42" s="303">
        <v>1.68325E-2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0.27550931373364279</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42139</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92</v>
      </c>
      <c r="Q54" s="272"/>
      <c r="R54" s="312">
        <v>41960</v>
      </c>
      <c r="S54" s="313"/>
      <c r="T54" s="312">
        <v>42051</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87</v>
      </c>
      <c r="Q55" s="272"/>
      <c r="R55" s="312">
        <v>42052</v>
      </c>
      <c r="S55" s="313"/>
      <c r="T55" s="312">
        <v>42138</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42125</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337</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278842</v>
      </c>
      <c r="M65" s="317"/>
      <c r="N65" s="317">
        <f>2548+219</f>
        <v>2767</v>
      </c>
      <c r="O65" s="317"/>
      <c r="P65" s="317">
        <v>219</v>
      </c>
      <c r="Q65" s="317"/>
      <c r="R65" s="317">
        <v>0</v>
      </c>
      <c r="S65" s="317"/>
      <c r="T65" s="318">
        <f>+L65-N65+P65-R65</f>
        <v>276294</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278842</v>
      </c>
      <c r="M68" s="317"/>
      <c r="N68" s="317">
        <f>SUM(N65:N67)</f>
        <v>2767</v>
      </c>
      <c r="O68" s="317"/>
      <c r="P68" s="317">
        <f>SUM(P65:P67)</f>
        <v>219</v>
      </c>
      <c r="Q68" s="317"/>
      <c r="R68" s="317">
        <f>SUM(R65:R67)</f>
        <v>0</v>
      </c>
      <c r="S68" s="317"/>
      <c r="T68" s="317">
        <f>SUM(T65:T67)</f>
        <v>276294</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278842</v>
      </c>
      <c r="M81" s="317"/>
      <c r="N81" s="317"/>
      <c r="O81" s="317"/>
      <c r="P81" s="317"/>
      <c r="Q81" s="317"/>
      <c r="R81" s="317"/>
      <c r="S81" s="317"/>
      <c r="T81" s="317">
        <f>SUM(T68:T80)</f>
        <v>276294</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42124</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2767+8</f>
        <v>2775</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1788+697-643-241</f>
        <v>1601</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59+4</f>
        <v>63</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20</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84</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2775</v>
      </c>
      <c r="S93" s="272"/>
      <c r="T93" s="317">
        <f>SUM(T85:T92)</f>
        <v>1768</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93</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2775</v>
      </c>
      <c r="S97" s="272"/>
      <c r="T97" s="317">
        <f>T93+T95+T94+T96</f>
        <v>1861</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-104-123-4</f>
        <v>-231</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0</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-266</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-192</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-27</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-15</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-46</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-9</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-145</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-8</v>
      </c>
      <c r="S113" s="272"/>
      <c r="T113" s="318">
        <v>8</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-104</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-826</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-219</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-1107</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-782</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-108</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-51</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-148</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-22</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-330</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-2767</v>
      </c>
      <c r="S130" s="317"/>
      <c r="T130" s="317">
        <f>SUM(T98:T128)</f>
        <v>-1861</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APRIL 2015</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400" t="s">
        <v>327</v>
      </c>
      <c r="C153" s="272"/>
      <c r="D153" s="272"/>
      <c r="E153" s="272"/>
      <c r="F153" s="272"/>
      <c r="G153" s="272"/>
      <c r="H153" s="272"/>
      <c r="I153" s="272"/>
      <c r="J153" s="272"/>
      <c r="K153" s="272"/>
      <c r="L153" s="272"/>
      <c r="M153" s="272"/>
      <c r="N153" s="272"/>
      <c r="O153" s="272"/>
      <c r="P153" s="272"/>
      <c r="Q153" s="272"/>
      <c r="R153" s="272"/>
      <c r="S153" s="272"/>
      <c r="T153" s="318">
        <v>0</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-8</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-8</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8</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v>0</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276294</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276294</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+'Jan 15'!Q181</f>
        <v>47721</v>
      </c>
      <c r="R179" s="318">
        <f>+'Jan 15'!R181</f>
        <v>2435</v>
      </c>
      <c r="S179" s="272"/>
      <c r="T179" s="318">
        <f>Q179+R179</f>
        <v>50156</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219</v>
      </c>
      <c r="R180" s="317">
        <v>0</v>
      </c>
      <c r="S180" s="272"/>
      <c r="T180" s="318">
        <f>Q180+R180</f>
        <v>219</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47940</v>
      </c>
      <c r="R181" s="318">
        <f>R180+R179</f>
        <v>2435</v>
      </c>
      <c r="S181" s="272"/>
      <c r="T181" s="318">
        <f>Q181+R181</f>
        <v>50375</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61625</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3.3567010309278351</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1.64</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18.737704918032787</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9.08</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7.0259740259740262</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4.07</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APRIL 2015</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42124</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2.315E-2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1.0554093193462562E-2</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1.2595906806537438E-2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6.6740304545226331E-3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11.9</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9.9231823039570791E-3</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9.9599999999999994E-2</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1</v>
      </c>
      <c r="R214" s="248">
        <v>148</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52</v>
      </c>
      <c r="R215" s="360">
        <f>+R266</f>
        <v>7016</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-8</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'Jan 15'!R221+'April 15'!R220</f>
        <v>3603</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2</v>
      </c>
      <c r="R227" s="360">
        <v>354</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0</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2255</v>
      </c>
      <c r="Q233" s="388">
        <f t="shared" ref="Q233:Q240" si="2">P233/$P$242</f>
        <v>0.99470666078517866</v>
      </c>
      <c r="R233" s="318">
        <f t="shared" ref="R233:R240" si="3">+R245+R257+R269</f>
        <v>274304</v>
      </c>
      <c r="S233" s="388">
        <f t="shared" ref="S233:S240" si="4">R233/$R$242</f>
        <v>0.99279752727167436</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3</v>
      </c>
      <c r="Q234" s="388">
        <f t="shared" si="2"/>
        <v>1.3233348037053375E-3</v>
      </c>
      <c r="R234" s="318">
        <f t="shared" si="3"/>
        <v>551</v>
      </c>
      <c r="S234" s="388">
        <f t="shared" si="4"/>
        <v>1.9942524991494568E-3</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2</v>
      </c>
      <c r="Q235" s="388">
        <f t="shared" si="2"/>
        <v>8.8222320247022495E-4</v>
      </c>
      <c r="R235" s="318">
        <f t="shared" si="3"/>
        <v>235</v>
      </c>
      <c r="S235" s="388">
        <f t="shared" si="4"/>
        <v>8.5054326188769929E-4</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0</v>
      </c>
      <c r="Q238" s="388">
        <f t="shared" si="2"/>
        <v>0</v>
      </c>
      <c r="R238" s="318">
        <f t="shared" si="3"/>
        <v>0</v>
      </c>
      <c r="S238" s="388">
        <f t="shared" si="4"/>
        <v>0</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1</v>
      </c>
      <c r="Q239" s="388">
        <f t="shared" si="2"/>
        <v>4.4111160123511248E-4</v>
      </c>
      <c r="R239" s="318">
        <f t="shared" si="3"/>
        <v>121</v>
      </c>
      <c r="S239" s="388">
        <f t="shared" si="4"/>
        <v>4.3793929654643241E-4</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6</v>
      </c>
      <c r="Q240" s="388">
        <f t="shared" si="2"/>
        <v>2.6466696074106751E-3</v>
      </c>
      <c r="R240" s="318">
        <f t="shared" si="3"/>
        <v>1083</v>
      </c>
      <c r="S240" s="388">
        <f t="shared" si="4"/>
        <v>3.9197376707420352E-3</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2267</v>
      </c>
      <c r="Q242" s="388">
        <f>SUM(Q233:Q241)</f>
        <v>1.0000000000000002</v>
      </c>
      <c r="R242" s="318">
        <f>SUM(R233:R241)</f>
        <v>276294</v>
      </c>
      <c r="S242" s="388">
        <f>SUM(S233:S241)</f>
        <v>1</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2215</v>
      </c>
      <c r="Q245" s="250">
        <f t="shared" ref="Q245:Q252" si="5">P245/$P$254</f>
        <v>1</v>
      </c>
      <c r="R245" s="242">
        <v>269278</v>
      </c>
      <c r="S245" s="250">
        <f t="shared" ref="S245:S252" si="6">R245/$R$254</f>
        <v>1</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0</v>
      </c>
      <c r="Q246" s="388">
        <f t="shared" si="5"/>
        <v>0</v>
      </c>
      <c r="R246" s="318">
        <v>0</v>
      </c>
      <c r="S246" s="388">
        <f t="shared" si="6"/>
        <v>0</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2215</v>
      </c>
      <c r="Q254" s="388">
        <f>SUM(Q245:Q253)</f>
        <v>1</v>
      </c>
      <c r="R254" s="318">
        <f>SUM(R245:R253)</f>
        <v>269278</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40</v>
      </c>
      <c r="Q257" s="250">
        <f t="shared" ref="Q257:Q264" si="7">P257/$P$266</f>
        <v>0.76923076923076927</v>
      </c>
      <c r="R257" s="242">
        <v>5026</v>
      </c>
      <c r="S257" s="250">
        <f t="shared" ref="S257:S264" si="8">R257/$R$266</f>
        <v>0.71636259977194983</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3</v>
      </c>
      <c r="Q258" s="388">
        <f t="shared" si="7"/>
        <v>5.7692307692307696E-2</v>
      </c>
      <c r="R258" s="318">
        <v>551</v>
      </c>
      <c r="S258" s="388">
        <f t="shared" si="8"/>
        <v>7.8534777651083243E-2</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2</v>
      </c>
      <c r="Q259" s="388">
        <f t="shared" si="7"/>
        <v>3.8461538461538464E-2</v>
      </c>
      <c r="R259" s="318">
        <v>235</v>
      </c>
      <c r="S259" s="388">
        <f t="shared" si="8"/>
        <v>3.3494868871151655E-2</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0</v>
      </c>
      <c r="Q262" s="388">
        <f t="shared" si="7"/>
        <v>0</v>
      </c>
      <c r="R262" s="318">
        <v>0</v>
      </c>
      <c r="S262" s="388">
        <f t="shared" si="8"/>
        <v>0</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1</v>
      </c>
      <c r="Q263" s="388">
        <f t="shared" si="7"/>
        <v>1.9230769230769232E-2</v>
      </c>
      <c r="R263" s="318">
        <v>121</v>
      </c>
      <c r="S263" s="388">
        <f t="shared" si="8"/>
        <v>1.7246294184720637E-2</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6</v>
      </c>
      <c r="Q264" s="388">
        <f t="shared" si="7"/>
        <v>0.11538461538461539</v>
      </c>
      <c r="R264" s="318">
        <v>1083</v>
      </c>
      <c r="S264" s="388">
        <f t="shared" si="8"/>
        <v>0.15436145952109465</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52</v>
      </c>
      <c r="Q266" s="388">
        <f>SUM(Q257:Q265)</f>
        <v>1</v>
      </c>
      <c r="R266" s="318">
        <f>SUM(R257:R265)</f>
        <v>7016</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2267</v>
      </c>
      <c r="Q280" s="388"/>
      <c r="R280" s="396">
        <f>+R278+R266+R254</f>
        <v>276294</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322</v>
      </c>
      <c r="C285" s="220"/>
      <c r="D285" s="220"/>
      <c r="E285" s="220"/>
      <c r="F285" s="256" t="s">
        <v>159</v>
      </c>
      <c r="G285" s="220"/>
      <c r="H285" s="220" t="s">
        <v>167</v>
      </c>
      <c r="I285" s="255"/>
      <c r="J285" s="255"/>
      <c r="K285" s="255"/>
      <c r="L285" s="255"/>
      <c r="M285" s="255"/>
      <c r="N285" s="255"/>
      <c r="O285" s="255"/>
      <c r="P285" s="255"/>
      <c r="Q285" s="255"/>
      <c r="R285" s="255"/>
      <c r="S285" s="255"/>
      <c r="T285" s="255"/>
      <c r="U285" s="192"/>
      <c r="V285" s="5"/>
    </row>
    <row r="286" spans="1:22" ht="15.6" x14ac:dyDescent="0.3">
      <c r="A286" s="254"/>
      <c r="B286" s="220" t="s">
        <v>323</v>
      </c>
      <c r="C286" s="220"/>
      <c r="D286" s="220"/>
      <c r="E286" s="220"/>
      <c r="F286" s="256" t="s">
        <v>274</v>
      </c>
      <c r="G286" s="220"/>
      <c r="H286" s="220" t="s">
        <v>275</v>
      </c>
      <c r="I286" s="255"/>
      <c r="J286" s="255"/>
      <c r="K286" s="255"/>
      <c r="L286" s="255"/>
      <c r="M286" s="255"/>
      <c r="N286" s="255"/>
      <c r="O286" s="255"/>
      <c r="P286" s="255"/>
      <c r="Q286" s="255"/>
      <c r="R286" s="255"/>
      <c r="S286" s="255"/>
      <c r="T286" s="255"/>
      <c r="U286" s="192"/>
      <c r="V286" s="5"/>
    </row>
    <row r="287" spans="1:22" ht="15.6" x14ac:dyDescent="0.3">
      <c r="A287" s="254"/>
      <c r="B287" s="220" t="s">
        <v>324</v>
      </c>
      <c r="C287" s="220"/>
      <c r="D287" s="220"/>
      <c r="E287" s="220"/>
      <c r="F287" s="256" t="s">
        <v>158</v>
      </c>
      <c r="G287" s="220"/>
      <c r="H287" s="220" t="s">
        <v>168</v>
      </c>
      <c r="I287" s="255"/>
      <c r="J287" s="255"/>
      <c r="K287" s="255"/>
      <c r="L287" s="255"/>
      <c r="M287" s="255"/>
      <c r="N287" s="255"/>
      <c r="O287" s="255"/>
      <c r="P287" s="255"/>
      <c r="Q287" s="255"/>
      <c r="R287" s="255"/>
      <c r="S287" s="255"/>
      <c r="T287" s="255"/>
      <c r="U287" s="192"/>
      <c r="V287" s="5"/>
    </row>
    <row r="288" spans="1:22" ht="15.6" x14ac:dyDescent="0.3">
      <c r="A288" s="254"/>
      <c r="B288" s="220"/>
      <c r="C288" s="220"/>
      <c r="D288" s="220"/>
      <c r="E288" s="220"/>
      <c r="F288" s="220"/>
      <c r="G288" s="257"/>
      <c r="H288" s="255"/>
      <c r="I288" s="255"/>
      <c r="J288" s="255"/>
      <c r="K288" s="255"/>
      <c r="L288" s="255"/>
      <c r="M288" s="255"/>
      <c r="N288" s="255"/>
      <c r="O288" s="255"/>
      <c r="P288" s="255"/>
      <c r="Q288" s="255"/>
      <c r="R288" s="255"/>
      <c r="S288" s="255"/>
      <c r="T288" s="255"/>
      <c r="U288" s="192"/>
      <c r="V288" s="5"/>
    </row>
    <row r="289" spans="1:22" ht="15.6" x14ac:dyDescent="0.3">
      <c r="A289" s="216"/>
      <c r="B289" s="185"/>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ht="18" thickBot="1" x14ac:dyDescent="0.35">
      <c r="A290" s="216"/>
      <c r="B290" s="267" t="str">
        <f>B195</f>
        <v>PM9 INVESTOR REPORT QUARTER ENDING APRIL 2015</v>
      </c>
      <c r="C290" s="185"/>
      <c r="D290" s="185"/>
      <c r="E290" s="185"/>
      <c r="F290" s="185"/>
      <c r="G290" s="217"/>
      <c r="H290" s="192"/>
      <c r="I290" s="192"/>
      <c r="J290" s="192"/>
      <c r="K290" s="192"/>
      <c r="L290" s="192"/>
      <c r="M290" s="192"/>
      <c r="N290" s="192"/>
      <c r="O290" s="192"/>
      <c r="P290" s="192"/>
      <c r="Q290" s="192"/>
      <c r="R290" s="192"/>
      <c r="S290" s="192"/>
      <c r="T290" s="192"/>
      <c r="U290" s="192"/>
      <c r="V290" s="5"/>
    </row>
    <row r="291" spans="1:22" x14ac:dyDescent="0.25">
      <c r="A291" s="101"/>
      <c r="B291" s="101"/>
      <c r="C291" s="101"/>
      <c r="D291" s="101"/>
      <c r="E291" s="101"/>
      <c r="F291" s="101"/>
      <c r="G291" s="101"/>
      <c r="H291" s="101"/>
      <c r="I291" s="101"/>
      <c r="J291" s="101"/>
      <c r="K291" s="101"/>
      <c r="L291" s="101"/>
      <c r="M291" s="101"/>
      <c r="N291" s="101"/>
      <c r="O291" s="101"/>
      <c r="P291" s="101"/>
      <c r="Q291" s="101"/>
      <c r="R291" s="101"/>
      <c r="S291" s="101"/>
      <c r="T291" s="101"/>
      <c r="U291" s="101"/>
    </row>
  </sheetData>
  <hyperlinks>
    <hyperlink ref="J9" r:id="rId1" xr:uid="{00000000-0004-0000-2600-000000000000}"/>
    <hyperlink ref="N230" r:id="rId2" xr:uid="{00000000-0004-0000-26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0" man="1"/>
    <brk id="134" max="20" man="1"/>
    <brk id="195" max="20"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D2926"/>
  </sheetPr>
  <dimension ref="A1:W275"/>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t="s">
        <v>263</v>
      </c>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0.58260000000000001</v>
      </c>
      <c r="R16" s="17" t="s">
        <v>149</v>
      </c>
      <c r="S16" s="140">
        <v>0.41739999999999999</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38954</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317526.27600000001</v>
      </c>
      <c r="E30" s="32"/>
      <c r="F30" s="125">
        <f>F29*F36</f>
        <v>325785.63</v>
      </c>
      <c r="G30" s="31"/>
      <c r="H30" s="150">
        <f>H29*H36</f>
        <v>55062.36</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305014.91600000003</v>
      </c>
      <c r="E31" s="36"/>
      <c r="F31" s="126">
        <f>F35*F29</f>
        <v>312948.83</v>
      </c>
      <c r="G31" s="35"/>
      <c r="H31" s="155">
        <f>H35*H29</f>
        <v>52892.76</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317526.27600000001</v>
      </c>
      <c r="E33" s="32"/>
      <c r="F33" s="31">
        <f>F32*F36</f>
        <v>224379.117</v>
      </c>
      <c r="G33" s="31"/>
      <c r="H33" s="31">
        <f>H32*H36</f>
        <v>31110.233400000001</v>
      </c>
      <c r="I33" s="31"/>
      <c r="J33" s="31">
        <f>J32*J36</f>
        <v>7000</v>
      </c>
      <c r="K33" s="31"/>
      <c r="L33" s="31">
        <f>L32*L36</f>
        <v>20300</v>
      </c>
      <c r="M33" s="31"/>
      <c r="N33" s="31">
        <f>N32*N36</f>
        <v>3000</v>
      </c>
      <c r="O33" s="31"/>
      <c r="P33" s="31">
        <f>P32*P36</f>
        <v>45300</v>
      </c>
      <c r="Q33" s="31"/>
      <c r="R33" s="31"/>
      <c r="S33" s="161"/>
      <c r="T33" s="31">
        <f>SUM(C33:P33)</f>
        <v>648615.62640000007</v>
      </c>
      <c r="U33" s="34"/>
      <c r="V33" s="5"/>
    </row>
    <row r="34" spans="1:22" ht="15.6" x14ac:dyDescent="0.3">
      <c r="A34" s="28"/>
      <c r="B34" s="29" t="s">
        <v>291</v>
      </c>
      <c r="C34" s="36"/>
      <c r="D34" s="35">
        <f>D35*D32</f>
        <v>305014.91600000003</v>
      </c>
      <c r="E34" s="36"/>
      <c r="F34" s="35">
        <f>F35*F32</f>
        <v>215537.997</v>
      </c>
      <c r="G34" s="35"/>
      <c r="H34" s="35">
        <f>H35*H32</f>
        <v>29884.4094</v>
      </c>
      <c r="I34" s="35"/>
      <c r="J34" s="35">
        <f>J35*J32</f>
        <v>7000</v>
      </c>
      <c r="K34" s="35"/>
      <c r="L34" s="35">
        <f>L35*L32</f>
        <v>20300</v>
      </c>
      <c r="M34" s="35"/>
      <c r="N34" s="35">
        <f>N35*N32</f>
        <v>3000</v>
      </c>
      <c r="O34" s="35"/>
      <c r="P34" s="35">
        <f>P35*P32</f>
        <v>45300</v>
      </c>
      <c r="Q34" s="35"/>
      <c r="R34" s="35"/>
      <c r="S34" s="37"/>
      <c r="T34" s="35">
        <f>SUM(C34:P34)</f>
        <v>626037.32240000006</v>
      </c>
      <c r="U34" s="34"/>
      <c r="V34" s="5"/>
    </row>
    <row r="35" spans="1:22" ht="15.6" x14ac:dyDescent="0.3">
      <c r="A35" s="28"/>
      <c r="B35" s="123" t="s">
        <v>139</v>
      </c>
      <c r="C35" s="127"/>
      <c r="D35" s="138">
        <v>0.88154600000000005</v>
      </c>
      <c r="E35" s="139"/>
      <c r="F35" s="138">
        <v>0.88154600000000005</v>
      </c>
      <c r="G35" s="138"/>
      <c r="H35" s="138">
        <v>0.88154600000000005</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38">
        <v>0.91770600000000002</v>
      </c>
      <c r="E36" s="139"/>
      <c r="F36" s="138">
        <v>0.91770600000000002</v>
      </c>
      <c r="G36" s="138"/>
      <c r="H36" s="138">
        <v>0.91770600000000002</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4.89063E-2</v>
      </c>
      <c r="E38" s="25"/>
      <c r="F38" s="38">
        <v>3.0589999999999999E-2</v>
      </c>
      <c r="G38" s="39"/>
      <c r="H38" s="38">
        <v>5.3499999999999999E-2</v>
      </c>
      <c r="I38" s="39"/>
      <c r="J38" s="38">
        <v>5.0006299999999997E-2</v>
      </c>
      <c r="K38" s="39"/>
      <c r="L38" s="38">
        <v>3.1690000000000003E-2</v>
      </c>
      <c r="M38" s="39"/>
      <c r="N38" s="38">
        <v>5.23063E-2</v>
      </c>
      <c r="O38" s="39"/>
      <c r="P38" s="38">
        <v>3.3989999999999999E-2</v>
      </c>
      <c r="Q38" s="39"/>
      <c r="R38" s="38"/>
      <c r="S38" s="160"/>
      <c r="T38" s="39"/>
      <c r="U38" s="25"/>
      <c r="V38" s="5"/>
    </row>
    <row r="39" spans="1:22" ht="15.6" x14ac:dyDescent="0.3">
      <c r="A39" s="24"/>
      <c r="B39" s="25" t="s">
        <v>14</v>
      </c>
      <c r="C39" s="25"/>
      <c r="D39" s="38">
        <v>4.7543799999999997E-2</v>
      </c>
      <c r="E39" s="25"/>
      <c r="F39" s="38">
        <v>2.7740000000000001E-2</v>
      </c>
      <c r="G39" s="39"/>
      <c r="H39" s="38">
        <v>4.9287499999999998E-2</v>
      </c>
      <c r="I39" s="39"/>
      <c r="J39" s="38">
        <v>4.8643800000000001E-2</v>
      </c>
      <c r="K39" s="39"/>
      <c r="L39" s="38">
        <v>2.8840000000000001E-2</v>
      </c>
      <c r="M39" s="39"/>
      <c r="N39" s="38">
        <v>5.0943799999999997E-2</v>
      </c>
      <c r="O39" s="39"/>
      <c r="P39" s="38">
        <v>3.1140000000000001E-2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4.89063E-2</v>
      </c>
      <c r="E41" s="25"/>
      <c r="F41" s="38">
        <v>4.9006300000000003E-2</v>
      </c>
      <c r="G41" s="39"/>
      <c r="H41" s="38">
        <v>4.9136300000000001E-2</v>
      </c>
      <c r="I41" s="39"/>
      <c r="J41" s="38">
        <f>+J38</f>
        <v>5.0006299999999997E-2</v>
      </c>
      <c r="K41" s="39"/>
      <c r="L41" s="38">
        <v>5.03013E-2</v>
      </c>
      <c r="M41" s="39"/>
      <c r="N41" s="38">
        <f>+N38</f>
        <v>5.23063E-2</v>
      </c>
      <c r="O41" s="39"/>
      <c r="P41" s="38">
        <v>5.2746300000000003E-2</v>
      </c>
      <c r="Q41" s="39"/>
      <c r="R41" s="38"/>
      <c r="S41" s="160"/>
      <c r="T41" s="39">
        <f>SUMPRODUCT(D41:P41,D33:P33)/T33</f>
        <v>4.9291372075380382E-2</v>
      </c>
      <c r="U41" s="25"/>
      <c r="V41" s="5"/>
    </row>
    <row r="42" spans="1:22" ht="15.6" x14ac:dyDescent="0.3">
      <c r="A42" s="24"/>
      <c r="B42" s="25" t="s">
        <v>294</v>
      </c>
      <c r="C42" s="25"/>
      <c r="D42" s="38">
        <f>+D39</f>
        <v>4.7543799999999997E-2</v>
      </c>
      <c r="E42" s="25"/>
      <c r="F42" s="38">
        <v>4.76438E-2</v>
      </c>
      <c r="G42" s="39"/>
      <c r="H42" s="38">
        <v>4.7773799999999998E-2</v>
      </c>
      <c r="I42" s="39"/>
      <c r="J42" s="38">
        <f>+J39</f>
        <v>4.8643800000000001E-2</v>
      </c>
      <c r="K42" s="39"/>
      <c r="L42" s="38">
        <v>4.8938799999999998E-2</v>
      </c>
      <c r="M42" s="39"/>
      <c r="N42" s="38">
        <f>+N39</f>
        <v>5.0943799999999997E-2</v>
      </c>
      <c r="O42" s="39"/>
      <c r="P42" s="38">
        <v>5.13838E-2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0.13734533783132868</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38944</v>
      </c>
      <c r="U53" s="25"/>
      <c r="V53" s="5"/>
    </row>
    <row r="54" spans="1:23" ht="15.6" x14ac:dyDescent="0.3">
      <c r="A54" s="24"/>
      <c r="B54" s="25" t="s">
        <v>130</v>
      </c>
      <c r="C54" s="25"/>
      <c r="D54" s="25"/>
      <c r="E54" s="25"/>
      <c r="F54" s="25"/>
      <c r="G54" s="25"/>
      <c r="H54" s="58"/>
      <c r="I54" s="58"/>
      <c r="J54" s="58"/>
      <c r="K54" s="58"/>
      <c r="L54" s="58"/>
      <c r="M54" s="58"/>
      <c r="N54" s="58"/>
      <c r="O54" s="58"/>
      <c r="P54" s="25">
        <f>+T54-R54+1</f>
        <v>89</v>
      </c>
      <c r="Q54" s="25"/>
      <c r="R54" s="45">
        <v>38763</v>
      </c>
      <c r="S54" s="46"/>
      <c r="T54" s="45">
        <v>38851</v>
      </c>
      <c r="U54" s="25"/>
      <c r="V54" s="5"/>
    </row>
    <row r="55" spans="1:23" ht="15.6" x14ac:dyDescent="0.3">
      <c r="A55" s="24"/>
      <c r="B55" s="25" t="s">
        <v>131</v>
      </c>
      <c r="C55" s="25"/>
      <c r="D55" s="25"/>
      <c r="E55" s="25"/>
      <c r="F55" s="25"/>
      <c r="G55" s="25"/>
      <c r="H55" s="25"/>
      <c r="I55" s="25"/>
      <c r="J55" s="25"/>
      <c r="K55" s="25"/>
      <c r="L55" s="25"/>
      <c r="M55" s="25"/>
      <c r="N55" s="25"/>
      <c r="O55" s="25"/>
      <c r="P55" s="25">
        <f>+T55-R55+1</f>
        <v>92</v>
      </c>
      <c r="Q55" s="25"/>
      <c r="R55" s="45">
        <v>38852</v>
      </c>
      <c r="S55" s="46"/>
      <c r="T55" s="45">
        <v>38943</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38930</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262</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648616</v>
      </c>
      <c r="M66" s="34"/>
      <c r="N66" s="34">
        <f>22578+3437+1204+1</f>
        <v>27220</v>
      </c>
      <c r="O66" s="34"/>
      <c r="P66" s="34">
        <f>3437+1204</f>
        <v>4641</v>
      </c>
      <c r="Q66" s="34"/>
      <c r="R66" s="34">
        <v>0</v>
      </c>
      <c r="S66" s="34"/>
      <c r="T66" s="53">
        <f>+L66-N66+P66-R66</f>
        <v>626037</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648616</v>
      </c>
      <c r="M69" s="34"/>
      <c r="N69" s="34">
        <f>SUM(N66:N68)</f>
        <v>27220</v>
      </c>
      <c r="O69" s="34"/>
      <c r="P69" s="34">
        <f>SUM(P66:P68)</f>
        <v>4641</v>
      </c>
      <c r="Q69" s="34"/>
      <c r="R69" s="34">
        <f>SUM(R66:R68)</f>
        <v>0</v>
      </c>
      <c r="S69" s="34"/>
      <c r="T69" s="54">
        <f>SUM(T66:T68)</f>
        <v>626037</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3"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3" ht="15.6" x14ac:dyDescent="0.3">
      <c r="A82" s="24"/>
      <c r="B82" s="25" t="s">
        <v>27</v>
      </c>
      <c r="C82" s="34"/>
      <c r="D82" s="34"/>
      <c r="E82" s="34"/>
      <c r="F82" s="54"/>
      <c r="G82" s="34"/>
      <c r="H82" s="54"/>
      <c r="I82" s="54"/>
      <c r="J82" s="54">
        <f>SUM(J69:J81)</f>
        <v>700000</v>
      </c>
      <c r="K82" s="34"/>
      <c r="L82" s="54">
        <f>SUM(L69:L81)</f>
        <v>648616</v>
      </c>
      <c r="M82" s="34"/>
      <c r="N82" s="34"/>
      <c r="O82" s="34"/>
      <c r="P82" s="34"/>
      <c r="Q82" s="34"/>
      <c r="R82" s="54"/>
      <c r="S82" s="34"/>
      <c r="T82" s="54">
        <f>SUM(T69:T81)</f>
        <v>626037</v>
      </c>
      <c r="U82" s="25"/>
      <c r="V82" s="5"/>
    </row>
    <row r="83" spans="1:23"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3" ht="15.6" x14ac:dyDescent="0.3">
      <c r="A84" s="6"/>
      <c r="B84" s="8"/>
      <c r="C84" s="8"/>
      <c r="D84" s="8"/>
      <c r="E84" s="8"/>
      <c r="F84" s="8"/>
      <c r="G84" s="8"/>
      <c r="H84" s="8"/>
      <c r="I84" s="8"/>
      <c r="J84" s="8"/>
      <c r="K84" s="8"/>
      <c r="L84" s="8"/>
      <c r="M84" s="8"/>
      <c r="N84" s="8"/>
      <c r="O84" s="8"/>
      <c r="P84" s="8"/>
      <c r="Q84" s="8"/>
      <c r="R84" s="8"/>
      <c r="S84" s="8"/>
      <c r="T84" s="8"/>
      <c r="U84" s="8"/>
      <c r="V84" s="5"/>
    </row>
    <row r="85" spans="1:23" ht="15.6" x14ac:dyDescent="0.3">
      <c r="A85" s="6"/>
      <c r="B85" s="51" t="s">
        <v>28</v>
      </c>
      <c r="C85" s="14"/>
      <c r="D85" s="14"/>
      <c r="E85" s="14"/>
      <c r="F85" s="14"/>
      <c r="G85" s="14"/>
      <c r="H85" s="17"/>
      <c r="I85" s="17"/>
      <c r="J85" s="158" t="s">
        <v>101</v>
      </c>
      <c r="K85" s="17"/>
      <c r="L85" s="157">
        <f>+R193</f>
        <v>38929</v>
      </c>
      <c r="M85" s="17"/>
      <c r="N85" s="17"/>
      <c r="O85" s="17"/>
      <c r="P85" s="17"/>
      <c r="Q85" s="17"/>
      <c r="R85" s="17" t="s">
        <v>114</v>
      </c>
      <c r="S85" s="17"/>
      <c r="T85" s="17" t="s">
        <v>122</v>
      </c>
      <c r="U85" s="8"/>
      <c r="V85" s="5"/>
    </row>
    <row r="86" spans="1:23"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3" ht="15.6" x14ac:dyDescent="0.3">
      <c r="A87" s="24"/>
      <c r="B87" s="25" t="s">
        <v>30</v>
      </c>
      <c r="C87" s="25"/>
      <c r="D87" s="25"/>
      <c r="E87" s="25"/>
      <c r="F87" s="25"/>
      <c r="G87" s="25"/>
      <c r="H87" s="40"/>
      <c r="I87" s="57"/>
      <c r="J87" s="40"/>
      <c r="K87" s="25"/>
      <c r="L87" s="128"/>
      <c r="M87" s="25"/>
      <c r="N87" s="25"/>
      <c r="O87" s="25"/>
      <c r="P87" s="25"/>
      <c r="Q87" s="25"/>
      <c r="R87" s="34">
        <v>27217</v>
      </c>
      <c r="S87" s="25"/>
      <c r="T87" s="53"/>
      <c r="U87" s="25"/>
      <c r="V87" s="5"/>
    </row>
    <row r="88" spans="1:23" ht="15.6" x14ac:dyDescent="0.3">
      <c r="A88" s="24"/>
      <c r="B88" s="25" t="s">
        <v>254</v>
      </c>
      <c r="C88" s="25"/>
      <c r="D88" s="25"/>
      <c r="E88" s="25"/>
      <c r="F88" s="25"/>
      <c r="G88" s="25"/>
      <c r="H88" s="40"/>
      <c r="I88" s="57"/>
      <c r="J88" s="40"/>
      <c r="K88" s="25"/>
      <c r="L88" s="128"/>
      <c r="M88" s="25"/>
      <c r="N88" s="25"/>
      <c r="O88" s="25"/>
      <c r="P88" s="25"/>
      <c r="Q88" s="25"/>
      <c r="R88" s="34"/>
      <c r="S88" s="25"/>
      <c r="T88" s="53">
        <f>6610+3391-1146-632-24+743</f>
        <v>8942</v>
      </c>
      <c r="U88" s="25"/>
      <c r="V88" s="5"/>
    </row>
    <row r="89" spans="1:23" ht="15.6" x14ac:dyDescent="0.3">
      <c r="A89" s="24"/>
      <c r="B89" s="25" t="s">
        <v>255</v>
      </c>
      <c r="C89" s="25"/>
      <c r="D89" s="25"/>
      <c r="E89" s="25"/>
      <c r="F89" s="25"/>
      <c r="G89" s="25"/>
      <c r="H89" s="40"/>
      <c r="I89" s="57"/>
      <c r="J89" s="40"/>
      <c r="K89" s="25"/>
      <c r="L89" s="128"/>
      <c r="M89" s="25"/>
      <c r="N89" s="25"/>
      <c r="O89" s="25"/>
      <c r="P89" s="25"/>
      <c r="Q89" s="25"/>
      <c r="R89" s="34"/>
      <c r="S89" s="25"/>
      <c r="T89" s="53">
        <f>281+161</f>
        <v>442</v>
      </c>
      <c r="U89" s="25"/>
      <c r="V89" s="5"/>
    </row>
    <row r="90" spans="1:23" ht="15.6" x14ac:dyDescent="0.3">
      <c r="A90" s="24"/>
      <c r="B90" s="25" t="s">
        <v>256</v>
      </c>
      <c r="C90" s="25"/>
      <c r="D90" s="25"/>
      <c r="E90" s="25"/>
      <c r="F90" s="25"/>
      <c r="G90" s="25"/>
      <c r="H90" s="40"/>
      <c r="I90" s="57"/>
      <c r="J90" s="40"/>
      <c r="K90" s="25"/>
      <c r="L90" s="128"/>
      <c r="M90" s="25"/>
      <c r="N90" s="25"/>
      <c r="O90" s="25"/>
      <c r="P90" s="25"/>
      <c r="Q90" s="25"/>
      <c r="R90" s="34"/>
      <c r="S90" s="25"/>
      <c r="T90" s="53">
        <v>332</v>
      </c>
      <c r="U90" s="25"/>
      <c r="V90" s="5"/>
    </row>
    <row r="91" spans="1:23" ht="15.6" x14ac:dyDescent="0.3">
      <c r="A91" s="24"/>
      <c r="B91" s="25" t="s">
        <v>144</v>
      </c>
      <c r="C91" s="25"/>
      <c r="D91" s="25"/>
      <c r="E91" s="25"/>
      <c r="F91" s="25"/>
      <c r="G91" s="25"/>
      <c r="H91" s="25"/>
      <c r="I91" s="25"/>
      <c r="J91" s="25"/>
      <c r="K91" s="25"/>
      <c r="L91" s="25"/>
      <c r="M91" s="25"/>
      <c r="N91" s="25"/>
      <c r="O91" s="25"/>
      <c r="P91" s="25"/>
      <c r="Q91" s="25"/>
      <c r="R91" s="34"/>
      <c r="S91" s="25"/>
      <c r="T91" s="53">
        <v>0</v>
      </c>
      <c r="U91" s="25"/>
      <c r="V91" s="5"/>
    </row>
    <row r="92" spans="1:23" ht="15.6" x14ac:dyDescent="0.3">
      <c r="A92" s="24"/>
      <c r="B92" s="25" t="s">
        <v>233</v>
      </c>
      <c r="C92" s="25"/>
      <c r="D92" s="25"/>
      <c r="E92" s="25"/>
      <c r="F92" s="25"/>
      <c r="G92" s="25"/>
      <c r="H92" s="25"/>
      <c r="I92" s="25"/>
      <c r="J92" s="25"/>
      <c r="K92" s="25"/>
      <c r="L92" s="25"/>
      <c r="M92" s="25"/>
      <c r="N92" s="25"/>
      <c r="O92" s="25"/>
      <c r="P92" s="25"/>
      <c r="Q92" s="25"/>
      <c r="R92" s="34"/>
      <c r="S92" s="25"/>
      <c r="T92" s="53">
        <v>450</v>
      </c>
      <c r="U92" s="25"/>
      <c r="V92" s="5"/>
    </row>
    <row r="93" spans="1:23" ht="15.6" x14ac:dyDescent="0.3">
      <c r="A93" s="24"/>
      <c r="B93" s="25" t="s">
        <v>32</v>
      </c>
      <c r="C93" s="25"/>
      <c r="D93" s="25"/>
      <c r="E93" s="25"/>
      <c r="F93" s="25"/>
      <c r="G93" s="25"/>
      <c r="H93" s="25"/>
      <c r="I93" s="25"/>
      <c r="J93" s="25"/>
      <c r="K93" s="25"/>
      <c r="L93" s="25"/>
      <c r="M93" s="25"/>
      <c r="N93" s="25"/>
      <c r="O93" s="25"/>
      <c r="P93" s="25"/>
      <c r="Q93" s="25"/>
      <c r="R93" s="34">
        <f>SUM(R86:R92)</f>
        <v>27217</v>
      </c>
      <c r="S93" s="25"/>
      <c r="T93" s="54">
        <f>SUM(T86:T92)</f>
        <v>10166</v>
      </c>
      <c r="U93" s="25"/>
      <c r="V93" s="5"/>
    </row>
    <row r="94" spans="1:23" ht="15.6" x14ac:dyDescent="0.3">
      <c r="A94" s="24"/>
      <c r="B94" s="25" t="s">
        <v>176</v>
      </c>
      <c r="C94" s="25"/>
      <c r="D94" s="25"/>
      <c r="E94" s="25"/>
      <c r="F94" s="25"/>
      <c r="G94" s="25"/>
      <c r="H94" s="25"/>
      <c r="I94" s="25"/>
      <c r="J94" s="25"/>
      <c r="K94" s="25"/>
      <c r="L94" s="25"/>
      <c r="M94" s="25"/>
      <c r="N94" s="25"/>
      <c r="O94" s="25"/>
      <c r="P94" s="25"/>
      <c r="Q94" s="25"/>
      <c r="R94" s="34">
        <v>-29</v>
      </c>
      <c r="S94" s="25"/>
      <c r="T94" s="54">
        <f>-R94</f>
        <v>29</v>
      </c>
      <c r="U94" s="25"/>
      <c r="V94" s="5"/>
    </row>
    <row r="95" spans="1:23" ht="15.6" x14ac:dyDescent="0.3">
      <c r="A95" s="24"/>
      <c r="B95" s="25" t="s">
        <v>33</v>
      </c>
      <c r="C95" s="25"/>
      <c r="D95" s="25"/>
      <c r="E95" s="25"/>
      <c r="F95" s="25"/>
      <c r="G95" s="25"/>
      <c r="H95" s="25"/>
      <c r="I95" s="25"/>
      <c r="J95" s="25"/>
      <c r="K95" s="25"/>
      <c r="L95" s="25"/>
      <c r="M95" s="25"/>
      <c r="N95" s="25"/>
      <c r="O95" s="25"/>
      <c r="P95" s="25"/>
      <c r="Q95" s="25"/>
      <c r="R95" s="34">
        <f>-T95</f>
        <v>0</v>
      </c>
      <c r="S95" s="25"/>
      <c r="T95" s="53">
        <v>0</v>
      </c>
      <c r="U95" s="25"/>
      <c r="V95" s="5"/>
    </row>
    <row r="96" spans="1:23" ht="15.6" x14ac:dyDescent="0.3">
      <c r="A96" s="24"/>
      <c r="B96" s="25" t="s">
        <v>34</v>
      </c>
      <c r="C96" s="25"/>
      <c r="D96" s="25"/>
      <c r="E96" s="25"/>
      <c r="F96" s="25"/>
      <c r="G96" s="25"/>
      <c r="H96" s="25"/>
      <c r="I96" s="25"/>
      <c r="J96" s="25"/>
      <c r="K96" s="25"/>
      <c r="L96" s="25"/>
      <c r="M96" s="25"/>
      <c r="N96" s="25"/>
      <c r="O96" s="25"/>
      <c r="P96" s="25"/>
      <c r="Q96" s="25"/>
      <c r="R96" s="34">
        <f>R93+R95+R94</f>
        <v>27188</v>
      </c>
      <c r="S96" s="25"/>
      <c r="T96" s="54">
        <f>T93+T95+T94</f>
        <v>10195</v>
      </c>
      <c r="U96" s="25"/>
      <c r="V96" s="5"/>
      <c r="W96" s="166"/>
    </row>
    <row r="97" spans="1:23" ht="15.6" x14ac:dyDescent="0.3">
      <c r="A97" s="24"/>
      <c r="B97" s="119" t="s">
        <v>35</v>
      </c>
      <c r="C97" s="25"/>
      <c r="D97" s="25"/>
      <c r="E97" s="25"/>
      <c r="F97" s="25"/>
      <c r="G97" s="25"/>
      <c r="H97" s="25"/>
      <c r="I97" s="25"/>
      <c r="J97" s="25"/>
      <c r="K97" s="25"/>
      <c r="L97" s="25"/>
      <c r="M97" s="25"/>
      <c r="N97" s="25"/>
      <c r="O97" s="25"/>
      <c r="P97" s="25"/>
      <c r="Q97" s="25"/>
      <c r="R97" s="34"/>
      <c r="S97" s="25"/>
      <c r="T97" s="53"/>
      <c r="U97" s="25"/>
      <c r="V97" s="5"/>
    </row>
    <row r="98" spans="1:23" ht="15.6" x14ac:dyDescent="0.3">
      <c r="A98" s="24">
        <v>1</v>
      </c>
      <c r="B98" s="25" t="s">
        <v>36</v>
      </c>
      <c r="C98" s="25"/>
      <c r="D98" s="25"/>
      <c r="E98" s="25"/>
      <c r="F98" s="25"/>
      <c r="G98" s="25"/>
      <c r="H98" s="25"/>
      <c r="I98" s="25"/>
      <c r="J98" s="25"/>
      <c r="K98" s="25"/>
      <c r="L98" s="25"/>
      <c r="M98" s="25"/>
      <c r="N98" s="25"/>
      <c r="O98" s="25"/>
      <c r="P98" s="25"/>
      <c r="Q98" s="25"/>
      <c r="R98" s="25"/>
      <c r="S98" s="25"/>
      <c r="T98" s="53">
        <v>0</v>
      </c>
      <c r="U98" s="25"/>
      <c r="V98" s="5"/>
    </row>
    <row r="99" spans="1:23" ht="15.6" x14ac:dyDescent="0.3">
      <c r="A99" s="24">
        <f>+A98+1</f>
        <v>2</v>
      </c>
      <c r="B99" s="25" t="s">
        <v>37</v>
      </c>
      <c r="C99" s="25"/>
      <c r="D99" s="25"/>
      <c r="E99" s="25"/>
      <c r="F99" s="25"/>
      <c r="G99" s="25"/>
      <c r="H99" s="25"/>
      <c r="I99" s="25"/>
      <c r="J99" s="25"/>
      <c r="K99" s="25"/>
      <c r="L99" s="25"/>
      <c r="M99" s="25"/>
      <c r="N99" s="25"/>
      <c r="O99" s="25"/>
      <c r="P99" s="25"/>
      <c r="Q99" s="25"/>
      <c r="R99" s="25"/>
      <c r="S99" s="25"/>
      <c r="T99" s="53">
        <v>-2</v>
      </c>
      <c r="U99" s="25"/>
      <c r="V99" s="5"/>
    </row>
    <row r="100" spans="1:23" ht="15.6" x14ac:dyDescent="0.3">
      <c r="A100" s="24">
        <f>+A99+1</f>
        <v>3</v>
      </c>
      <c r="B100" s="25" t="s">
        <v>160</v>
      </c>
      <c r="C100" s="25"/>
      <c r="D100" s="25"/>
      <c r="E100" s="25"/>
      <c r="F100" s="25"/>
      <c r="G100" s="25"/>
      <c r="H100" s="25"/>
      <c r="I100" s="25"/>
      <c r="J100" s="25"/>
      <c r="K100" s="25"/>
      <c r="L100" s="25"/>
      <c r="M100" s="25"/>
      <c r="N100" s="25"/>
      <c r="O100" s="25"/>
      <c r="P100" s="25"/>
      <c r="Q100" s="25"/>
      <c r="R100" s="25"/>
      <c r="S100" s="25"/>
      <c r="T100" s="53">
        <f>-246-10-12</f>
        <v>-268</v>
      </c>
      <c r="U100" s="25"/>
      <c r="V100" s="5"/>
    </row>
    <row r="101" spans="1:23" ht="15.6" x14ac:dyDescent="0.3">
      <c r="A101" s="24" t="s">
        <v>136</v>
      </c>
      <c r="B101" s="25" t="s">
        <v>125</v>
      </c>
      <c r="C101" s="25"/>
      <c r="D101" s="25"/>
      <c r="E101" s="25"/>
      <c r="F101" s="25"/>
      <c r="G101" s="25"/>
      <c r="H101" s="25"/>
      <c r="I101" s="25"/>
      <c r="J101" s="25"/>
      <c r="K101" s="25"/>
      <c r="L101" s="25"/>
      <c r="M101" s="25"/>
      <c r="N101" s="25"/>
      <c r="O101" s="25"/>
      <c r="P101" s="25"/>
      <c r="Q101" s="25"/>
      <c r="R101" s="25"/>
      <c r="S101" s="25"/>
      <c r="T101" s="53">
        <v>11</v>
      </c>
      <c r="U101" s="25"/>
      <c r="V101" s="5"/>
    </row>
    <row r="102" spans="1:23" ht="15.6" x14ac:dyDescent="0.3">
      <c r="A102" s="24" t="s">
        <v>137</v>
      </c>
      <c r="B102" s="25" t="s">
        <v>267</v>
      </c>
      <c r="C102" s="25"/>
      <c r="D102" s="25"/>
      <c r="E102" s="25"/>
      <c r="F102" s="25"/>
      <c r="G102" s="25"/>
      <c r="H102" s="25"/>
      <c r="I102" s="25"/>
      <c r="J102" s="25"/>
      <c r="K102" s="25"/>
      <c r="L102" s="25"/>
      <c r="M102" s="25"/>
      <c r="N102" s="25"/>
      <c r="O102" s="25"/>
      <c r="P102" s="25"/>
      <c r="Q102" s="25"/>
      <c r="R102" s="25"/>
      <c r="S102" s="25"/>
      <c r="T102" s="53">
        <v>-2</v>
      </c>
      <c r="U102" s="25"/>
      <c r="V102" s="5"/>
    </row>
    <row r="103" spans="1:23" ht="15.6" x14ac:dyDescent="0.3">
      <c r="A103" s="24" t="s">
        <v>162</v>
      </c>
      <c r="B103" s="25" t="s">
        <v>218</v>
      </c>
      <c r="C103" s="25"/>
      <c r="D103" s="25"/>
      <c r="E103" s="25"/>
      <c r="F103" s="25"/>
      <c r="G103" s="25"/>
      <c r="H103" s="25"/>
      <c r="I103" s="25"/>
      <c r="J103" s="25"/>
      <c r="K103" s="25"/>
      <c r="L103" s="25"/>
      <c r="M103" s="25"/>
      <c r="N103" s="25"/>
      <c r="O103" s="25"/>
      <c r="P103" s="25"/>
      <c r="Q103" s="25"/>
      <c r="R103" s="25"/>
      <c r="S103" s="25"/>
      <c r="T103" s="53">
        <v>-3914</v>
      </c>
      <c r="U103" s="25"/>
      <c r="V103" s="5"/>
      <c r="W103" s="110"/>
    </row>
    <row r="104" spans="1:23" ht="15.6" x14ac:dyDescent="0.3">
      <c r="A104" s="24" t="s">
        <v>163</v>
      </c>
      <c r="B104" s="25" t="s">
        <v>219</v>
      </c>
      <c r="C104" s="25"/>
      <c r="D104" s="25"/>
      <c r="E104" s="25"/>
      <c r="F104" s="25"/>
      <c r="G104" s="25"/>
      <c r="H104" s="25"/>
      <c r="I104" s="25"/>
      <c r="J104" s="25"/>
      <c r="K104" s="25"/>
      <c r="L104" s="25"/>
      <c r="M104" s="25"/>
      <c r="N104" s="25"/>
      <c r="O104" s="25"/>
      <c r="P104" s="25"/>
      <c r="Q104" s="25"/>
      <c r="R104" s="25"/>
      <c r="S104" s="25"/>
      <c r="T104" s="53">
        <v>-2772</v>
      </c>
      <c r="U104" s="25"/>
      <c r="V104" s="5"/>
    </row>
    <row r="105" spans="1:23" ht="15.6" x14ac:dyDescent="0.3">
      <c r="A105" s="24" t="s">
        <v>252</v>
      </c>
      <c r="B105" s="25" t="s">
        <v>242</v>
      </c>
      <c r="C105" s="25"/>
      <c r="D105" s="25"/>
      <c r="E105" s="25"/>
      <c r="F105" s="25"/>
      <c r="G105" s="25"/>
      <c r="H105" s="25"/>
      <c r="I105" s="25"/>
      <c r="J105" s="25"/>
      <c r="K105" s="25"/>
      <c r="L105" s="25"/>
      <c r="M105" s="25"/>
      <c r="N105" s="25"/>
      <c r="O105" s="25"/>
      <c r="P105" s="25"/>
      <c r="Q105" s="25"/>
      <c r="R105" s="25"/>
      <c r="S105" s="25"/>
      <c r="T105" s="53">
        <v>-385</v>
      </c>
      <c r="U105" s="25"/>
      <c r="V105" s="5"/>
      <c r="W105" s="110"/>
    </row>
    <row r="106" spans="1:23" ht="15.6" x14ac:dyDescent="0.3">
      <c r="A106" s="24" t="s">
        <v>245</v>
      </c>
      <c r="B106" s="25" t="s">
        <v>220</v>
      </c>
      <c r="C106" s="25"/>
      <c r="D106" s="25"/>
      <c r="E106" s="25"/>
      <c r="F106" s="25"/>
      <c r="G106" s="25"/>
      <c r="H106" s="25"/>
      <c r="I106" s="25"/>
      <c r="J106" s="25"/>
      <c r="K106" s="25"/>
      <c r="L106" s="25"/>
      <c r="M106" s="25"/>
      <c r="N106" s="25"/>
      <c r="O106" s="25"/>
      <c r="P106" s="25"/>
      <c r="Q106" s="25"/>
      <c r="R106" s="25"/>
      <c r="S106" s="25"/>
      <c r="T106" s="53">
        <v>-88</v>
      </c>
      <c r="U106" s="25"/>
      <c r="V106" s="5"/>
      <c r="W106" s="110"/>
    </row>
    <row r="107" spans="1:23" ht="15.6" x14ac:dyDescent="0.3">
      <c r="A107" s="24" t="s">
        <v>246</v>
      </c>
      <c r="B107" s="25" t="s">
        <v>221</v>
      </c>
      <c r="C107" s="25"/>
      <c r="D107" s="25"/>
      <c r="E107" s="25"/>
      <c r="F107" s="25"/>
      <c r="G107" s="25"/>
      <c r="H107" s="25"/>
      <c r="I107" s="25"/>
      <c r="J107" s="25"/>
      <c r="K107" s="25"/>
      <c r="L107" s="25"/>
      <c r="M107" s="25"/>
      <c r="N107" s="25"/>
      <c r="O107" s="25"/>
      <c r="P107" s="25"/>
      <c r="Q107" s="25"/>
      <c r="R107" s="25"/>
      <c r="S107" s="25"/>
      <c r="T107" s="53">
        <v>-257</v>
      </c>
      <c r="U107" s="25"/>
      <c r="V107" s="5"/>
      <c r="W107" s="110"/>
    </row>
    <row r="108" spans="1:23" ht="15.6" x14ac:dyDescent="0.3">
      <c r="A108" s="24" t="s">
        <v>247</v>
      </c>
      <c r="B108" s="25" t="s">
        <v>222</v>
      </c>
      <c r="C108" s="25"/>
      <c r="D108" s="25"/>
      <c r="E108" s="25"/>
      <c r="F108" s="25"/>
      <c r="G108" s="25"/>
      <c r="H108" s="25"/>
      <c r="I108" s="25"/>
      <c r="J108" s="25"/>
      <c r="K108" s="25"/>
      <c r="L108" s="25"/>
      <c r="M108" s="25"/>
      <c r="N108" s="25"/>
      <c r="O108" s="25"/>
      <c r="P108" s="25"/>
      <c r="Q108" s="25"/>
      <c r="R108" s="25"/>
      <c r="S108" s="25"/>
      <c r="T108" s="53">
        <v>-40</v>
      </c>
      <c r="U108" s="25"/>
      <c r="V108" s="5"/>
      <c r="W108" s="110"/>
    </row>
    <row r="109" spans="1:23" ht="15.6" x14ac:dyDescent="0.3">
      <c r="A109" s="24" t="s">
        <v>248</v>
      </c>
      <c r="B109" s="25" t="s">
        <v>223</v>
      </c>
      <c r="C109" s="25"/>
      <c r="D109" s="25"/>
      <c r="E109" s="25"/>
      <c r="F109" s="25"/>
      <c r="G109" s="25"/>
      <c r="H109" s="25"/>
      <c r="I109" s="25"/>
      <c r="J109" s="25"/>
      <c r="K109" s="25"/>
      <c r="L109" s="25"/>
      <c r="M109" s="25"/>
      <c r="N109" s="25"/>
      <c r="O109" s="25"/>
      <c r="P109" s="25"/>
      <c r="Q109" s="25"/>
      <c r="R109" s="25"/>
      <c r="S109" s="25"/>
      <c r="T109" s="53">
        <v>-602</v>
      </c>
      <c r="U109" s="25"/>
      <c r="V109" s="5"/>
      <c r="W109" s="110"/>
    </row>
    <row r="110" spans="1:23" ht="15.6" x14ac:dyDescent="0.3">
      <c r="A110" s="24">
        <v>7</v>
      </c>
      <c r="B110" s="25" t="s">
        <v>38</v>
      </c>
      <c r="C110" s="25"/>
      <c r="D110" s="25"/>
      <c r="E110" s="25"/>
      <c r="F110" s="25"/>
      <c r="G110" s="25"/>
      <c r="H110" s="25"/>
      <c r="I110" s="25"/>
      <c r="J110" s="25"/>
      <c r="K110" s="25"/>
      <c r="L110" s="25"/>
      <c r="M110" s="25"/>
      <c r="N110" s="25"/>
      <c r="O110" s="25"/>
      <c r="P110" s="25"/>
      <c r="Q110" s="25"/>
      <c r="R110" s="25"/>
      <c r="S110" s="25"/>
      <c r="T110" s="53">
        <v>-8</v>
      </c>
      <c r="U110" s="25"/>
      <c r="V110" s="5"/>
    </row>
    <row r="111" spans="1:23" ht="15.6" x14ac:dyDescent="0.3">
      <c r="A111" s="24">
        <f t="shared" ref="A111:A116" si="0">+A110+1</f>
        <v>8</v>
      </c>
      <c r="B111" s="25" t="s">
        <v>49</v>
      </c>
      <c r="C111" s="25"/>
      <c r="D111" s="25"/>
      <c r="E111" s="25"/>
      <c r="F111" s="25"/>
      <c r="G111" s="25"/>
      <c r="H111" s="25"/>
      <c r="I111" s="25"/>
      <c r="J111" s="25"/>
      <c r="K111" s="25"/>
      <c r="L111" s="25"/>
      <c r="M111" s="25"/>
      <c r="N111" s="25"/>
      <c r="O111" s="25"/>
      <c r="P111" s="25"/>
      <c r="Q111" s="25"/>
      <c r="R111" s="25"/>
      <c r="S111" s="25"/>
      <c r="T111" s="53">
        <v>0</v>
      </c>
      <c r="U111" s="25"/>
      <c r="V111" s="5"/>
    </row>
    <row r="112" spans="1:23" ht="15.6" x14ac:dyDescent="0.3">
      <c r="A112" s="24">
        <f t="shared" si="0"/>
        <v>9</v>
      </c>
      <c r="B112" s="25" t="s">
        <v>134</v>
      </c>
      <c r="C112" s="25"/>
      <c r="D112" s="25"/>
      <c r="E112" s="25"/>
      <c r="F112" s="25"/>
      <c r="G112" s="25"/>
      <c r="H112" s="25"/>
      <c r="I112" s="25"/>
      <c r="J112" s="25"/>
      <c r="K112" s="25"/>
      <c r="L112" s="25"/>
      <c r="M112" s="25"/>
      <c r="N112" s="25"/>
      <c r="O112" s="25"/>
      <c r="P112" s="25"/>
      <c r="Q112" s="25"/>
      <c r="R112" s="25"/>
      <c r="S112" s="25"/>
      <c r="T112" s="53">
        <v>0</v>
      </c>
      <c r="U112" s="25"/>
      <c r="V112" s="5"/>
    </row>
    <row r="113" spans="1:22" ht="15.6" x14ac:dyDescent="0.3">
      <c r="A113" s="24">
        <f t="shared" si="0"/>
        <v>10</v>
      </c>
      <c r="B113" s="25" t="s">
        <v>39</v>
      </c>
      <c r="C113" s="25"/>
      <c r="D113" s="25"/>
      <c r="E113" s="25"/>
      <c r="F113" s="25"/>
      <c r="G113" s="25"/>
      <c r="H113" s="25"/>
      <c r="I113" s="25"/>
      <c r="J113" s="25"/>
      <c r="K113" s="25"/>
      <c r="L113" s="25"/>
      <c r="M113" s="25"/>
      <c r="N113" s="25"/>
      <c r="O113" s="25"/>
      <c r="P113" s="25"/>
      <c r="Q113" s="25"/>
      <c r="R113" s="25"/>
      <c r="S113" s="25"/>
      <c r="T113" s="53">
        <v>0</v>
      </c>
      <c r="U113" s="25"/>
      <c r="V113" s="5"/>
    </row>
    <row r="114" spans="1:22" ht="15.6" x14ac:dyDescent="0.3">
      <c r="A114" s="24">
        <f t="shared" si="0"/>
        <v>11</v>
      </c>
      <c r="B114" s="25" t="s">
        <v>40</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12</v>
      </c>
      <c r="B115" s="25" t="s">
        <v>161</v>
      </c>
      <c r="C115" s="25"/>
      <c r="D115" s="25"/>
      <c r="E115" s="25"/>
      <c r="F115" s="25"/>
      <c r="G115" s="25"/>
      <c r="H115" s="25"/>
      <c r="I115" s="25"/>
      <c r="J115" s="25"/>
      <c r="K115" s="25"/>
      <c r="L115" s="25"/>
      <c r="M115" s="25"/>
      <c r="N115" s="25"/>
      <c r="O115" s="25"/>
      <c r="P115" s="25"/>
      <c r="Q115" s="25"/>
      <c r="R115" s="25"/>
      <c r="S115" s="25"/>
      <c r="T115" s="53">
        <v>-245</v>
      </c>
      <c r="U115" s="25"/>
      <c r="V115" s="5"/>
    </row>
    <row r="116" spans="1:22" ht="15.6" x14ac:dyDescent="0.3">
      <c r="A116" s="24">
        <f t="shared" si="0"/>
        <v>13</v>
      </c>
      <c r="B116" s="25" t="s">
        <v>135</v>
      </c>
      <c r="C116" s="25"/>
      <c r="D116" s="25"/>
      <c r="E116" s="25"/>
      <c r="F116" s="25"/>
      <c r="G116" s="25"/>
      <c r="H116" s="25"/>
      <c r="I116" s="25"/>
      <c r="J116" s="25"/>
      <c r="K116" s="25"/>
      <c r="L116" s="25"/>
      <c r="M116" s="25"/>
      <c r="N116" s="25"/>
      <c r="O116" s="25"/>
      <c r="P116" s="25"/>
      <c r="Q116" s="25"/>
      <c r="R116" s="25"/>
      <c r="S116" s="25"/>
      <c r="T116" s="53">
        <f>-T96-SUM(T98:T115)</f>
        <v>-1623</v>
      </c>
      <c r="U116" s="25"/>
      <c r="V116" s="5"/>
    </row>
    <row r="117" spans="1:22" ht="15.6" x14ac:dyDescent="0.3">
      <c r="A117" s="24"/>
      <c r="B117" s="119" t="s">
        <v>41</v>
      </c>
      <c r="C117" s="25"/>
      <c r="D117" s="25"/>
      <c r="E117" s="25"/>
      <c r="F117" s="25"/>
      <c r="G117" s="25"/>
      <c r="H117" s="25"/>
      <c r="I117" s="25"/>
      <c r="J117" s="25"/>
      <c r="K117" s="25"/>
      <c r="L117" s="25"/>
      <c r="M117" s="25"/>
      <c r="N117" s="25"/>
      <c r="O117" s="25"/>
      <c r="P117" s="25"/>
      <c r="Q117" s="25"/>
      <c r="R117" s="25"/>
      <c r="S117" s="25"/>
      <c r="T117" s="59"/>
      <c r="U117" s="25"/>
      <c r="V117" s="5"/>
    </row>
    <row r="118" spans="1:22" ht="15.6" x14ac:dyDescent="0.3">
      <c r="A118" s="24"/>
      <c r="B118" s="25" t="s">
        <v>229</v>
      </c>
      <c r="C118" s="25"/>
      <c r="D118" s="25"/>
      <c r="E118" s="25"/>
      <c r="F118" s="25"/>
      <c r="G118" s="25"/>
      <c r="H118" s="25"/>
      <c r="I118" s="25"/>
      <c r="J118" s="25"/>
      <c r="K118" s="25"/>
      <c r="L118" s="25"/>
      <c r="M118" s="25"/>
      <c r="N118" s="25"/>
      <c r="O118" s="25"/>
      <c r="P118" s="25"/>
      <c r="Q118" s="25"/>
      <c r="R118" s="34">
        <f>-R177</f>
        <v>-104</v>
      </c>
      <c r="S118" s="34"/>
      <c r="T118" s="53"/>
      <c r="U118" s="25"/>
      <c r="V118" s="5"/>
    </row>
    <row r="119" spans="1:22" ht="15.6" x14ac:dyDescent="0.3">
      <c r="A119" s="24"/>
      <c r="B119" s="25" t="s">
        <v>230</v>
      </c>
      <c r="C119" s="25"/>
      <c r="D119" s="25"/>
      <c r="E119" s="25"/>
      <c r="F119" s="25"/>
      <c r="G119" s="25"/>
      <c r="H119" s="25"/>
      <c r="I119" s="25"/>
      <c r="J119" s="25"/>
      <c r="K119" s="25"/>
      <c r="L119" s="25"/>
      <c r="M119" s="25"/>
      <c r="N119" s="25"/>
      <c r="O119" s="25"/>
      <c r="P119" s="25"/>
      <c r="Q119" s="25"/>
      <c r="R119" s="34">
        <v>-378</v>
      </c>
      <c r="S119" s="34"/>
      <c r="T119" s="53"/>
      <c r="U119" s="25"/>
      <c r="V119" s="5"/>
    </row>
    <row r="120" spans="1:22" ht="15.6" x14ac:dyDescent="0.3">
      <c r="A120" s="24"/>
      <c r="B120" s="25" t="s">
        <v>42</v>
      </c>
      <c r="C120" s="25"/>
      <c r="D120" s="25"/>
      <c r="E120" s="25"/>
      <c r="F120" s="25"/>
      <c r="G120" s="25"/>
      <c r="H120" s="25"/>
      <c r="I120" s="25"/>
      <c r="J120" s="25"/>
      <c r="K120" s="25"/>
      <c r="L120" s="25"/>
      <c r="M120" s="25"/>
      <c r="N120" s="25"/>
      <c r="O120" s="25"/>
      <c r="P120" s="25"/>
      <c r="Q120" s="25"/>
      <c r="R120" s="34">
        <f>-Q177</f>
        <v>-4130</v>
      </c>
      <c r="S120" s="34"/>
      <c r="T120" s="53"/>
      <c r="U120" s="25"/>
      <c r="V120" s="5"/>
    </row>
    <row r="121" spans="1:22" ht="15.6" x14ac:dyDescent="0.3">
      <c r="A121" s="24"/>
      <c r="B121" s="25" t="s">
        <v>235</v>
      </c>
      <c r="C121" s="25"/>
      <c r="D121" s="25"/>
      <c r="E121" s="25"/>
      <c r="F121" s="25"/>
      <c r="G121" s="25"/>
      <c r="H121" s="25"/>
      <c r="I121" s="25"/>
      <c r="J121" s="25"/>
      <c r="K121" s="25"/>
      <c r="L121" s="25"/>
      <c r="M121" s="25"/>
      <c r="N121" s="25"/>
      <c r="O121" s="25"/>
      <c r="P121" s="25"/>
      <c r="Q121" s="25"/>
      <c r="R121" s="34">
        <v>-12510</v>
      </c>
      <c r="S121" s="34"/>
      <c r="T121" s="53"/>
      <c r="U121" s="25"/>
      <c r="V121" s="5"/>
    </row>
    <row r="122" spans="1:22" ht="15.6" x14ac:dyDescent="0.3">
      <c r="A122" s="24"/>
      <c r="B122" s="25" t="s">
        <v>236</v>
      </c>
      <c r="C122" s="25"/>
      <c r="D122" s="25"/>
      <c r="E122" s="25"/>
      <c r="F122" s="25"/>
      <c r="G122" s="25"/>
      <c r="H122" s="25"/>
      <c r="I122" s="25"/>
      <c r="J122" s="25"/>
      <c r="K122" s="25"/>
      <c r="L122" s="25"/>
      <c r="M122" s="25"/>
      <c r="N122" s="25"/>
      <c r="O122" s="25"/>
      <c r="P122" s="25"/>
      <c r="Q122" s="25"/>
      <c r="R122" s="34">
        <v>-8841</v>
      </c>
      <c r="S122" s="34"/>
      <c r="T122" s="53"/>
      <c r="U122" s="25"/>
      <c r="V122" s="5"/>
    </row>
    <row r="123" spans="1:22" ht="15.6" x14ac:dyDescent="0.3">
      <c r="A123" s="24"/>
      <c r="B123" s="25" t="s">
        <v>241</v>
      </c>
      <c r="C123" s="25"/>
      <c r="D123" s="25"/>
      <c r="E123" s="25"/>
      <c r="F123" s="25"/>
      <c r="G123" s="25"/>
      <c r="H123" s="25"/>
      <c r="I123" s="25"/>
      <c r="J123" s="25"/>
      <c r="K123" s="25"/>
      <c r="L123" s="25"/>
      <c r="M123" s="25"/>
      <c r="N123" s="25"/>
      <c r="O123" s="25"/>
      <c r="P123" s="25"/>
      <c r="Q123" s="25"/>
      <c r="R123" s="34">
        <v>-1225</v>
      </c>
      <c r="S123" s="34"/>
      <c r="T123" s="53"/>
      <c r="U123" s="25"/>
      <c r="V123" s="5"/>
    </row>
    <row r="124" spans="1:22" ht="15.6" x14ac:dyDescent="0.3">
      <c r="A124" s="24"/>
      <c r="B124" s="25" t="s">
        <v>237</v>
      </c>
      <c r="C124" s="25"/>
      <c r="D124" s="25"/>
      <c r="E124" s="25"/>
      <c r="F124" s="25"/>
      <c r="G124" s="25"/>
      <c r="H124" s="25"/>
      <c r="I124" s="25"/>
      <c r="J124" s="25"/>
      <c r="K124" s="25"/>
      <c r="L124" s="25"/>
      <c r="M124" s="25"/>
      <c r="N124" s="25"/>
      <c r="O124" s="25"/>
      <c r="P124" s="25"/>
      <c r="Q124" s="25"/>
      <c r="R124" s="34">
        <v>0</v>
      </c>
      <c r="S124" s="34"/>
      <c r="T124" s="53"/>
      <c r="U124" s="25"/>
      <c r="V124" s="5"/>
    </row>
    <row r="125" spans="1:22" ht="15.6" x14ac:dyDescent="0.3">
      <c r="A125" s="24"/>
      <c r="B125" s="25" t="s">
        <v>238</v>
      </c>
      <c r="C125" s="25"/>
      <c r="D125" s="25"/>
      <c r="E125" s="25"/>
      <c r="F125" s="25"/>
      <c r="G125" s="25"/>
      <c r="H125" s="25"/>
      <c r="I125" s="25"/>
      <c r="J125" s="25"/>
      <c r="K125" s="25"/>
      <c r="L125" s="25"/>
      <c r="M125" s="25"/>
      <c r="N125" s="25"/>
      <c r="O125" s="25"/>
      <c r="P125" s="25"/>
      <c r="Q125" s="25"/>
      <c r="R125" s="34">
        <v>0</v>
      </c>
      <c r="S125" s="34"/>
      <c r="T125" s="53"/>
      <c r="U125" s="25"/>
      <c r="V125" s="5"/>
    </row>
    <row r="126" spans="1:22" ht="15.6" x14ac:dyDescent="0.3">
      <c r="A126" s="24"/>
      <c r="B126" s="25" t="s">
        <v>239</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240</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43</v>
      </c>
      <c r="C128" s="25"/>
      <c r="D128" s="25"/>
      <c r="E128" s="25"/>
      <c r="F128" s="25"/>
      <c r="G128" s="25"/>
      <c r="H128" s="25"/>
      <c r="I128" s="25"/>
      <c r="J128" s="25"/>
      <c r="K128" s="25"/>
      <c r="L128" s="25"/>
      <c r="M128" s="25"/>
      <c r="N128" s="25"/>
      <c r="O128" s="25"/>
      <c r="P128" s="25"/>
      <c r="Q128" s="25"/>
      <c r="R128" s="34">
        <f>SUM(R118:R127)</f>
        <v>-27188</v>
      </c>
      <c r="S128" s="34"/>
      <c r="T128" s="34">
        <f>SUM(T97:T126)</f>
        <v>-10195</v>
      </c>
      <c r="U128" s="25"/>
      <c r="V128" s="5"/>
    </row>
    <row r="129" spans="1:23" ht="15.6" x14ac:dyDescent="0.3">
      <c r="A129" s="24"/>
      <c r="B129" s="25" t="s">
        <v>44</v>
      </c>
      <c r="C129" s="25"/>
      <c r="D129" s="25"/>
      <c r="E129" s="25"/>
      <c r="F129" s="25"/>
      <c r="G129" s="25"/>
      <c r="H129" s="25"/>
      <c r="I129" s="25"/>
      <c r="J129" s="25"/>
      <c r="K129" s="25"/>
      <c r="L129" s="25"/>
      <c r="M129" s="25"/>
      <c r="N129" s="25"/>
      <c r="O129" s="25"/>
      <c r="P129" s="25"/>
      <c r="Q129" s="25"/>
      <c r="R129" s="34">
        <f>R96+R128</f>
        <v>0</v>
      </c>
      <c r="S129" s="34"/>
      <c r="T129" s="34">
        <f>T96+T128</f>
        <v>0</v>
      </c>
      <c r="U129" s="25"/>
      <c r="V129" s="5"/>
    </row>
    <row r="130" spans="1:23" ht="15.6" x14ac:dyDescent="0.3">
      <c r="A130" s="24"/>
      <c r="B130" s="25"/>
      <c r="C130" s="25"/>
      <c r="D130" s="25"/>
      <c r="E130" s="25"/>
      <c r="F130" s="25"/>
      <c r="G130" s="25"/>
      <c r="H130" s="25"/>
      <c r="I130" s="25"/>
      <c r="J130" s="25"/>
      <c r="K130" s="25"/>
      <c r="L130" s="25"/>
      <c r="M130" s="25"/>
      <c r="N130" s="25"/>
      <c r="O130" s="25"/>
      <c r="P130" s="25"/>
      <c r="Q130" s="25"/>
      <c r="R130" s="34"/>
      <c r="S130" s="34"/>
      <c r="T130" s="34"/>
      <c r="U130" s="25"/>
      <c r="V130" s="5"/>
    </row>
    <row r="131" spans="1:23" ht="15.6" x14ac:dyDescent="0.3">
      <c r="A131" s="6"/>
      <c r="B131" s="8"/>
      <c r="C131" s="8"/>
      <c r="D131" s="8"/>
      <c r="E131" s="8"/>
      <c r="F131" s="8"/>
      <c r="G131" s="8"/>
      <c r="H131" s="8"/>
      <c r="I131" s="8"/>
      <c r="J131" s="8"/>
      <c r="K131" s="8"/>
      <c r="L131" s="8"/>
      <c r="M131" s="8"/>
      <c r="N131" s="8"/>
      <c r="O131" s="8"/>
      <c r="P131" s="8"/>
      <c r="Q131" s="8"/>
      <c r="R131" s="8"/>
      <c r="S131" s="8"/>
      <c r="T131" s="52"/>
      <c r="U131" s="8"/>
      <c r="V131" s="5"/>
    </row>
    <row r="132" spans="1:23" ht="18" thickBot="1" x14ac:dyDescent="0.35">
      <c r="A132" s="102"/>
      <c r="B132" s="103" t="str">
        <f>B61</f>
        <v>PM9 INVESTOR REPORT QUARTER ENDING JULY 2006</v>
      </c>
      <c r="C132" s="104"/>
      <c r="D132" s="104"/>
      <c r="E132" s="104"/>
      <c r="F132" s="104"/>
      <c r="G132" s="104"/>
      <c r="H132" s="104"/>
      <c r="I132" s="104"/>
      <c r="J132" s="104"/>
      <c r="K132" s="104"/>
      <c r="L132" s="104"/>
      <c r="M132" s="104"/>
      <c r="N132" s="104"/>
      <c r="O132" s="104"/>
      <c r="P132" s="104"/>
      <c r="Q132" s="104"/>
      <c r="R132" s="104"/>
      <c r="S132" s="104"/>
      <c r="T132" s="107"/>
      <c r="U132" s="106"/>
      <c r="V132" s="5"/>
    </row>
    <row r="133" spans="1:23" ht="15.6" x14ac:dyDescent="0.3">
      <c r="A133" s="2"/>
      <c r="B133" s="60" t="s">
        <v>45</v>
      </c>
      <c r="C133" s="4"/>
      <c r="D133" s="4"/>
      <c r="E133" s="4"/>
      <c r="F133" s="4"/>
      <c r="G133" s="4"/>
      <c r="H133" s="4"/>
      <c r="I133" s="4"/>
      <c r="J133" s="4"/>
      <c r="K133" s="4"/>
      <c r="L133" s="4"/>
      <c r="M133" s="4"/>
      <c r="N133" s="4"/>
      <c r="O133" s="4"/>
      <c r="P133" s="4"/>
      <c r="Q133" s="4"/>
      <c r="R133" s="4"/>
      <c r="S133" s="4"/>
      <c r="T133" s="50"/>
      <c r="U133" s="4"/>
      <c r="V133" s="5"/>
    </row>
    <row r="134" spans="1:23" ht="15.6" x14ac:dyDescent="0.3">
      <c r="A134" s="6"/>
      <c r="B134" s="21"/>
      <c r="C134" s="8"/>
      <c r="D134" s="8"/>
      <c r="E134" s="8"/>
      <c r="F134" s="8"/>
      <c r="G134" s="8"/>
      <c r="H134" s="8"/>
      <c r="I134" s="8"/>
      <c r="J134" s="8"/>
      <c r="K134" s="8"/>
      <c r="L134" s="8"/>
      <c r="M134" s="8"/>
      <c r="N134" s="8"/>
      <c r="O134" s="8"/>
      <c r="P134" s="8"/>
      <c r="Q134" s="8"/>
      <c r="R134" s="8"/>
      <c r="S134" s="8"/>
      <c r="T134" s="52"/>
      <c r="U134" s="8"/>
      <c r="V134" s="5"/>
    </row>
    <row r="135" spans="1:23" ht="15.6" x14ac:dyDescent="0.3">
      <c r="A135" s="6"/>
      <c r="B135" s="120" t="s">
        <v>46</v>
      </c>
      <c r="C135" s="8"/>
      <c r="D135" s="8"/>
      <c r="E135" s="8"/>
      <c r="F135" s="8"/>
      <c r="G135" s="8"/>
      <c r="H135" s="8"/>
      <c r="I135" s="8"/>
      <c r="J135" s="8"/>
      <c r="K135" s="8"/>
      <c r="L135" s="8"/>
      <c r="M135" s="8"/>
      <c r="N135" s="8"/>
      <c r="O135" s="8"/>
      <c r="P135" s="8"/>
      <c r="Q135" s="8"/>
      <c r="R135" s="8"/>
      <c r="S135" s="8"/>
      <c r="T135" s="52"/>
      <c r="U135" s="8"/>
      <c r="V135" s="5"/>
    </row>
    <row r="136" spans="1:23" ht="15.6" x14ac:dyDescent="0.3">
      <c r="A136" s="24"/>
      <c r="B136" s="25" t="s">
        <v>47</v>
      </c>
      <c r="C136" s="25"/>
      <c r="D136" s="25"/>
      <c r="E136" s="25"/>
      <c r="F136" s="25"/>
      <c r="G136" s="25"/>
      <c r="H136" s="25"/>
      <c r="I136" s="25"/>
      <c r="J136" s="25"/>
      <c r="K136" s="25"/>
      <c r="L136" s="25"/>
      <c r="M136" s="25"/>
      <c r="N136" s="25"/>
      <c r="O136" s="25"/>
      <c r="P136" s="25"/>
      <c r="Q136" s="25"/>
      <c r="R136" s="25"/>
      <c r="S136" s="25"/>
      <c r="T136" s="53">
        <f>+T32*0.0176</f>
        <v>12320</v>
      </c>
      <c r="U136" s="25"/>
      <c r="V136" s="5"/>
    </row>
    <row r="137" spans="1:23" ht="15.6" x14ac:dyDescent="0.3">
      <c r="A137" s="24"/>
      <c r="B137" s="25" t="s">
        <v>48</v>
      </c>
      <c r="C137" s="25"/>
      <c r="D137" s="25"/>
      <c r="E137" s="25"/>
      <c r="F137" s="25"/>
      <c r="G137" s="25"/>
      <c r="H137" s="25"/>
      <c r="I137" s="25"/>
      <c r="J137" s="25"/>
      <c r="K137" s="25"/>
      <c r="L137" s="25"/>
      <c r="M137" s="25"/>
      <c r="N137" s="25"/>
      <c r="O137" s="25"/>
      <c r="P137" s="25"/>
      <c r="Q137" s="25"/>
      <c r="R137" s="25"/>
      <c r="S137" s="25"/>
      <c r="T137" s="53">
        <v>12320</v>
      </c>
      <c r="U137" s="25"/>
      <c r="V137" s="5"/>
    </row>
    <row r="138" spans="1:23" ht="15.6" x14ac:dyDescent="0.3">
      <c r="A138" s="24"/>
      <c r="B138" s="25" t="s">
        <v>145</v>
      </c>
      <c r="C138" s="25"/>
      <c r="D138" s="25"/>
      <c r="E138" s="25"/>
      <c r="F138" s="25"/>
      <c r="G138" s="25"/>
      <c r="H138" s="25"/>
      <c r="I138" s="25"/>
      <c r="J138" s="25"/>
      <c r="K138" s="25"/>
      <c r="L138" s="25"/>
      <c r="M138" s="25"/>
      <c r="N138" s="25"/>
      <c r="O138" s="25"/>
      <c r="P138" s="25"/>
      <c r="Q138" s="25"/>
      <c r="R138" s="25"/>
      <c r="S138" s="25"/>
      <c r="T138" s="53">
        <v>0</v>
      </c>
      <c r="U138" s="25"/>
      <c r="V138" s="5"/>
    </row>
    <row r="139" spans="1:23" ht="15.6" x14ac:dyDescent="0.3">
      <c r="A139" s="24"/>
      <c r="B139" s="25" t="s">
        <v>132</v>
      </c>
      <c r="C139" s="25"/>
      <c r="D139" s="25"/>
      <c r="E139" s="25"/>
      <c r="F139" s="25"/>
      <c r="G139" s="25"/>
      <c r="H139" s="25"/>
      <c r="I139" s="25"/>
      <c r="J139" s="25"/>
      <c r="K139" s="25"/>
      <c r="L139" s="25"/>
      <c r="M139" s="25"/>
      <c r="N139" s="25"/>
      <c r="O139" s="25"/>
      <c r="P139" s="25"/>
      <c r="Q139" s="25"/>
      <c r="R139" s="25"/>
      <c r="S139" s="25"/>
      <c r="T139" s="53">
        <v>0</v>
      </c>
      <c r="U139" s="25"/>
      <c r="V139" s="5"/>
    </row>
    <row r="140" spans="1:23" ht="15.6" x14ac:dyDescent="0.3">
      <c r="A140" s="24"/>
      <c r="B140" s="25" t="s">
        <v>133</v>
      </c>
      <c r="C140" s="25"/>
      <c r="D140" s="25"/>
      <c r="E140" s="25"/>
      <c r="F140" s="25"/>
      <c r="G140" s="25"/>
      <c r="H140" s="25"/>
      <c r="I140" s="25"/>
      <c r="J140" s="25"/>
      <c r="K140" s="25"/>
      <c r="L140" s="25"/>
      <c r="M140" s="25"/>
      <c r="N140" s="25"/>
      <c r="O140" s="25"/>
      <c r="P140" s="25"/>
      <c r="Q140" s="25"/>
      <c r="R140" s="25"/>
      <c r="S140" s="25"/>
      <c r="T140" s="53">
        <v>0</v>
      </c>
      <c r="U140" s="25"/>
      <c r="V140" s="5"/>
    </row>
    <row r="141" spans="1:23" ht="15.6" x14ac:dyDescent="0.3">
      <c r="A141" s="24"/>
      <c r="B141" s="25" t="s">
        <v>232</v>
      </c>
      <c r="C141" s="25"/>
      <c r="D141" s="25"/>
      <c r="E141" s="25"/>
      <c r="F141" s="25"/>
      <c r="G141" s="25"/>
      <c r="H141" s="25"/>
      <c r="I141" s="25"/>
      <c r="J141" s="25"/>
      <c r="K141" s="25"/>
      <c r="L141" s="25"/>
      <c r="M141" s="25"/>
      <c r="N141" s="25"/>
      <c r="O141" s="25"/>
      <c r="P141" s="25"/>
      <c r="Q141" s="25"/>
      <c r="R141" s="25"/>
      <c r="S141" s="25"/>
      <c r="T141" s="53">
        <v>0</v>
      </c>
      <c r="U141" s="25"/>
      <c r="V141" s="5"/>
    </row>
    <row r="142" spans="1:23" ht="15.6" x14ac:dyDescent="0.3">
      <c r="A142" s="24"/>
      <c r="B142" s="25" t="s">
        <v>49</v>
      </c>
      <c r="C142" s="25"/>
      <c r="D142" s="25"/>
      <c r="E142" s="25"/>
      <c r="F142" s="25"/>
      <c r="G142" s="25"/>
      <c r="H142" s="25"/>
      <c r="I142" s="25"/>
      <c r="J142" s="25"/>
      <c r="K142" s="25"/>
      <c r="L142" s="25"/>
      <c r="M142" s="25"/>
      <c r="N142" s="25"/>
      <c r="O142" s="25"/>
      <c r="P142" s="25"/>
      <c r="Q142" s="25"/>
      <c r="R142" s="25"/>
      <c r="S142" s="25"/>
      <c r="T142" s="53">
        <v>0</v>
      </c>
      <c r="U142" s="25"/>
      <c r="V142" s="5"/>
    </row>
    <row r="143" spans="1:23" ht="15.6" x14ac:dyDescent="0.3">
      <c r="A143" s="24"/>
      <c r="B143" s="25" t="s">
        <v>138</v>
      </c>
      <c r="C143" s="25"/>
      <c r="D143" s="25"/>
      <c r="E143" s="25"/>
      <c r="F143" s="25"/>
      <c r="G143" s="25"/>
      <c r="H143" s="25"/>
      <c r="I143" s="25"/>
      <c r="J143" s="25"/>
      <c r="K143" s="25"/>
      <c r="L143" s="25"/>
      <c r="M143" s="25"/>
      <c r="N143" s="25"/>
      <c r="O143" s="25"/>
      <c r="P143" s="25"/>
      <c r="Q143" s="25"/>
      <c r="R143" s="25"/>
      <c r="S143" s="25"/>
      <c r="T143" s="53">
        <v>0</v>
      </c>
      <c r="U143" s="25"/>
      <c r="V143" s="5"/>
    </row>
    <row r="144" spans="1:23" ht="15.6" x14ac:dyDescent="0.3">
      <c r="A144" s="24"/>
      <c r="B144" s="25" t="s">
        <v>231</v>
      </c>
      <c r="C144" s="25"/>
      <c r="D144" s="25"/>
      <c r="E144" s="25"/>
      <c r="F144" s="25"/>
      <c r="G144" s="25"/>
      <c r="H144" s="25"/>
      <c r="I144" s="25"/>
      <c r="J144" s="25"/>
      <c r="K144" s="25"/>
      <c r="L144" s="25"/>
      <c r="M144" s="25"/>
      <c r="N144" s="25"/>
      <c r="O144" s="25"/>
      <c r="P144" s="25"/>
      <c r="Q144" s="25"/>
      <c r="R144" s="25"/>
      <c r="S144" s="25"/>
      <c r="T144" s="53">
        <v>0</v>
      </c>
      <c r="U144" s="25"/>
      <c r="V144" s="5"/>
      <c r="W144" s="110"/>
    </row>
    <row r="145" spans="1:22" ht="15.6" x14ac:dyDescent="0.3">
      <c r="A145" s="24"/>
      <c r="B145" s="25" t="s">
        <v>50</v>
      </c>
      <c r="C145" s="25"/>
      <c r="D145" s="25"/>
      <c r="E145" s="25"/>
      <c r="F145" s="25"/>
      <c r="G145" s="25"/>
      <c r="H145" s="25"/>
      <c r="I145" s="25"/>
      <c r="J145" s="25"/>
      <c r="K145" s="25"/>
      <c r="L145" s="25"/>
      <c r="M145" s="25"/>
      <c r="N145" s="25"/>
      <c r="O145" s="25"/>
      <c r="P145" s="25"/>
      <c r="Q145" s="25"/>
      <c r="R145" s="25"/>
      <c r="S145" s="25"/>
      <c r="T145" s="53">
        <f>SUM(T137:T144)</f>
        <v>12320</v>
      </c>
      <c r="U145" s="25"/>
      <c r="V145" s="5"/>
    </row>
    <row r="146" spans="1:22" ht="15.6" x14ac:dyDescent="0.3">
      <c r="A146" s="24"/>
      <c r="B146" s="25"/>
      <c r="C146" s="25"/>
      <c r="D146" s="25"/>
      <c r="E146" s="25"/>
      <c r="F146" s="25"/>
      <c r="G146" s="25"/>
      <c r="H146" s="25"/>
      <c r="I146" s="25"/>
      <c r="J146" s="25"/>
      <c r="K146" s="25"/>
      <c r="L146" s="25"/>
      <c r="M146" s="25"/>
      <c r="N146" s="25"/>
      <c r="O146" s="25"/>
      <c r="P146" s="25"/>
      <c r="Q146" s="25"/>
      <c r="R146" s="25"/>
      <c r="S146" s="25"/>
      <c r="T146" s="53"/>
      <c r="U146" s="25"/>
      <c r="V146" s="5"/>
    </row>
    <row r="147" spans="1:22" ht="15.6" x14ac:dyDescent="0.3">
      <c r="A147" s="24"/>
      <c r="B147" s="141" t="s">
        <v>264</v>
      </c>
      <c r="C147" s="25"/>
      <c r="D147" s="25"/>
      <c r="E147" s="25"/>
      <c r="F147" s="25"/>
      <c r="G147" s="25"/>
      <c r="H147" s="25"/>
      <c r="I147" s="25"/>
      <c r="J147" s="25"/>
      <c r="K147" s="25"/>
      <c r="L147" s="25"/>
      <c r="M147" s="25"/>
      <c r="N147" s="25"/>
      <c r="O147" s="25"/>
      <c r="P147" s="25"/>
      <c r="Q147" s="25"/>
      <c r="R147" s="25"/>
      <c r="S147" s="25"/>
      <c r="T147" s="53"/>
      <c r="U147" s="25"/>
      <c r="V147" s="5"/>
    </row>
    <row r="148" spans="1:22" ht="15.6" x14ac:dyDescent="0.3">
      <c r="A148" s="24"/>
      <c r="B148" s="25" t="s">
        <v>170</v>
      </c>
      <c r="C148" s="25"/>
      <c r="D148" s="25"/>
      <c r="E148" s="25"/>
      <c r="F148" s="25"/>
      <c r="G148" s="25"/>
      <c r="H148" s="25"/>
      <c r="I148" s="25"/>
      <c r="J148" s="25"/>
      <c r="K148" s="25"/>
      <c r="L148" s="25"/>
      <c r="M148" s="25"/>
      <c r="N148" s="25"/>
      <c r="O148" s="25"/>
      <c r="P148" s="25"/>
      <c r="Q148" s="25"/>
      <c r="R148" s="25"/>
      <c r="S148" s="25"/>
      <c r="T148" s="53">
        <v>10000</v>
      </c>
      <c r="U148" s="25"/>
      <c r="V148" s="5"/>
    </row>
    <row r="149" spans="1:22" ht="15.6" x14ac:dyDescent="0.3">
      <c r="A149" s="24"/>
      <c r="B149" s="25" t="s">
        <v>260</v>
      </c>
      <c r="C149" s="25"/>
      <c r="D149" s="25"/>
      <c r="E149" s="25"/>
      <c r="F149" s="25"/>
      <c r="G149" s="25"/>
      <c r="H149" s="25"/>
      <c r="I149" s="25"/>
      <c r="J149" s="25"/>
      <c r="K149" s="25"/>
      <c r="L149" s="25"/>
      <c r="M149" s="25"/>
      <c r="N149" s="25"/>
      <c r="O149" s="25"/>
      <c r="P149" s="25"/>
      <c r="Q149" s="25"/>
      <c r="R149" s="25"/>
      <c r="S149" s="25"/>
      <c r="T149" s="53">
        <f>+'April 06'!T151</f>
        <v>8133</v>
      </c>
      <c r="U149" s="25"/>
      <c r="V149" s="5"/>
    </row>
    <row r="150" spans="1:22" ht="15.6" x14ac:dyDescent="0.3">
      <c r="A150" s="24"/>
      <c r="B150" s="25" t="s">
        <v>228</v>
      </c>
      <c r="C150" s="25"/>
      <c r="D150" s="25"/>
      <c r="E150" s="25"/>
      <c r="F150" s="25"/>
      <c r="G150" s="25"/>
      <c r="H150" s="25"/>
      <c r="I150" s="25"/>
      <c r="J150" s="25"/>
      <c r="K150" s="25"/>
      <c r="L150" s="25"/>
      <c r="M150" s="25"/>
      <c r="N150" s="25"/>
      <c r="O150" s="25"/>
      <c r="P150" s="25"/>
      <c r="Q150" s="25"/>
      <c r="R150" s="25"/>
      <c r="S150" s="25"/>
      <c r="T150" s="53">
        <v>0</v>
      </c>
      <c r="U150" s="25"/>
      <c r="V150" s="5"/>
    </row>
    <row r="151" spans="1:22" ht="15.6" x14ac:dyDescent="0.3">
      <c r="A151" s="24"/>
      <c r="B151" s="25" t="s">
        <v>266</v>
      </c>
      <c r="C151" s="25"/>
      <c r="D151" s="25"/>
      <c r="E151" s="25"/>
      <c r="F151" s="25"/>
      <c r="G151" s="25"/>
      <c r="H151" s="25"/>
      <c r="I151" s="25"/>
      <c r="J151" s="25"/>
      <c r="K151" s="25"/>
      <c r="L151" s="25"/>
      <c r="M151" s="25"/>
      <c r="N151" s="25"/>
      <c r="O151" s="25"/>
      <c r="P151" s="25"/>
      <c r="Q151" s="25"/>
      <c r="R151" s="25"/>
      <c r="S151" s="25"/>
      <c r="T151" s="53">
        <v>7558</v>
      </c>
      <c r="U151" s="25"/>
      <c r="V151" s="5"/>
    </row>
    <row r="152" spans="1:22" ht="15.6" x14ac:dyDescent="0.3">
      <c r="A152" s="24"/>
      <c r="B152" s="25"/>
      <c r="C152" s="25"/>
      <c r="D152" s="25"/>
      <c r="E152" s="25"/>
      <c r="F152" s="25"/>
      <c r="G152" s="25"/>
      <c r="H152" s="25"/>
      <c r="I152" s="25"/>
      <c r="J152" s="25"/>
      <c r="K152" s="25"/>
      <c r="L152" s="25"/>
      <c r="M152" s="25"/>
      <c r="N152" s="25"/>
      <c r="O152" s="25"/>
      <c r="P152" s="25"/>
      <c r="Q152" s="25"/>
      <c r="R152" s="25"/>
      <c r="S152" s="25"/>
      <c r="T152" s="53"/>
      <c r="U152" s="25"/>
      <c r="V152" s="5"/>
    </row>
    <row r="153" spans="1:22" ht="15.6" x14ac:dyDescent="0.3">
      <c r="A153" s="24"/>
      <c r="B153" s="25"/>
      <c r="C153" s="25"/>
      <c r="D153" s="25"/>
      <c r="E153" s="25"/>
      <c r="F153" s="25"/>
      <c r="G153" s="25"/>
      <c r="H153" s="25"/>
      <c r="I153" s="25"/>
      <c r="J153" s="25"/>
      <c r="K153" s="25"/>
      <c r="L153" s="25"/>
      <c r="M153" s="25"/>
      <c r="N153" s="25"/>
      <c r="O153" s="25"/>
      <c r="P153" s="25"/>
      <c r="Q153" s="25"/>
      <c r="R153" s="25"/>
      <c r="S153" s="25"/>
      <c r="T153" s="61"/>
      <c r="U153" s="25"/>
      <c r="V153" s="5"/>
    </row>
    <row r="154" spans="1:22" ht="15.6" x14ac:dyDescent="0.3">
      <c r="A154" s="6"/>
      <c r="B154" s="120" t="s">
        <v>25</v>
      </c>
      <c r="C154" s="8"/>
      <c r="D154" s="8"/>
      <c r="E154" s="8"/>
      <c r="F154" s="8"/>
      <c r="G154" s="8"/>
      <c r="H154" s="8"/>
      <c r="I154" s="8"/>
      <c r="J154" s="8"/>
      <c r="K154" s="8"/>
      <c r="L154" s="8"/>
      <c r="M154" s="8"/>
      <c r="N154" s="8"/>
      <c r="O154" s="8"/>
      <c r="P154" s="8"/>
      <c r="Q154" s="8"/>
      <c r="R154" s="8"/>
      <c r="S154" s="8"/>
      <c r="T154" s="52"/>
      <c r="U154" s="8"/>
      <c r="V154" s="5"/>
    </row>
    <row r="155" spans="1:22" ht="15.6" x14ac:dyDescent="0.3">
      <c r="A155" s="24"/>
      <c r="B155" s="25" t="s">
        <v>51</v>
      </c>
      <c r="C155" s="25"/>
      <c r="D155" s="25"/>
      <c r="E155" s="25"/>
      <c r="F155" s="25"/>
      <c r="G155" s="25"/>
      <c r="H155" s="25"/>
      <c r="I155" s="25"/>
      <c r="J155" s="25"/>
      <c r="K155" s="25"/>
      <c r="L155" s="25"/>
      <c r="M155" s="25"/>
      <c r="N155" s="25"/>
      <c r="O155" s="25"/>
      <c r="P155" s="25"/>
      <c r="Q155" s="25"/>
      <c r="R155" s="25"/>
      <c r="S155" s="25"/>
      <c r="T155" s="59" t="s">
        <v>127</v>
      </c>
      <c r="U155" s="25"/>
      <c r="V155" s="5"/>
    </row>
    <row r="156" spans="1:22" ht="15.6" x14ac:dyDescent="0.3">
      <c r="A156" s="24"/>
      <c r="B156" s="25" t="s">
        <v>52</v>
      </c>
      <c r="C156" s="160"/>
      <c r="D156" s="160"/>
      <c r="E156" s="160"/>
      <c r="F156" s="160"/>
      <c r="G156" s="160"/>
      <c r="H156" s="160"/>
      <c r="I156" s="160"/>
      <c r="J156" s="160"/>
      <c r="K156" s="160"/>
      <c r="L156" s="160"/>
      <c r="M156" s="160"/>
      <c r="N156" s="160"/>
      <c r="O156" s="160"/>
      <c r="P156" s="160"/>
      <c r="Q156" s="160"/>
      <c r="R156" s="160"/>
      <c r="S156" s="160"/>
      <c r="T156" s="59" t="s">
        <v>127</v>
      </c>
      <c r="U156" s="25"/>
      <c r="V156" s="5"/>
    </row>
    <row r="157" spans="1:22" ht="15.6" x14ac:dyDescent="0.3">
      <c r="A157" s="24"/>
      <c r="B157" s="25" t="s">
        <v>53</v>
      </c>
      <c r="C157" s="25"/>
      <c r="D157" s="25"/>
      <c r="E157" s="25"/>
      <c r="F157" s="25"/>
      <c r="G157" s="25"/>
      <c r="H157" s="25"/>
      <c r="I157" s="25"/>
      <c r="J157" s="25"/>
      <c r="K157" s="25"/>
      <c r="L157" s="25"/>
      <c r="M157" s="25"/>
      <c r="N157" s="25"/>
      <c r="O157" s="25"/>
      <c r="P157" s="25"/>
      <c r="Q157" s="25"/>
      <c r="R157" s="25"/>
      <c r="S157" s="25"/>
      <c r="T157" s="59" t="s">
        <v>127</v>
      </c>
      <c r="U157" s="25"/>
      <c r="V157" s="5"/>
    </row>
    <row r="158" spans="1:22" ht="15.6" x14ac:dyDescent="0.3">
      <c r="A158" s="24"/>
      <c r="B158" s="25" t="s">
        <v>54</v>
      </c>
      <c r="C158" s="25"/>
      <c r="D158" s="25"/>
      <c r="E158" s="25"/>
      <c r="F158" s="25"/>
      <c r="G158" s="25"/>
      <c r="H158" s="25"/>
      <c r="I158" s="25"/>
      <c r="J158" s="25"/>
      <c r="K158" s="25"/>
      <c r="L158" s="25"/>
      <c r="M158" s="25"/>
      <c r="N158" s="25"/>
      <c r="O158" s="25"/>
      <c r="P158" s="25"/>
      <c r="Q158" s="25"/>
      <c r="R158" s="25"/>
      <c r="S158" s="25"/>
      <c r="T158" s="59" t="s">
        <v>127</v>
      </c>
      <c r="U158" s="25"/>
      <c r="V158" s="5"/>
    </row>
    <row r="159" spans="1:22" ht="15.6" x14ac:dyDescent="0.3">
      <c r="A159" s="24"/>
      <c r="B159" s="25"/>
      <c r="C159" s="25"/>
      <c r="D159" s="25"/>
      <c r="E159" s="25"/>
      <c r="F159" s="25"/>
      <c r="G159" s="25"/>
      <c r="H159" s="25"/>
      <c r="I159" s="25"/>
      <c r="J159" s="25"/>
      <c r="K159" s="25"/>
      <c r="L159" s="25"/>
      <c r="M159" s="25"/>
      <c r="N159" s="25"/>
      <c r="O159" s="25"/>
      <c r="P159" s="25"/>
      <c r="Q159" s="25"/>
      <c r="R159" s="25"/>
      <c r="S159" s="25"/>
      <c r="T159" s="61"/>
      <c r="U159" s="25"/>
      <c r="V159" s="5"/>
    </row>
    <row r="160" spans="1:22" ht="15.6" x14ac:dyDescent="0.3">
      <c r="A160" s="6"/>
      <c r="B160" s="120" t="s">
        <v>55</v>
      </c>
      <c r="C160" s="8"/>
      <c r="D160" s="8"/>
      <c r="E160" s="8"/>
      <c r="F160" s="8"/>
      <c r="G160" s="8"/>
      <c r="H160" s="8"/>
      <c r="I160" s="8"/>
      <c r="J160" s="8"/>
      <c r="K160" s="8"/>
      <c r="L160" s="8"/>
      <c r="M160" s="8"/>
      <c r="N160" s="8"/>
      <c r="O160" s="8"/>
      <c r="P160" s="8"/>
      <c r="Q160" s="8"/>
      <c r="R160" s="8"/>
      <c r="S160" s="8"/>
      <c r="T160" s="63"/>
      <c r="U160" s="8"/>
      <c r="V160" s="5"/>
    </row>
    <row r="161" spans="1:22" ht="15.6" x14ac:dyDescent="0.3">
      <c r="A161" s="24"/>
      <c r="B161" s="25" t="s">
        <v>56</v>
      </c>
      <c r="C161" s="25"/>
      <c r="D161" s="25"/>
      <c r="E161" s="25"/>
      <c r="F161" s="25"/>
      <c r="G161" s="25"/>
      <c r="H161" s="25"/>
      <c r="I161" s="25"/>
      <c r="J161" s="25"/>
      <c r="K161" s="25"/>
      <c r="L161" s="25"/>
      <c r="M161" s="25"/>
      <c r="N161" s="25"/>
      <c r="O161" s="25"/>
      <c r="P161" s="25"/>
      <c r="Q161" s="25"/>
      <c r="R161" s="25"/>
      <c r="S161" s="25"/>
      <c r="T161" s="53">
        <v>0</v>
      </c>
      <c r="U161" s="25"/>
      <c r="V161" s="5"/>
    </row>
    <row r="162" spans="1:22" ht="15.6" x14ac:dyDescent="0.3">
      <c r="A162" s="24"/>
      <c r="B162" s="25" t="s">
        <v>57</v>
      </c>
      <c r="C162" s="25"/>
      <c r="D162" s="25"/>
      <c r="E162" s="25"/>
      <c r="F162" s="25"/>
      <c r="G162" s="25"/>
      <c r="H162" s="25"/>
      <c r="I162" s="25"/>
      <c r="J162" s="25"/>
      <c r="K162" s="25"/>
      <c r="L162" s="25"/>
      <c r="M162" s="25"/>
      <c r="N162" s="25"/>
      <c r="O162" s="25"/>
      <c r="P162" s="25"/>
      <c r="Q162" s="25"/>
      <c r="R162" s="25"/>
      <c r="S162" s="25"/>
      <c r="T162" s="53">
        <v>0</v>
      </c>
      <c r="U162" s="25"/>
      <c r="V162" s="5"/>
    </row>
    <row r="163" spans="1:22" ht="15.6" x14ac:dyDescent="0.3">
      <c r="A163" s="24"/>
      <c r="B163" s="25" t="s">
        <v>58</v>
      </c>
      <c r="C163" s="25"/>
      <c r="D163" s="25"/>
      <c r="E163" s="25"/>
      <c r="F163" s="25"/>
      <c r="G163" s="25"/>
      <c r="H163" s="25"/>
      <c r="I163" s="25"/>
      <c r="J163" s="25"/>
      <c r="K163" s="25"/>
      <c r="L163" s="25"/>
      <c r="M163" s="25"/>
      <c r="N163" s="25"/>
      <c r="O163" s="25"/>
      <c r="P163" s="25"/>
      <c r="Q163" s="25"/>
      <c r="R163" s="25"/>
      <c r="S163" s="25"/>
      <c r="T163" s="53">
        <f>T162+T161</f>
        <v>0</v>
      </c>
      <c r="U163" s="25"/>
      <c r="V163" s="5"/>
    </row>
    <row r="164" spans="1:22" ht="15.6" x14ac:dyDescent="0.3">
      <c r="A164" s="24"/>
      <c r="B164" s="25" t="s">
        <v>309</v>
      </c>
      <c r="C164" s="25"/>
      <c r="D164" s="25"/>
      <c r="E164" s="25"/>
      <c r="F164" s="25"/>
      <c r="G164" s="25"/>
      <c r="H164" s="25"/>
      <c r="I164" s="25"/>
      <c r="J164" s="25"/>
      <c r="K164" s="25"/>
      <c r="L164" s="25"/>
      <c r="M164" s="25"/>
      <c r="N164" s="25"/>
      <c r="O164" s="25"/>
      <c r="P164" s="25"/>
      <c r="Q164" s="25"/>
      <c r="R164" s="25"/>
      <c r="S164" s="25"/>
      <c r="T164" s="53">
        <f>T112</f>
        <v>0</v>
      </c>
      <c r="U164" s="25"/>
      <c r="V164" s="5"/>
    </row>
    <row r="165" spans="1:22" ht="15.6" x14ac:dyDescent="0.3">
      <c r="A165" s="24"/>
      <c r="B165" s="25" t="s">
        <v>59</v>
      </c>
      <c r="C165" s="25"/>
      <c r="D165" s="25"/>
      <c r="E165" s="25"/>
      <c r="F165" s="25"/>
      <c r="G165" s="25"/>
      <c r="H165" s="25"/>
      <c r="I165" s="25"/>
      <c r="J165" s="25"/>
      <c r="K165" s="25"/>
      <c r="L165" s="25"/>
      <c r="M165" s="25"/>
      <c r="N165" s="25"/>
      <c r="O165" s="25"/>
      <c r="P165" s="25"/>
      <c r="Q165" s="25"/>
      <c r="R165" s="25"/>
      <c r="S165" s="25"/>
      <c r="T165" s="53">
        <f>T163+T164</f>
        <v>0</v>
      </c>
      <c r="U165" s="25"/>
      <c r="V165" s="5"/>
    </row>
    <row r="166" spans="1:22" ht="16.2" thickBot="1" x14ac:dyDescent="0.35">
      <c r="A166" s="24"/>
      <c r="B166" s="25"/>
      <c r="C166" s="25"/>
      <c r="D166" s="25"/>
      <c r="E166" s="25"/>
      <c r="F166" s="25"/>
      <c r="G166" s="25"/>
      <c r="H166" s="25"/>
      <c r="I166" s="25"/>
      <c r="J166" s="25"/>
      <c r="K166" s="25"/>
      <c r="L166" s="25"/>
      <c r="M166" s="25"/>
      <c r="N166" s="25"/>
      <c r="O166" s="25"/>
      <c r="P166" s="25"/>
      <c r="Q166" s="25"/>
      <c r="R166" s="25"/>
      <c r="S166" s="25"/>
      <c r="T166" s="61"/>
      <c r="U166" s="25"/>
      <c r="V166" s="5"/>
    </row>
    <row r="167" spans="1:22" ht="15.6" x14ac:dyDescent="0.3">
      <c r="A167" s="2"/>
      <c r="B167" s="4"/>
      <c r="C167" s="4"/>
      <c r="D167" s="4"/>
      <c r="E167" s="4"/>
      <c r="F167" s="4"/>
      <c r="G167" s="4"/>
      <c r="H167" s="4"/>
      <c r="I167" s="4"/>
      <c r="J167" s="4"/>
      <c r="K167" s="4"/>
      <c r="L167" s="4"/>
      <c r="M167" s="4"/>
      <c r="N167" s="4"/>
      <c r="O167" s="4"/>
      <c r="P167" s="4"/>
      <c r="Q167" s="4"/>
      <c r="R167" s="4"/>
      <c r="S167" s="4"/>
      <c r="T167" s="50"/>
      <c r="U167" s="4"/>
      <c r="V167" s="5"/>
    </row>
    <row r="168" spans="1:22" ht="15.6" x14ac:dyDescent="0.3">
      <c r="A168" s="6"/>
      <c r="B168" s="120" t="s">
        <v>60</v>
      </c>
      <c r="C168" s="8"/>
      <c r="D168" s="8"/>
      <c r="E168" s="8"/>
      <c r="F168" s="8"/>
      <c r="G168" s="8"/>
      <c r="H168" s="8"/>
      <c r="I168" s="8"/>
      <c r="J168" s="8"/>
      <c r="K168" s="8"/>
      <c r="L168" s="8"/>
      <c r="M168" s="8"/>
      <c r="N168" s="8"/>
      <c r="O168" s="8"/>
      <c r="P168" s="8"/>
      <c r="Q168" s="8"/>
      <c r="R168" s="8"/>
      <c r="S168" s="8"/>
      <c r="T168" s="52"/>
      <c r="U168" s="8"/>
      <c r="V168" s="5"/>
    </row>
    <row r="169" spans="1:22" ht="15.6" x14ac:dyDescent="0.3">
      <c r="A169" s="6"/>
      <c r="B169" s="21"/>
      <c r="C169" s="8"/>
      <c r="D169" s="8"/>
      <c r="E169" s="8"/>
      <c r="F169" s="8"/>
      <c r="G169" s="8"/>
      <c r="H169" s="8"/>
      <c r="I169" s="8"/>
      <c r="J169" s="8"/>
      <c r="K169" s="8"/>
      <c r="L169" s="8"/>
      <c r="M169" s="8"/>
      <c r="N169" s="8"/>
      <c r="O169" s="8"/>
      <c r="P169" s="8"/>
      <c r="Q169" s="8"/>
      <c r="R169" s="8"/>
      <c r="S169" s="8"/>
      <c r="T169" s="52"/>
      <c r="U169" s="8"/>
      <c r="V169" s="5"/>
    </row>
    <row r="170" spans="1:22" ht="15.6" x14ac:dyDescent="0.3">
      <c r="A170" s="24"/>
      <c r="B170" s="25" t="s">
        <v>61</v>
      </c>
      <c r="C170" s="25"/>
      <c r="D170" s="25"/>
      <c r="E170" s="25"/>
      <c r="F170" s="25"/>
      <c r="G170" s="25"/>
      <c r="H170" s="25"/>
      <c r="I170" s="25"/>
      <c r="J170" s="25"/>
      <c r="K170" s="25"/>
      <c r="L170" s="25"/>
      <c r="M170" s="25"/>
      <c r="N170" s="25"/>
      <c r="O170" s="25"/>
      <c r="P170" s="25"/>
      <c r="Q170" s="25"/>
      <c r="R170" s="25"/>
      <c r="S170" s="25"/>
      <c r="T170" s="53">
        <f>T69</f>
        <v>626037</v>
      </c>
      <c r="U170" s="25"/>
      <c r="V170" s="5"/>
    </row>
    <row r="171" spans="1:22" ht="15.6" x14ac:dyDescent="0.3">
      <c r="A171" s="24"/>
      <c r="B171" s="25" t="s">
        <v>62</v>
      </c>
      <c r="C171" s="25"/>
      <c r="D171" s="25"/>
      <c r="E171" s="25"/>
      <c r="F171" s="25"/>
      <c r="G171" s="25"/>
      <c r="H171" s="25"/>
      <c r="I171" s="25"/>
      <c r="J171" s="25"/>
      <c r="K171" s="25"/>
      <c r="L171" s="25"/>
      <c r="M171" s="25"/>
      <c r="N171" s="25"/>
      <c r="O171" s="25"/>
      <c r="P171" s="25"/>
      <c r="Q171" s="25"/>
      <c r="R171" s="25"/>
      <c r="S171" s="25"/>
      <c r="T171" s="53">
        <f>T82</f>
        <v>626037</v>
      </c>
      <c r="U171" s="25"/>
      <c r="V171" s="5"/>
    </row>
    <row r="172" spans="1:22" ht="16.2" thickBot="1" x14ac:dyDescent="0.35">
      <c r="A172" s="24"/>
      <c r="B172" s="25"/>
      <c r="C172" s="25"/>
      <c r="D172" s="25"/>
      <c r="E172" s="25"/>
      <c r="F172" s="25"/>
      <c r="G172" s="25"/>
      <c r="H172" s="25"/>
      <c r="I172" s="25"/>
      <c r="J172" s="25"/>
      <c r="K172" s="25"/>
      <c r="L172" s="25"/>
      <c r="M172" s="25"/>
      <c r="N172" s="25"/>
      <c r="O172" s="25"/>
      <c r="P172" s="25"/>
      <c r="Q172" s="25"/>
      <c r="R172" s="25"/>
      <c r="S172" s="25"/>
      <c r="T172" s="61"/>
      <c r="U172" s="25"/>
      <c r="V172" s="5"/>
    </row>
    <row r="173" spans="1:22" ht="15.6" x14ac:dyDescent="0.3">
      <c r="A173" s="2"/>
      <c r="B173" s="4"/>
      <c r="C173" s="4"/>
      <c r="D173" s="4"/>
      <c r="E173" s="4"/>
      <c r="F173" s="4"/>
      <c r="G173" s="4"/>
      <c r="H173" s="4"/>
      <c r="I173" s="4"/>
      <c r="J173" s="4"/>
      <c r="K173" s="4"/>
      <c r="L173" s="4"/>
      <c r="M173" s="4"/>
      <c r="N173" s="4"/>
      <c r="O173" s="4"/>
      <c r="P173" s="4"/>
      <c r="Q173" s="4"/>
      <c r="R173" s="4"/>
      <c r="S173" s="4"/>
      <c r="T173" s="50"/>
      <c r="U173" s="4"/>
      <c r="V173" s="5"/>
    </row>
    <row r="174" spans="1:22" ht="15.6" x14ac:dyDescent="0.3">
      <c r="A174" s="6"/>
      <c r="B174" s="120" t="s">
        <v>63</v>
      </c>
      <c r="C174" s="118"/>
      <c r="D174" s="118"/>
      <c r="E174" s="118"/>
      <c r="F174" s="118"/>
      <c r="G174" s="118"/>
      <c r="H174" s="121"/>
      <c r="I174" s="121"/>
      <c r="J174" s="121"/>
      <c r="K174" s="121"/>
      <c r="L174" s="121"/>
      <c r="M174" s="121"/>
      <c r="N174" s="121"/>
      <c r="O174" s="121"/>
      <c r="P174" s="121"/>
      <c r="Q174" s="121" t="s">
        <v>107</v>
      </c>
      <c r="R174" s="121" t="s">
        <v>234</v>
      </c>
      <c r="S174" s="112"/>
      <c r="T174" s="122" t="s">
        <v>123</v>
      </c>
      <c r="U174" s="10"/>
      <c r="V174" s="5"/>
    </row>
    <row r="175" spans="1:22" ht="15.6" x14ac:dyDescent="0.3">
      <c r="A175" s="24"/>
      <c r="B175" s="25" t="s">
        <v>64</v>
      </c>
      <c r="C175" s="25"/>
      <c r="D175" s="25"/>
      <c r="E175" s="25"/>
      <c r="F175" s="25"/>
      <c r="G175" s="25"/>
      <c r="H175" s="25"/>
      <c r="I175" s="25"/>
      <c r="J175" s="25"/>
      <c r="K175" s="25"/>
      <c r="L175" s="25"/>
      <c r="M175" s="25"/>
      <c r="N175" s="25"/>
      <c r="O175" s="25"/>
      <c r="P175" s="25"/>
      <c r="Q175" s="53">
        <v>112000</v>
      </c>
      <c r="R175" s="40"/>
      <c r="S175" s="25"/>
      <c r="T175" s="53"/>
      <c r="U175" s="25"/>
      <c r="V175" s="5"/>
    </row>
    <row r="176" spans="1:22" ht="15.6" x14ac:dyDescent="0.3">
      <c r="A176" s="24"/>
      <c r="B176" s="25" t="s">
        <v>65</v>
      </c>
      <c r="C176" s="25"/>
      <c r="D176" s="25"/>
      <c r="E176" s="25"/>
      <c r="F176" s="25"/>
      <c r="G176" s="25"/>
      <c r="H176" s="25"/>
      <c r="I176" s="25"/>
      <c r="J176" s="25"/>
      <c r="K176" s="25"/>
      <c r="L176" s="25"/>
      <c r="M176" s="25"/>
      <c r="N176" s="25"/>
      <c r="O176" s="25"/>
      <c r="P176" s="25"/>
      <c r="Q176" s="53">
        <f>'April 06'!Q178</f>
        <v>12397</v>
      </c>
      <c r="R176" s="53">
        <f>'April 06'!R178</f>
        <v>1876</v>
      </c>
      <c r="S176" s="25"/>
      <c r="T176" s="53">
        <f>Q176+R176</f>
        <v>14273</v>
      </c>
      <c r="U176" s="25"/>
      <c r="V176" s="5"/>
    </row>
    <row r="177" spans="1:22" ht="15.6" x14ac:dyDescent="0.3">
      <c r="A177" s="24"/>
      <c r="B177" s="25" t="s">
        <v>66</v>
      </c>
      <c r="C177" s="25"/>
      <c r="D177" s="25"/>
      <c r="E177" s="25"/>
      <c r="F177" s="25"/>
      <c r="G177" s="25"/>
      <c r="H177" s="25"/>
      <c r="I177" s="25"/>
      <c r="J177" s="25"/>
      <c r="K177" s="25"/>
      <c r="L177" s="25"/>
      <c r="M177" s="25"/>
      <c r="N177" s="25"/>
      <c r="O177" s="25"/>
      <c r="P177" s="25"/>
      <c r="Q177" s="34">
        <v>4130</v>
      </c>
      <c r="R177" s="34">
        <v>104</v>
      </c>
      <c r="S177" s="25"/>
      <c r="T177" s="53">
        <f>Q177+R177</f>
        <v>4234</v>
      </c>
      <c r="U177" s="25"/>
      <c r="V177" s="5"/>
    </row>
    <row r="178" spans="1:22" ht="15.6" x14ac:dyDescent="0.3">
      <c r="A178" s="24"/>
      <c r="B178" s="25" t="s">
        <v>67</v>
      </c>
      <c r="C178" s="25"/>
      <c r="D178" s="25"/>
      <c r="E178" s="25"/>
      <c r="F178" s="25"/>
      <c r="G178" s="25"/>
      <c r="H178" s="25"/>
      <c r="I178" s="25"/>
      <c r="J178" s="25"/>
      <c r="K178" s="25"/>
      <c r="L178" s="25"/>
      <c r="M178" s="25"/>
      <c r="N178" s="25"/>
      <c r="O178" s="25"/>
      <c r="P178" s="25"/>
      <c r="Q178" s="53">
        <f>Q176+Q177</f>
        <v>16527</v>
      </c>
      <c r="R178" s="53">
        <f>R177+R176</f>
        <v>1980</v>
      </c>
      <c r="S178" s="25"/>
      <c r="T178" s="53">
        <f>Q178+R178</f>
        <v>18507</v>
      </c>
      <c r="U178" s="25"/>
      <c r="V178" s="5"/>
    </row>
    <row r="179" spans="1:22" ht="15.6" x14ac:dyDescent="0.3">
      <c r="A179" s="24"/>
      <c r="B179" s="25" t="s">
        <v>68</v>
      </c>
      <c r="C179" s="25"/>
      <c r="D179" s="25"/>
      <c r="E179" s="25"/>
      <c r="F179" s="25"/>
      <c r="G179" s="25"/>
      <c r="H179" s="25"/>
      <c r="I179" s="25"/>
      <c r="J179" s="25"/>
      <c r="K179" s="25"/>
      <c r="L179" s="25"/>
      <c r="M179" s="25"/>
      <c r="N179" s="25"/>
      <c r="O179" s="25"/>
      <c r="P179" s="25"/>
      <c r="Q179" s="53">
        <f>Q175-Q178-R178</f>
        <v>93493</v>
      </c>
      <c r="R179" s="40"/>
      <c r="S179" s="25"/>
      <c r="T179" s="53"/>
      <c r="U179" s="25"/>
      <c r="V179" s="5"/>
    </row>
    <row r="180" spans="1:22" ht="16.2" thickBot="1" x14ac:dyDescent="0.35">
      <c r="A180" s="24"/>
      <c r="B180" s="25"/>
      <c r="C180" s="25"/>
      <c r="D180" s="25"/>
      <c r="E180" s="25"/>
      <c r="F180" s="25"/>
      <c r="G180" s="25"/>
      <c r="H180" s="25"/>
      <c r="I180" s="25"/>
      <c r="J180" s="25"/>
      <c r="K180" s="25"/>
      <c r="L180" s="25"/>
      <c r="M180" s="25"/>
      <c r="N180" s="25"/>
      <c r="O180" s="25"/>
      <c r="P180" s="25"/>
      <c r="Q180" s="25"/>
      <c r="R180" s="25"/>
      <c r="S180" s="25"/>
      <c r="T180" s="61"/>
      <c r="U180" s="25"/>
      <c r="V180" s="5"/>
    </row>
    <row r="181" spans="1:22" ht="15.6" x14ac:dyDescent="0.3">
      <c r="A181" s="2"/>
      <c r="B181" s="4"/>
      <c r="C181" s="4"/>
      <c r="D181" s="4"/>
      <c r="E181" s="4"/>
      <c r="F181" s="4"/>
      <c r="G181" s="4"/>
      <c r="H181" s="4"/>
      <c r="I181" s="4"/>
      <c r="J181" s="4"/>
      <c r="K181" s="4"/>
      <c r="L181" s="4"/>
      <c r="M181" s="4"/>
      <c r="N181" s="4"/>
      <c r="O181" s="4"/>
      <c r="P181" s="4"/>
      <c r="Q181" s="4"/>
      <c r="R181" s="4"/>
      <c r="S181" s="4"/>
      <c r="T181" s="50"/>
      <c r="U181" s="4"/>
      <c r="V181" s="5"/>
    </row>
    <row r="182" spans="1:22" ht="15.6" x14ac:dyDescent="0.3">
      <c r="A182" s="6"/>
      <c r="B182" s="120" t="s">
        <v>69</v>
      </c>
      <c r="C182" s="8"/>
      <c r="D182" s="8"/>
      <c r="E182" s="8"/>
      <c r="F182" s="8"/>
      <c r="G182" s="8"/>
      <c r="H182" s="8"/>
      <c r="I182" s="8"/>
      <c r="J182" s="8"/>
      <c r="K182" s="8"/>
      <c r="L182" s="8"/>
      <c r="M182" s="8"/>
      <c r="N182" s="8"/>
      <c r="O182" s="8"/>
      <c r="P182" s="8"/>
      <c r="Q182" s="8"/>
      <c r="R182" s="8"/>
      <c r="S182" s="8"/>
      <c r="T182" s="65"/>
      <c r="U182" s="8"/>
      <c r="V182" s="5"/>
    </row>
    <row r="183" spans="1:22" ht="15.6" x14ac:dyDescent="0.3">
      <c r="A183" s="24"/>
      <c r="B183" s="25" t="s">
        <v>70</v>
      </c>
      <c r="C183" s="25"/>
      <c r="D183" s="25"/>
      <c r="E183" s="25"/>
      <c r="F183" s="25"/>
      <c r="G183" s="25"/>
      <c r="H183" s="25"/>
      <c r="I183" s="25"/>
      <c r="J183" s="25"/>
      <c r="K183" s="25"/>
      <c r="L183" s="25"/>
      <c r="M183" s="25"/>
      <c r="N183" s="25"/>
      <c r="O183" s="25"/>
      <c r="P183" s="25"/>
      <c r="Q183" s="25"/>
      <c r="R183" s="25"/>
      <c r="S183" s="25"/>
      <c r="T183" s="59">
        <f>(T96+T98+T99+T100+T101+T102)/-(T103+T104+T105)</f>
        <v>1.4048932258520719</v>
      </c>
      <c r="U183" s="25" t="s">
        <v>124</v>
      </c>
      <c r="V183" s="5"/>
    </row>
    <row r="184" spans="1:22" ht="15.6" x14ac:dyDescent="0.3">
      <c r="A184" s="24"/>
      <c r="B184" s="25" t="s">
        <v>71</v>
      </c>
      <c r="C184" s="25"/>
      <c r="D184" s="25"/>
      <c r="E184" s="25"/>
      <c r="F184" s="25"/>
      <c r="G184" s="25"/>
      <c r="H184" s="25"/>
      <c r="I184" s="25"/>
      <c r="J184" s="25"/>
      <c r="K184" s="25"/>
      <c r="L184" s="25"/>
      <c r="M184" s="25"/>
      <c r="N184" s="25"/>
      <c r="O184" s="25"/>
      <c r="P184" s="25"/>
      <c r="Q184" s="25"/>
      <c r="R184" s="25"/>
      <c r="S184" s="25"/>
      <c r="T184" s="66">
        <v>1.34</v>
      </c>
      <c r="U184" s="25" t="s">
        <v>124</v>
      </c>
      <c r="V184" s="5"/>
    </row>
    <row r="185" spans="1:22" ht="15.6" x14ac:dyDescent="0.3">
      <c r="A185" s="24"/>
      <c r="B185" s="25" t="s">
        <v>72</v>
      </c>
      <c r="C185" s="25"/>
      <c r="D185" s="25"/>
      <c r="E185" s="25"/>
      <c r="F185" s="25"/>
      <c r="G185" s="25"/>
      <c r="H185" s="25"/>
      <c r="I185" s="25"/>
      <c r="J185" s="25"/>
      <c r="K185" s="25"/>
      <c r="L185" s="25"/>
      <c r="M185" s="25"/>
      <c r="N185" s="25"/>
      <c r="O185" s="25"/>
      <c r="P185" s="25"/>
      <c r="Q185" s="25"/>
      <c r="R185" s="25"/>
      <c r="S185" s="25"/>
      <c r="T185" s="59">
        <f>(T96+T98+T99+T100+T101+T102+T103+T104+T105)/-(T106+T107)</f>
        <v>8.298550724637682</v>
      </c>
      <c r="U185" s="25" t="s">
        <v>124</v>
      </c>
      <c r="V185" s="5"/>
    </row>
    <row r="186" spans="1:22" ht="15.6" x14ac:dyDescent="0.3">
      <c r="A186" s="24"/>
      <c r="B186" s="25" t="s">
        <v>73</v>
      </c>
      <c r="C186" s="25"/>
      <c r="D186" s="25"/>
      <c r="E186" s="25"/>
      <c r="F186" s="25"/>
      <c r="G186" s="25"/>
      <c r="H186" s="25"/>
      <c r="I186" s="25"/>
      <c r="J186" s="25"/>
      <c r="K186" s="25"/>
      <c r="L186" s="25"/>
      <c r="M186" s="25"/>
      <c r="N186" s="25"/>
      <c r="O186" s="25"/>
      <c r="P186" s="25"/>
      <c r="Q186" s="25"/>
      <c r="R186" s="25"/>
      <c r="S186" s="25"/>
      <c r="T186" s="67">
        <v>7.34</v>
      </c>
      <c r="U186" s="25" t="s">
        <v>124</v>
      </c>
      <c r="V186" s="5"/>
    </row>
    <row r="187" spans="1:22" ht="15.6" x14ac:dyDescent="0.3">
      <c r="A187" s="24"/>
      <c r="B187" s="25" t="s">
        <v>243</v>
      </c>
      <c r="C187" s="25"/>
      <c r="D187" s="25"/>
      <c r="E187" s="25"/>
      <c r="F187" s="25"/>
      <c r="G187" s="25"/>
      <c r="H187" s="25"/>
      <c r="I187" s="25"/>
      <c r="J187" s="25"/>
      <c r="K187" s="25"/>
      <c r="L187" s="25"/>
      <c r="M187" s="25"/>
      <c r="N187" s="25"/>
      <c r="O187" s="25"/>
      <c r="P187" s="25"/>
      <c r="Q187" s="25"/>
      <c r="R187" s="25"/>
      <c r="S187" s="25"/>
      <c r="T187" s="59">
        <f>(T96+T98+T99+T100+T101+T102+T103+T104+T105+T106+T107)/-(T108+T109)</f>
        <v>3.9221183800623054</v>
      </c>
      <c r="U187" s="25" t="s">
        <v>124</v>
      </c>
      <c r="V187" s="5"/>
    </row>
    <row r="188" spans="1:22" ht="15.6" x14ac:dyDescent="0.3">
      <c r="A188" s="24"/>
      <c r="B188" s="25" t="s">
        <v>244</v>
      </c>
      <c r="C188" s="25"/>
      <c r="D188" s="25"/>
      <c r="E188" s="25"/>
      <c r="F188" s="25"/>
      <c r="G188" s="25"/>
      <c r="H188" s="25"/>
      <c r="I188" s="25"/>
      <c r="J188" s="25"/>
      <c r="K188" s="25"/>
      <c r="L188" s="25"/>
      <c r="M188" s="25"/>
      <c r="N188" s="25"/>
      <c r="O188" s="25"/>
      <c r="P188" s="25"/>
      <c r="Q188" s="25"/>
      <c r="R188" s="25"/>
      <c r="S188" s="25"/>
      <c r="T188" s="67">
        <v>3.41</v>
      </c>
      <c r="U188" s="25" t="s">
        <v>124</v>
      </c>
      <c r="V188" s="5"/>
    </row>
    <row r="189" spans="1:22" ht="15.6" x14ac:dyDescent="0.3">
      <c r="A189" s="24"/>
      <c r="B189" s="25"/>
      <c r="C189" s="25"/>
      <c r="D189" s="25"/>
      <c r="E189" s="25"/>
      <c r="F189" s="25"/>
      <c r="G189" s="25"/>
      <c r="H189" s="25"/>
      <c r="I189" s="25"/>
      <c r="J189" s="25"/>
      <c r="K189" s="25"/>
      <c r="L189" s="25"/>
      <c r="M189" s="25"/>
      <c r="N189" s="25"/>
      <c r="O189" s="25"/>
      <c r="P189" s="25"/>
      <c r="Q189" s="25"/>
      <c r="R189" s="25"/>
      <c r="S189" s="25"/>
      <c r="T189" s="25"/>
      <c r="U189" s="25"/>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6"/>
      <c r="B191" s="8"/>
      <c r="C191" s="8"/>
      <c r="D191" s="8"/>
      <c r="E191" s="8"/>
      <c r="F191" s="8"/>
      <c r="G191" s="8"/>
      <c r="H191" s="8"/>
      <c r="I191" s="8"/>
      <c r="J191" s="8"/>
      <c r="K191" s="8"/>
      <c r="L191" s="8"/>
      <c r="M191" s="8"/>
      <c r="N191" s="8"/>
      <c r="O191" s="8"/>
      <c r="P191" s="8"/>
      <c r="Q191" s="8"/>
      <c r="R191" s="8"/>
      <c r="S191" s="8"/>
      <c r="T191" s="8"/>
      <c r="U191" s="8"/>
      <c r="V191" s="5"/>
    </row>
    <row r="192" spans="1:22" ht="18" thickBot="1" x14ac:dyDescent="0.35">
      <c r="A192" s="102"/>
      <c r="B192" s="103" t="str">
        <f>B132</f>
        <v>PM9 INVESTOR REPORT QUARTER ENDING JULY 2006</v>
      </c>
      <c r="C192" s="162"/>
      <c r="D192" s="162"/>
      <c r="E192" s="162"/>
      <c r="F192" s="162"/>
      <c r="G192" s="162"/>
      <c r="H192" s="162"/>
      <c r="I192" s="162"/>
      <c r="J192" s="162"/>
      <c r="K192" s="162"/>
      <c r="L192" s="162"/>
      <c r="M192" s="162"/>
      <c r="N192" s="162"/>
      <c r="O192" s="162"/>
      <c r="P192" s="162"/>
      <c r="Q192" s="162"/>
      <c r="R192" s="162"/>
      <c r="S192" s="162"/>
      <c r="T192" s="162"/>
      <c r="U192" s="163"/>
      <c r="V192" s="5"/>
    </row>
    <row r="193" spans="1:22" ht="15.6" x14ac:dyDescent="0.3">
      <c r="A193" s="68"/>
      <c r="B193" s="60" t="s">
        <v>74</v>
      </c>
      <c r="C193" s="69"/>
      <c r="D193" s="69"/>
      <c r="E193" s="69"/>
      <c r="F193" s="69"/>
      <c r="G193" s="70"/>
      <c r="H193" s="70"/>
      <c r="I193" s="70"/>
      <c r="J193" s="70"/>
      <c r="K193" s="70"/>
      <c r="L193" s="70"/>
      <c r="M193" s="70"/>
      <c r="N193" s="70"/>
      <c r="O193" s="70"/>
      <c r="P193" s="70"/>
      <c r="Q193" s="70"/>
      <c r="R193" s="71">
        <v>38929</v>
      </c>
      <c r="S193" s="4"/>
      <c r="T193" s="4"/>
      <c r="U193" s="4"/>
      <c r="V193" s="5"/>
    </row>
    <row r="194" spans="1:22" ht="15.6" x14ac:dyDescent="0.3">
      <c r="A194" s="72"/>
      <c r="B194" s="73"/>
      <c r="C194" s="74"/>
      <c r="D194" s="74"/>
      <c r="E194" s="74"/>
      <c r="F194" s="74"/>
      <c r="G194" s="75"/>
      <c r="H194" s="75"/>
      <c r="I194" s="75"/>
      <c r="J194" s="75"/>
      <c r="K194" s="75"/>
      <c r="L194" s="75"/>
      <c r="M194" s="75"/>
      <c r="N194" s="75"/>
      <c r="O194" s="75"/>
      <c r="P194" s="75"/>
      <c r="Q194" s="75"/>
      <c r="R194" s="75"/>
      <c r="S194" s="8"/>
      <c r="T194" s="8"/>
      <c r="U194" s="8"/>
      <c r="V194" s="5"/>
    </row>
    <row r="195" spans="1:22" ht="15.6" x14ac:dyDescent="0.3">
      <c r="A195" s="76"/>
      <c r="B195" s="77" t="s">
        <v>75</v>
      </c>
      <c r="C195" s="78"/>
      <c r="D195" s="78"/>
      <c r="E195" s="78"/>
      <c r="F195" s="78"/>
      <c r="G195" s="64"/>
      <c r="H195" s="64"/>
      <c r="I195" s="64"/>
      <c r="J195" s="64"/>
      <c r="K195" s="64"/>
      <c r="L195" s="64"/>
      <c r="M195" s="64"/>
      <c r="N195" s="64"/>
      <c r="O195" s="64"/>
      <c r="P195" s="64"/>
      <c r="Q195" s="64"/>
      <c r="R195" s="79">
        <v>5.8209999999999998E-2</v>
      </c>
      <c r="S195" s="25"/>
      <c r="T195" s="25"/>
      <c r="U195" s="25"/>
      <c r="V195" s="5"/>
    </row>
    <row r="196" spans="1:22" ht="15.6" x14ac:dyDescent="0.3">
      <c r="A196" s="76"/>
      <c r="B196" s="77" t="s">
        <v>164</v>
      </c>
      <c r="C196" s="78"/>
      <c r="D196" s="78"/>
      <c r="E196" s="78"/>
      <c r="F196" s="78"/>
      <c r="G196" s="64"/>
      <c r="H196" s="64"/>
      <c r="I196" s="64"/>
      <c r="J196" s="64"/>
      <c r="K196" s="64"/>
      <c r="L196" s="64"/>
      <c r="M196" s="64"/>
      <c r="N196" s="64"/>
      <c r="O196" s="64"/>
      <c r="P196" s="64"/>
      <c r="Q196" s="64"/>
      <c r="R196" s="39">
        <f>'Oct 05'!R193</f>
        <v>4.8438496428571419E-2</v>
      </c>
      <c r="S196" s="25"/>
      <c r="T196" s="25"/>
      <c r="U196" s="25"/>
      <c r="V196" s="5"/>
    </row>
    <row r="197" spans="1:22" ht="15.6" x14ac:dyDescent="0.3">
      <c r="A197" s="76"/>
      <c r="B197" s="77" t="s">
        <v>76</v>
      </c>
      <c r="C197" s="78"/>
      <c r="D197" s="78"/>
      <c r="E197" s="78"/>
      <c r="F197" s="78"/>
      <c r="G197" s="64"/>
      <c r="H197" s="64"/>
      <c r="I197" s="64"/>
      <c r="J197" s="64"/>
      <c r="K197" s="64"/>
      <c r="L197" s="64"/>
      <c r="M197" s="64"/>
      <c r="N197" s="64"/>
      <c r="O197" s="64"/>
      <c r="P197" s="64"/>
      <c r="Q197" s="64"/>
      <c r="R197" s="79">
        <f>R195-R196</f>
        <v>9.7715035714285789E-3</v>
      </c>
      <c r="S197" s="25"/>
      <c r="T197" s="25"/>
      <c r="U197" s="25"/>
      <c r="V197" s="5"/>
    </row>
    <row r="198" spans="1:22" ht="15.6" x14ac:dyDescent="0.3">
      <c r="A198" s="76"/>
      <c r="B198" s="77" t="s">
        <v>77</v>
      </c>
      <c r="C198" s="78"/>
      <c r="D198" s="78"/>
      <c r="E198" s="78"/>
      <c r="F198" s="78"/>
      <c r="G198" s="64"/>
      <c r="H198" s="64"/>
      <c r="I198" s="64"/>
      <c r="J198" s="64"/>
      <c r="K198" s="64"/>
      <c r="L198" s="64"/>
      <c r="M198" s="64"/>
      <c r="N198" s="64"/>
      <c r="O198" s="64"/>
      <c r="P198" s="64"/>
      <c r="Q198" s="64"/>
      <c r="R198" s="79">
        <v>5.7239999999999999E-2</v>
      </c>
      <c r="S198" s="25"/>
      <c r="T198" s="25"/>
      <c r="U198" s="25"/>
      <c r="V198" s="5"/>
    </row>
    <row r="199" spans="1:22" ht="15.6" x14ac:dyDescent="0.3">
      <c r="A199" s="76"/>
      <c r="B199" s="77" t="s">
        <v>257</v>
      </c>
      <c r="C199" s="78"/>
      <c r="D199" s="78"/>
      <c r="E199" s="78"/>
      <c r="F199" s="78"/>
      <c r="G199" s="64"/>
      <c r="H199" s="64"/>
      <c r="I199" s="64"/>
      <c r="J199" s="64"/>
      <c r="K199" s="64"/>
      <c r="L199" s="64"/>
      <c r="M199" s="64"/>
      <c r="N199" s="64"/>
      <c r="O199" s="64"/>
      <c r="P199" s="64"/>
      <c r="Q199" s="64"/>
      <c r="R199" s="79">
        <f>+T41</f>
        <v>4.9291372075380382E-2</v>
      </c>
      <c r="S199" s="25"/>
      <c r="T199" s="25"/>
      <c r="U199" s="25"/>
      <c r="V199" s="5"/>
    </row>
    <row r="200" spans="1:22" ht="15.6" x14ac:dyDescent="0.3">
      <c r="A200" s="76"/>
      <c r="B200" s="77" t="s">
        <v>78</v>
      </c>
      <c r="C200" s="78"/>
      <c r="D200" s="78"/>
      <c r="E200" s="78"/>
      <c r="F200" s="78"/>
      <c r="G200" s="64"/>
      <c r="H200" s="64"/>
      <c r="I200" s="64"/>
      <c r="J200" s="64"/>
      <c r="K200" s="64"/>
      <c r="L200" s="64"/>
      <c r="M200" s="64"/>
      <c r="N200" s="64"/>
      <c r="O200" s="64"/>
      <c r="P200" s="64"/>
      <c r="Q200" s="64"/>
      <c r="R200" s="79">
        <f>R198-R199</f>
        <v>7.9486279246196168E-3</v>
      </c>
      <c r="S200" s="25"/>
      <c r="T200" s="25"/>
      <c r="U200" s="25"/>
      <c r="V200" s="5"/>
    </row>
    <row r="201" spans="1:22" ht="15.6" x14ac:dyDescent="0.3">
      <c r="A201" s="76"/>
      <c r="B201" s="77" t="s">
        <v>268</v>
      </c>
      <c r="C201" s="78"/>
      <c r="D201" s="78"/>
      <c r="E201" s="78"/>
      <c r="F201" s="78"/>
      <c r="G201" s="64"/>
      <c r="H201" s="64"/>
      <c r="I201" s="64"/>
      <c r="J201" s="64"/>
      <c r="K201" s="64"/>
      <c r="L201" s="64"/>
      <c r="M201" s="64"/>
      <c r="N201" s="64"/>
      <c r="O201" s="64"/>
      <c r="P201" s="64"/>
      <c r="Q201" s="64"/>
      <c r="R201" s="79">
        <f>+T96/L69</f>
        <v>1.5718082810168111E-2</v>
      </c>
      <c r="S201" s="25"/>
      <c r="T201" s="25"/>
      <c r="U201" s="25"/>
      <c r="V201" s="5"/>
    </row>
    <row r="202" spans="1:22" ht="15.6" x14ac:dyDescent="0.3">
      <c r="A202" s="76"/>
      <c r="B202" s="77" t="s">
        <v>249</v>
      </c>
      <c r="C202" s="78"/>
      <c r="D202" s="78"/>
      <c r="E202" s="78"/>
      <c r="F202" s="78"/>
      <c r="G202" s="64"/>
      <c r="H202" s="64"/>
      <c r="I202" s="64"/>
      <c r="J202" s="64"/>
      <c r="K202" s="64"/>
      <c r="L202" s="64"/>
      <c r="M202" s="64"/>
      <c r="N202" s="64"/>
      <c r="O202" s="64"/>
      <c r="P202" s="64"/>
      <c r="Q202" s="64"/>
      <c r="R202" s="132">
        <v>51622</v>
      </c>
      <c r="S202" s="25"/>
      <c r="T202" s="25"/>
      <c r="U202" s="25"/>
      <c r="V202" s="5"/>
    </row>
    <row r="203" spans="1:22" ht="15.6" x14ac:dyDescent="0.3">
      <c r="A203" s="76"/>
      <c r="B203" s="77" t="s">
        <v>250</v>
      </c>
      <c r="C203" s="78"/>
      <c r="D203" s="78"/>
      <c r="E203" s="78"/>
      <c r="F203" s="78"/>
      <c r="G203" s="64"/>
      <c r="H203" s="64"/>
      <c r="I203" s="64"/>
      <c r="J203" s="64"/>
      <c r="K203" s="64"/>
      <c r="L203" s="64"/>
      <c r="M203" s="64"/>
      <c r="N203" s="64"/>
      <c r="O203" s="64"/>
      <c r="P203" s="64"/>
      <c r="Q203" s="64"/>
      <c r="R203" s="132">
        <v>51622</v>
      </c>
      <c r="S203" s="25"/>
      <c r="T203" s="25"/>
      <c r="U203" s="25"/>
      <c r="V203" s="5"/>
    </row>
    <row r="204" spans="1:22" ht="15.6" x14ac:dyDescent="0.3">
      <c r="A204" s="76"/>
      <c r="B204" s="77" t="s">
        <v>251</v>
      </c>
      <c r="C204" s="78"/>
      <c r="D204" s="78"/>
      <c r="E204" s="78"/>
      <c r="F204" s="78"/>
      <c r="G204" s="64"/>
      <c r="H204" s="64"/>
      <c r="I204" s="64"/>
      <c r="J204" s="64"/>
      <c r="K204" s="64"/>
      <c r="L204" s="64"/>
      <c r="M204" s="64"/>
      <c r="N204" s="64"/>
      <c r="O204" s="64"/>
      <c r="P204" s="64"/>
      <c r="Q204" s="64"/>
      <c r="R204" s="132">
        <v>51622</v>
      </c>
      <c r="S204" s="25"/>
      <c r="T204" s="25"/>
      <c r="U204" s="25"/>
      <c r="V204" s="5"/>
    </row>
    <row r="205" spans="1:22" ht="15.6" x14ac:dyDescent="0.3">
      <c r="A205" s="76"/>
      <c r="B205" s="77" t="s">
        <v>79</v>
      </c>
      <c r="C205" s="78"/>
      <c r="D205" s="78"/>
      <c r="E205" s="78"/>
      <c r="F205" s="78"/>
      <c r="G205" s="64"/>
      <c r="H205" s="64"/>
      <c r="I205" s="64"/>
      <c r="J205" s="64"/>
      <c r="K205" s="64"/>
      <c r="L205" s="64"/>
      <c r="M205" s="64"/>
      <c r="N205" s="64"/>
      <c r="O205" s="64"/>
      <c r="P205" s="64"/>
      <c r="Q205" s="64"/>
      <c r="R205" s="136">
        <v>20.95</v>
      </c>
      <c r="S205" s="25" t="s">
        <v>119</v>
      </c>
      <c r="T205" s="25"/>
      <c r="U205" s="25"/>
      <c r="V205" s="5"/>
    </row>
    <row r="206" spans="1:22" ht="15.6" x14ac:dyDescent="0.3">
      <c r="A206" s="76"/>
      <c r="B206" s="77" t="s">
        <v>80</v>
      </c>
      <c r="C206" s="78"/>
      <c r="D206" s="78"/>
      <c r="E206" s="78"/>
      <c r="F206" s="78"/>
      <c r="G206" s="64"/>
      <c r="H206" s="64"/>
      <c r="I206" s="64"/>
      <c r="J206" s="64"/>
      <c r="K206" s="64"/>
      <c r="L206" s="64"/>
      <c r="M206" s="64"/>
      <c r="N206" s="64"/>
      <c r="O206" s="64"/>
      <c r="P206" s="64"/>
      <c r="Q206" s="64"/>
      <c r="R206" s="136">
        <v>20.05</v>
      </c>
      <c r="S206" s="25" t="s">
        <v>119</v>
      </c>
      <c r="T206" s="25"/>
      <c r="U206" s="25"/>
      <c r="V206" s="5"/>
    </row>
    <row r="207" spans="1:22" ht="15.6" x14ac:dyDescent="0.3">
      <c r="A207" s="76"/>
      <c r="B207" s="77" t="s">
        <v>81</v>
      </c>
      <c r="C207" s="78"/>
      <c r="D207" s="78"/>
      <c r="E207" s="78"/>
      <c r="F207" s="78"/>
      <c r="G207" s="64"/>
      <c r="H207" s="64"/>
      <c r="I207" s="64"/>
      <c r="J207" s="64"/>
      <c r="K207" s="64"/>
      <c r="L207" s="64"/>
      <c r="M207" s="64"/>
      <c r="N207" s="64"/>
      <c r="O207" s="64"/>
      <c r="P207" s="64"/>
      <c r="Q207" s="64"/>
      <c r="R207" s="79">
        <v>4.2000000000000003E-2</v>
      </c>
      <c r="S207" s="25"/>
      <c r="T207" s="25"/>
      <c r="U207" s="25"/>
      <c r="V207" s="5"/>
    </row>
    <row r="208" spans="1:22" ht="15.6" x14ac:dyDescent="0.3">
      <c r="A208" s="76"/>
      <c r="B208" s="77" t="s">
        <v>82</v>
      </c>
      <c r="C208" s="78"/>
      <c r="D208" s="78"/>
      <c r="E208" s="78"/>
      <c r="F208" s="78"/>
      <c r="G208" s="64"/>
      <c r="H208" s="64"/>
      <c r="I208" s="64"/>
      <c r="J208" s="64"/>
      <c r="K208" s="64"/>
      <c r="L208" s="64"/>
      <c r="M208" s="64"/>
      <c r="N208" s="64"/>
      <c r="O208" s="64"/>
      <c r="P208" s="64"/>
      <c r="Q208" s="64"/>
      <c r="R208" s="79">
        <v>0.1245</v>
      </c>
      <c r="S208" s="25"/>
      <c r="T208" s="25"/>
      <c r="U208" s="25"/>
      <c r="V208" s="5"/>
    </row>
    <row r="209" spans="1:22" ht="15.6" x14ac:dyDescent="0.3">
      <c r="A209" s="76"/>
      <c r="B209" s="77"/>
      <c r="C209" s="77"/>
      <c r="D209" s="77"/>
      <c r="E209" s="77"/>
      <c r="F209" s="77"/>
      <c r="G209" s="25"/>
      <c r="H209" s="25"/>
      <c r="I209" s="25"/>
      <c r="J209" s="25"/>
      <c r="K209" s="25"/>
      <c r="L209" s="25"/>
      <c r="M209" s="25"/>
      <c r="N209" s="25"/>
      <c r="O209" s="25"/>
      <c r="P209" s="25"/>
      <c r="Q209" s="25"/>
      <c r="R209" s="61"/>
      <c r="S209" s="25"/>
      <c r="T209" s="80"/>
      <c r="U209" s="25"/>
      <c r="V209" s="5"/>
    </row>
    <row r="210" spans="1:22" ht="15.6" x14ac:dyDescent="0.3">
      <c r="A210" s="81"/>
      <c r="B210" s="14" t="s">
        <v>83</v>
      </c>
      <c r="C210" s="82"/>
      <c r="D210" s="82"/>
      <c r="E210" s="82"/>
      <c r="F210" s="83"/>
      <c r="G210" s="82"/>
      <c r="H210" s="17"/>
      <c r="I210" s="17"/>
      <c r="J210" s="17"/>
      <c r="K210" s="17"/>
      <c r="L210" s="17"/>
      <c r="M210" s="17"/>
      <c r="N210" s="17"/>
      <c r="O210" s="17"/>
      <c r="P210" s="17"/>
      <c r="Q210" s="17" t="s">
        <v>108</v>
      </c>
      <c r="R210" s="84" t="s">
        <v>115</v>
      </c>
      <c r="S210" s="8"/>
      <c r="T210" s="8"/>
      <c r="U210" s="8"/>
      <c r="V210" s="5"/>
    </row>
    <row r="211" spans="1:22" ht="15.6" x14ac:dyDescent="0.3">
      <c r="A211" s="85"/>
      <c r="B211" s="77" t="s">
        <v>84</v>
      </c>
      <c r="C211" s="54"/>
      <c r="D211" s="54"/>
      <c r="E211" s="54"/>
      <c r="F211" s="25"/>
      <c r="G211" s="25"/>
      <c r="H211" s="30"/>
      <c r="I211" s="30"/>
      <c r="J211" s="30"/>
      <c r="K211" s="30"/>
      <c r="L211" s="30"/>
      <c r="M211" s="30"/>
      <c r="N211" s="30"/>
      <c r="O211" s="30"/>
      <c r="P211" s="30"/>
      <c r="Q211" s="30">
        <v>0</v>
      </c>
      <c r="R211" s="86">
        <v>0</v>
      </c>
      <c r="S211" s="25"/>
      <c r="T211" s="80"/>
      <c r="U211" s="87"/>
      <c r="V211" s="5"/>
    </row>
    <row r="212" spans="1:22" ht="15.6" x14ac:dyDescent="0.3">
      <c r="A212" s="85"/>
      <c r="B212" s="77" t="s">
        <v>156</v>
      </c>
      <c r="C212" s="54"/>
      <c r="D212" s="54"/>
      <c r="E212" s="54"/>
      <c r="F212" s="25"/>
      <c r="G212" s="25"/>
      <c r="H212" s="30"/>
      <c r="I212" s="30"/>
      <c r="J212" s="30"/>
      <c r="K212" s="30"/>
      <c r="L212" s="30"/>
      <c r="M212" s="30"/>
      <c r="N212" s="30"/>
      <c r="O212" s="30"/>
      <c r="P212" s="30"/>
      <c r="Q212" s="156">
        <f>+P251</f>
        <v>22</v>
      </c>
      <c r="R212" s="86">
        <f>+R251</f>
        <v>2900</v>
      </c>
      <c r="S212" s="25"/>
      <c r="T212" s="80"/>
      <c r="U212" s="87"/>
      <c r="V212" s="5"/>
    </row>
    <row r="213" spans="1:22" ht="15.6" x14ac:dyDescent="0.3">
      <c r="A213" s="85"/>
      <c r="B213" s="77" t="s">
        <v>85</v>
      </c>
      <c r="C213" s="54"/>
      <c r="D213" s="54"/>
      <c r="E213" s="54"/>
      <c r="F213" s="25"/>
      <c r="G213" s="25"/>
      <c r="H213" s="30"/>
      <c r="I213" s="30"/>
      <c r="J213" s="30"/>
      <c r="K213" s="30"/>
      <c r="L213" s="30"/>
      <c r="M213" s="30"/>
      <c r="N213" s="30"/>
      <c r="O213" s="30"/>
      <c r="P213" s="30"/>
      <c r="Q213" s="30">
        <v>0</v>
      </c>
      <c r="R213" s="86">
        <v>0</v>
      </c>
      <c r="S213" s="25"/>
      <c r="T213" s="80"/>
      <c r="U213" s="87"/>
      <c r="V213" s="5"/>
    </row>
    <row r="214" spans="1:22" ht="15.6" x14ac:dyDescent="0.3">
      <c r="A214" s="85"/>
      <c r="B214" s="123" t="s">
        <v>86</v>
      </c>
      <c r="C214" s="54"/>
      <c r="D214" s="54"/>
      <c r="E214" s="54"/>
      <c r="F214" s="25"/>
      <c r="G214" s="25"/>
      <c r="H214" s="25"/>
      <c r="I214" s="25"/>
      <c r="J214" s="25"/>
      <c r="K214" s="25"/>
      <c r="L214" s="25"/>
      <c r="M214" s="25"/>
      <c r="N214" s="25"/>
      <c r="O214" s="25"/>
      <c r="P214" s="25"/>
      <c r="Q214" s="25"/>
      <c r="R214" s="86">
        <v>0</v>
      </c>
      <c r="S214" s="25"/>
      <c r="T214" s="80"/>
      <c r="U214" s="87"/>
      <c r="V214" s="5"/>
    </row>
    <row r="215" spans="1:22" ht="15.6" x14ac:dyDescent="0.3">
      <c r="A215" s="85"/>
      <c r="B215" s="123" t="s">
        <v>87</v>
      </c>
      <c r="C215" s="54"/>
      <c r="D215" s="54"/>
      <c r="E215" s="54"/>
      <c r="F215" s="25"/>
      <c r="G215" s="25"/>
      <c r="H215" s="25"/>
      <c r="I215" s="25"/>
      <c r="J215" s="25"/>
      <c r="K215" s="25"/>
      <c r="L215" s="25"/>
      <c r="M215" s="25"/>
      <c r="N215" s="25"/>
      <c r="O215" s="25"/>
      <c r="P215" s="25"/>
      <c r="Q215" s="25"/>
      <c r="R215" s="62" t="s">
        <v>116</v>
      </c>
      <c r="S215" s="25"/>
      <c r="T215" s="80"/>
      <c r="U215" s="87"/>
      <c r="V215" s="5"/>
    </row>
    <row r="216" spans="1:22" ht="15.6" x14ac:dyDescent="0.3">
      <c r="A216" s="88"/>
      <c r="B216" s="123" t="s">
        <v>88</v>
      </c>
      <c r="C216" s="77"/>
      <c r="D216" s="77"/>
      <c r="E216" s="77"/>
      <c r="F216" s="77"/>
      <c r="G216" s="25"/>
      <c r="H216" s="25"/>
      <c r="I216" s="25"/>
      <c r="J216" s="25"/>
      <c r="K216" s="25"/>
      <c r="L216" s="25"/>
      <c r="M216" s="25"/>
      <c r="N216" s="25"/>
      <c r="O216" s="25"/>
      <c r="P216" s="25"/>
      <c r="Q216" s="25"/>
      <c r="R216" s="86"/>
      <c r="S216" s="25"/>
      <c r="T216" s="80"/>
      <c r="U216" s="89"/>
      <c r="V216" s="5"/>
    </row>
    <row r="217" spans="1:22" ht="15.6" x14ac:dyDescent="0.3">
      <c r="A217" s="88"/>
      <c r="B217" s="134" t="s">
        <v>89</v>
      </c>
      <c r="C217" s="77"/>
      <c r="D217" s="77"/>
      <c r="E217" s="77"/>
      <c r="F217" s="77"/>
      <c r="G217" s="25"/>
      <c r="H217" s="25"/>
      <c r="I217" s="25"/>
      <c r="J217" s="25"/>
      <c r="K217" s="25"/>
      <c r="L217" s="25"/>
      <c r="M217" s="25"/>
      <c r="N217" s="25"/>
      <c r="O217" s="25"/>
      <c r="P217" s="25"/>
      <c r="Q217" s="30">
        <v>0</v>
      </c>
      <c r="R217" s="86">
        <f>T162</f>
        <v>0</v>
      </c>
      <c r="S217" s="25"/>
      <c r="T217" s="80"/>
      <c r="U217" s="89"/>
      <c r="V217" s="5"/>
    </row>
    <row r="218" spans="1:22" ht="15.6" x14ac:dyDescent="0.3">
      <c r="A218" s="85"/>
      <c r="B218" s="77" t="s">
        <v>90</v>
      </c>
      <c r="C218" s="54"/>
      <c r="D218" s="54"/>
      <c r="E218" s="54"/>
      <c r="F218" s="54"/>
      <c r="G218" s="25"/>
      <c r="H218" s="25"/>
      <c r="I218" s="25"/>
      <c r="J218" s="25"/>
      <c r="K218" s="25"/>
      <c r="L218" s="25"/>
      <c r="M218" s="25"/>
      <c r="N218" s="25"/>
      <c r="O218" s="25"/>
      <c r="P218" s="25"/>
      <c r="Q218" s="30">
        <v>0</v>
      </c>
      <c r="R218" s="86">
        <f>'April 06'!R218+R217</f>
        <v>0</v>
      </c>
      <c r="S218" s="25"/>
      <c r="T218" s="80"/>
      <c r="U218" s="89"/>
      <c r="V218" s="5"/>
    </row>
    <row r="219" spans="1:22" ht="15.6" x14ac:dyDescent="0.3">
      <c r="A219" s="88"/>
      <c r="B219" s="123" t="s">
        <v>288</v>
      </c>
      <c r="C219" s="77"/>
      <c r="D219" s="77"/>
      <c r="E219" s="77"/>
      <c r="F219" s="77"/>
      <c r="G219" s="25"/>
      <c r="H219" s="25"/>
      <c r="I219" s="25"/>
      <c r="J219" s="25"/>
      <c r="K219" s="25"/>
      <c r="L219" s="25"/>
      <c r="M219" s="25"/>
      <c r="N219" s="25"/>
      <c r="O219" s="25"/>
      <c r="P219" s="25"/>
      <c r="Q219" s="30"/>
      <c r="R219" s="86"/>
      <c r="S219" s="25"/>
      <c r="T219" s="80"/>
      <c r="U219" s="89"/>
      <c r="V219" s="5"/>
    </row>
    <row r="220" spans="1:22" ht="15.6" x14ac:dyDescent="0.3">
      <c r="A220" s="88"/>
      <c r="B220" s="77" t="s">
        <v>286</v>
      </c>
      <c r="C220" s="77"/>
      <c r="D220" s="77"/>
      <c r="E220" s="77"/>
      <c r="F220" s="77"/>
      <c r="G220" s="25"/>
      <c r="H220" s="25"/>
      <c r="I220" s="25"/>
      <c r="J220" s="25"/>
      <c r="K220" s="25"/>
      <c r="L220" s="25"/>
      <c r="M220" s="25"/>
      <c r="N220" s="25"/>
      <c r="O220" s="25"/>
      <c r="P220" s="25"/>
      <c r="Q220" s="30">
        <v>0</v>
      </c>
      <c r="R220" s="86">
        <v>0</v>
      </c>
      <c r="S220" s="25"/>
      <c r="T220" s="80"/>
      <c r="U220" s="89"/>
      <c r="V220" s="5"/>
    </row>
    <row r="221" spans="1:22" ht="15.6" x14ac:dyDescent="0.3">
      <c r="A221" s="85"/>
      <c r="B221" s="77" t="s">
        <v>92</v>
      </c>
      <c r="C221" s="90"/>
      <c r="D221" s="90"/>
      <c r="E221" s="90"/>
      <c r="F221" s="91"/>
      <c r="G221" s="25"/>
      <c r="H221" s="25"/>
      <c r="I221" s="25"/>
      <c r="J221" s="25"/>
      <c r="K221" s="25"/>
      <c r="L221" s="25"/>
      <c r="M221" s="25"/>
      <c r="N221" s="25"/>
      <c r="O221" s="25"/>
      <c r="P221" s="25"/>
      <c r="Q221" s="30"/>
      <c r="R221" s="62">
        <v>0</v>
      </c>
      <c r="S221" s="25"/>
      <c r="T221" s="80"/>
      <c r="U221" s="89"/>
      <c r="V221" s="5"/>
    </row>
    <row r="222" spans="1:22" ht="15.6" x14ac:dyDescent="0.3">
      <c r="A222" s="85"/>
      <c r="B222" s="77" t="s">
        <v>93</v>
      </c>
      <c r="C222" s="90"/>
      <c r="D222" s="90"/>
      <c r="E222" s="90"/>
      <c r="F222" s="91"/>
      <c r="G222" s="25"/>
      <c r="H222" s="25"/>
      <c r="I222" s="25"/>
      <c r="J222" s="25"/>
      <c r="K222" s="25"/>
      <c r="L222" s="25"/>
      <c r="M222" s="25"/>
      <c r="N222" s="25"/>
      <c r="O222" s="25"/>
      <c r="P222" s="25"/>
      <c r="Q222" s="30"/>
      <c r="R222" s="62">
        <v>0</v>
      </c>
      <c r="S222" s="25"/>
      <c r="T222" s="80"/>
      <c r="U222" s="89"/>
      <c r="V222" s="5"/>
    </row>
    <row r="223" spans="1:22" ht="15.6" x14ac:dyDescent="0.3">
      <c r="A223" s="85"/>
      <c r="B223" s="123" t="s">
        <v>258</v>
      </c>
      <c r="C223" s="90"/>
      <c r="D223" s="90"/>
      <c r="E223" s="90"/>
      <c r="F223" s="91"/>
      <c r="G223" s="25"/>
      <c r="H223" s="25"/>
      <c r="I223" s="25"/>
      <c r="J223" s="25"/>
      <c r="K223" s="25"/>
      <c r="L223" s="25"/>
      <c r="M223" s="25"/>
      <c r="N223" s="25"/>
      <c r="O223" s="25"/>
      <c r="P223" s="25"/>
      <c r="Q223" s="30"/>
      <c r="R223" s="92"/>
      <c r="S223" s="25"/>
      <c r="T223" s="80"/>
      <c r="U223" s="89"/>
      <c r="V223" s="5"/>
    </row>
    <row r="224" spans="1:22" ht="15.6" x14ac:dyDescent="0.3">
      <c r="A224" s="85"/>
      <c r="B224" s="77" t="s">
        <v>286</v>
      </c>
      <c r="C224" s="90"/>
      <c r="D224" s="90"/>
      <c r="E224" s="90"/>
      <c r="F224" s="91"/>
      <c r="G224" s="25"/>
      <c r="H224" s="25"/>
      <c r="I224" s="25"/>
      <c r="J224" s="25"/>
      <c r="K224" s="25"/>
      <c r="L224" s="25"/>
      <c r="M224" s="25"/>
      <c r="N224" s="25"/>
      <c r="O224" s="25"/>
      <c r="P224" s="25"/>
      <c r="Q224" s="30">
        <v>4</v>
      </c>
      <c r="R224" s="86">
        <v>860</v>
      </c>
      <c r="S224" s="25"/>
      <c r="T224" s="80"/>
      <c r="U224" s="89"/>
      <c r="V224" s="5"/>
    </row>
    <row r="225" spans="1:23" ht="15.6" x14ac:dyDescent="0.3">
      <c r="A225" s="85"/>
      <c r="B225" s="77" t="s">
        <v>259</v>
      </c>
      <c r="C225" s="90"/>
      <c r="D225" s="90"/>
      <c r="E225" s="90"/>
      <c r="F225" s="91"/>
      <c r="G225" s="25"/>
      <c r="H225" s="25"/>
      <c r="I225" s="25"/>
      <c r="J225" s="25"/>
      <c r="K225" s="25"/>
      <c r="L225" s="25"/>
      <c r="M225" s="25"/>
      <c r="N225" s="25"/>
      <c r="O225" s="25"/>
      <c r="P225" s="25"/>
      <c r="Q225" s="25"/>
      <c r="R225" s="62">
        <v>3.41</v>
      </c>
      <c r="S225" s="25"/>
      <c r="T225" s="80"/>
      <c r="U225" s="89"/>
      <c r="V225" s="5"/>
    </row>
    <row r="226" spans="1:23" ht="15.6" x14ac:dyDescent="0.3">
      <c r="A226" s="85"/>
      <c r="B226" s="77"/>
      <c r="C226" s="90"/>
      <c r="D226" s="90"/>
      <c r="E226" s="90"/>
      <c r="F226" s="91"/>
      <c r="G226" s="25"/>
      <c r="H226" s="25"/>
      <c r="I226" s="25"/>
      <c r="J226" s="25"/>
      <c r="K226" s="25"/>
      <c r="L226" s="25"/>
      <c r="M226" s="25"/>
      <c r="N226" s="25"/>
      <c r="O226" s="25"/>
      <c r="P226" s="25"/>
      <c r="Q226" s="25"/>
      <c r="R226" s="92"/>
      <c r="S226" s="25"/>
      <c r="T226" s="80"/>
      <c r="U226" s="89"/>
      <c r="V226" s="5"/>
    </row>
    <row r="227" spans="1:23" ht="17.399999999999999" x14ac:dyDescent="0.3">
      <c r="A227" s="85"/>
      <c r="B227" s="153" t="s">
        <v>208</v>
      </c>
      <c r="C227" s="90"/>
      <c r="D227" s="90"/>
      <c r="E227" s="90"/>
      <c r="F227" s="91"/>
      <c r="G227" s="25"/>
      <c r="H227" s="25"/>
      <c r="I227" s="25"/>
      <c r="J227" s="25"/>
      <c r="K227" s="25"/>
      <c r="L227" s="25"/>
      <c r="M227" s="25"/>
      <c r="N227" s="154" t="s">
        <v>207</v>
      </c>
      <c r="O227" s="25"/>
      <c r="P227" s="25"/>
      <c r="Q227" s="25"/>
      <c r="R227" s="92"/>
      <c r="S227" s="25"/>
      <c r="T227" s="80"/>
      <c r="U227" s="89"/>
      <c r="V227" s="5"/>
    </row>
    <row r="228" spans="1:23" ht="15.6" x14ac:dyDescent="0.3">
      <c r="A228" s="85"/>
      <c r="B228" s="77"/>
      <c r="C228" s="90"/>
      <c r="D228" s="90"/>
      <c r="E228" s="90"/>
      <c r="F228" s="91"/>
      <c r="G228" s="25"/>
      <c r="H228" s="25"/>
      <c r="I228" s="25"/>
      <c r="J228" s="25"/>
      <c r="K228" s="25"/>
      <c r="L228" s="25"/>
      <c r="M228" s="25"/>
      <c r="N228" s="25"/>
      <c r="O228" s="25"/>
      <c r="P228" s="25"/>
      <c r="Q228" s="25"/>
      <c r="R228" s="92"/>
      <c r="S228" s="25"/>
      <c r="T228" s="80"/>
      <c r="U228" s="89"/>
      <c r="V228" s="5"/>
    </row>
    <row r="229" spans="1:23" ht="15.6" x14ac:dyDescent="0.3">
      <c r="A229" s="6"/>
      <c r="B229" s="14" t="s">
        <v>177</v>
      </c>
      <c r="C229" s="82"/>
      <c r="D229" s="82"/>
      <c r="E229" s="82"/>
      <c r="F229" s="83"/>
      <c r="G229" s="82"/>
      <c r="H229" s="17"/>
      <c r="I229" s="17"/>
      <c r="J229" s="17"/>
      <c r="K229" s="17"/>
      <c r="L229" s="17"/>
      <c r="M229" s="17"/>
      <c r="N229" s="17"/>
      <c r="O229" s="17"/>
      <c r="P229" s="84" t="s">
        <v>108</v>
      </c>
      <c r="Q229" s="17" t="s">
        <v>109</v>
      </c>
      <c r="R229" s="84" t="s">
        <v>117</v>
      </c>
      <c r="S229" s="17" t="s">
        <v>109</v>
      </c>
      <c r="T229" s="8"/>
      <c r="U229" s="93"/>
      <c r="V229" s="5"/>
    </row>
    <row r="230" spans="1:23" ht="15.6" x14ac:dyDescent="0.3">
      <c r="A230" s="24"/>
      <c r="B230" s="54" t="s">
        <v>94</v>
      </c>
      <c r="C230" s="94"/>
      <c r="D230" s="94"/>
      <c r="E230" s="94"/>
      <c r="F230" s="25"/>
      <c r="G230" s="94"/>
      <c r="H230" s="94"/>
      <c r="I230" s="94"/>
      <c r="J230" s="94"/>
      <c r="K230" s="94"/>
      <c r="L230" s="94"/>
      <c r="M230" s="94"/>
      <c r="N230" s="94"/>
      <c r="O230" s="94"/>
      <c r="P230" s="54">
        <v>5637</v>
      </c>
      <c r="Q230" s="95">
        <f t="shared" ref="Q230:Q237" si="1">P230/$P$239</f>
        <v>0.99365415124272871</v>
      </c>
      <c r="R230" s="53">
        <v>618970</v>
      </c>
      <c r="S230" s="135">
        <f t="shared" ref="S230:S237" si="2">R230/$R$239</f>
        <v>0.99331286699393551</v>
      </c>
      <c r="T230" s="80"/>
      <c r="U230" s="89"/>
      <c r="V230" s="5"/>
    </row>
    <row r="231" spans="1:23" ht="15.6" x14ac:dyDescent="0.3">
      <c r="A231" s="24"/>
      <c r="B231" s="54" t="s">
        <v>95</v>
      </c>
      <c r="C231" s="94"/>
      <c r="D231" s="94"/>
      <c r="E231" s="94"/>
      <c r="F231" s="25"/>
      <c r="G231" s="95"/>
      <c r="H231" s="94"/>
      <c r="I231" s="94"/>
      <c r="J231" s="94"/>
      <c r="K231" s="94"/>
      <c r="L231" s="94"/>
      <c r="M231" s="94"/>
      <c r="N231" s="94"/>
      <c r="O231" s="94"/>
      <c r="P231" s="54">
        <v>22</v>
      </c>
      <c r="Q231" s="95">
        <f t="shared" si="1"/>
        <v>3.8780186849991186E-3</v>
      </c>
      <c r="R231" s="53">
        <v>2535</v>
      </c>
      <c r="S231" s="135">
        <f t="shared" si="2"/>
        <v>4.068126270787965E-3</v>
      </c>
      <c r="T231" s="80"/>
      <c r="U231" s="89"/>
      <c r="V231" s="5"/>
      <c r="W231" s="110"/>
    </row>
    <row r="232" spans="1:23" ht="15.6" x14ac:dyDescent="0.3">
      <c r="A232" s="24"/>
      <c r="B232" s="54" t="s">
        <v>96</v>
      </c>
      <c r="C232" s="94"/>
      <c r="D232" s="94"/>
      <c r="E232" s="94"/>
      <c r="F232" s="25"/>
      <c r="G232" s="95"/>
      <c r="H232" s="94"/>
      <c r="I232" s="94"/>
      <c r="J232" s="94"/>
      <c r="K232" s="94"/>
      <c r="L232" s="94"/>
      <c r="M232" s="94"/>
      <c r="N232" s="94"/>
      <c r="O232" s="94"/>
      <c r="P232" s="54">
        <v>9</v>
      </c>
      <c r="Q232" s="95">
        <f t="shared" si="1"/>
        <v>1.5864621893178213E-3</v>
      </c>
      <c r="R232" s="53">
        <v>1096</v>
      </c>
      <c r="S232" s="135">
        <f t="shared" si="2"/>
        <v>1.7588427584945205E-3</v>
      </c>
      <c r="T232" s="80"/>
      <c r="U232" s="89"/>
      <c r="V232" s="5"/>
    </row>
    <row r="233" spans="1:23" ht="15.6" x14ac:dyDescent="0.3">
      <c r="A233" s="24"/>
      <c r="B233" s="54" t="s">
        <v>171</v>
      </c>
      <c r="C233" s="94"/>
      <c r="D233" s="94"/>
      <c r="E233" s="94"/>
      <c r="F233" s="25"/>
      <c r="G233" s="95"/>
      <c r="H233" s="94"/>
      <c r="I233" s="94"/>
      <c r="J233" s="94"/>
      <c r="K233" s="94"/>
      <c r="L233" s="94"/>
      <c r="M233" s="94"/>
      <c r="N233" s="94"/>
      <c r="O233" s="94"/>
      <c r="P233" s="54">
        <v>2</v>
      </c>
      <c r="Q233" s="95">
        <f t="shared" si="1"/>
        <v>3.5254715318173806E-4</v>
      </c>
      <c r="R233" s="53">
        <v>190</v>
      </c>
      <c r="S233" s="135">
        <f t="shared" si="2"/>
        <v>3.0490887236675083E-4</v>
      </c>
      <c r="T233" s="80"/>
      <c r="U233" s="89"/>
      <c r="V233" s="5"/>
      <c r="W233" s="110"/>
    </row>
    <row r="234" spans="1:23" ht="15.6" x14ac:dyDescent="0.3">
      <c r="A234" s="24"/>
      <c r="B234" s="54" t="s">
        <v>172</v>
      </c>
      <c r="C234" s="94"/>
      <c r="D234" s="94"/>
      <c r="E234" s="94"/>
      <c r="F234" s="25"/>
      <c r="G234" s="95"/>
      <c r="H234" s="94"/>
      <c r="I234" s="94"/>
      <c r="J234" s="94"/>
      <c r="K234" s="94"/>
      <c r="L234" s="94"/>
      <c r="M234" s="94"/>
      <c r="N234" s="94"/>
      <c r="O234" s="94"/>
      <c r="P234" s="54">
        <v>0</v>
      </c>
      <c r="Q234" s="95">
        <f t="shared" si="1"/>
        <v>0</v>
      </c>
      <c r="R234" s="53">
        <v>0</v>
      </c>
      <c r="S234" s="135">
        <f t="shared" si="2"/>
        <v>0</v>
      </c>
      <c r="T234" s="80"/>
      <c r="U234" s="89"/>
      <c r="V234" s="5"/>
    </row>
    <row r="235" spans="1:23" ht="15.6" x14ac:dyDescent="0.3">
      <c r="A235" s="24"/>
      <c r="B235" s="54" t="s">
        <v>173</v>
      </c>
      <c r="C235" s="94"/>
      <c r="D235" s="94"/>
      <c r="E235" s="94"/>
      <c r="F235" s="25"/>
      <c r="G235" s="95"/>
      <c r="H235" s="94"/>
      <c r="I235" s="94"/>
      <c r="J235" s="94"/>
      <c r="K235" s="94"/>
      <c r="L235" s="94"/>
      <c r="M235" s="94"/>
      <c r="N235" s="94"/>
      <c r="O235" s="94"/>
      <c r="P235" s="54">
        <v>1</v>
      </c>
      <c r="Q235" s="95">
        <f t="shared" si="1"/>
        <v>1.7627357659086903E-4</v>
      </c>
      <c r="R235" s="53">
        <v>107</v>
      </c>
      <c r="S235" s="135">
        <f t="shared" si="2"/>
        <v>1.7171183864864387E-4</v>
      </c>
      <c r="T235" s="80"/>
      <c r="U235" s="89"/>
      <c r="V235" s="5"/>
      <c r="W235" s="110"/>
    </row>
    <row r="236" spans="1:23" ht="15.6" x14ac:dyDescent="0.3">
      <c r="A236" s="24"/>
      <c r="B236" s="54" t="s">
        <v>174</v>
      </c>
      <c r="C236" s="94"/>
      <c r="D236" s="94"/>
      <c r="E236" s="94"/>
      <c r="F236" s="25"/>
      <c r="G236" s="95"/>
      <c r="H236" s="94"/>
      <c r="I236" s="94"/>
      <c r="J236" s="94"/>
      <c r="K236" s="94"/>
      <c r="L236" s="94"/>
      <c r="M236" s="94"/>
      <c r="N236" s="94"/>
      <c r="O236" s="94"/>
      <c r="P236" s="54">
        <v>2</v>
      </c>
      <c r="Q236" s="95">
        <f t="shared" si="1"/>
        <v>3.5254715318173806E-4</v>
      </c>
      <c r="R236" s="53">
        <v>239</v>
      </c>
      <c r="S236" s="135">
        <f t="shared" si="2"/>
        <v>3.8354326576659707E-4</v>
      </c>
      <c r="T236" s="80"/>
      <c r="U236" s="89"/>
      <c r="V236" s="5"/>
    </row>
    <row r="237" spans="1:23" ht="15.6" x14ac:dyDescent="0.3">
      <c r="A237" s="24"/>
      <c r="B237" s="54" t="s">
        <v>175</v>
      </c>
      <c r="C237" s="94"/>
      <c r="D237" s="94"/>
      <c r="E237" s="94"/>
      <c r="F237" s="25"/>
      <c r="G237" s="95"/>
      <c r="H237" s="94"/>
      <c r="I237" s="94"/>
      <c r="J237" s="94"/>
      <c r="K237" s="94"/>
      <c r="L237" s="94"/>
      <c r="M237" s="94"/>
      <c r="N237" s="94"/>
      <c r="O237" s="94"/>
      <c r="P237" s="54">
        <v>0</v>
      </c>
      <c r="Q237" s="95">
        <f t="shared" si="1"/>
        <v>0</v>
      </c>
      <c r="R237" s="53">
        <v>0</v>
      </c>
      <c r="S237" s="135">
        <f t="shared" si="2"/>
        <v>0</v>
      </c>
      <c r="T237" s="80"/>
      <c r="U237" s="89"/>
      <c r="V237" s="5"/>
      <c r="W237" s="110"/>
    </row>
    <row r="238" spans="1:23" ht="15.6" x14ac:dyDescent="0.3">
      <c r="A238" s="24"/>
      <c r="B238" s="54"/>
      <c r="C238" s="94"/>
      <c r="D238" s="94"/>
      <c r="E238" s="94"/>
      <c r="F238" s="25"/>
      <c r="G238" s="95"/>
      <c r="H238" s="94"/>
      <c r="I238" s="94"/>
      <c r="J238" s="94"/>
      <c r="K238" s="94"/>
      <c r="L238" s="94"/>
      <c r="M238" s="94"/>
      <c r="N238" s="94"/>
      <c r="O238" s="94"/>
      <c r="P238" s="54"/>
      <c r="Q238" s="95"/>
      <c r="R238" s="53"/>
      <c r="S238" s="135"/>
      <c r="T238" s="80"/>
      <c r="U238" s="89"/>
      <c r="V238" s="5"/>
    </row>
    <row r="239" spans="1:23" ht="15.6" x14ac:dyDescent="0.3">
      <c r="A239" s="24"/>
      <c r="B239" s="25"/>
      <c r="C239" s="25"/>
      <c r="D239" s="25"/>
      <c r="E239" s="25"/>
      <c r="F239" s="25"/>
      <c r="G239" s="25"/>
      <c r="H239" s="96"/>
      <c r="I239" s="96"/>
      <c r="J239" s="96"/>
      <c r="K239" s="96"/>
      <c r="L239" s="96"/>
      <c r="M239" s="96"/>
      <c r="N239" s="96"/>
      <c r="O239" s="96"/>
      <c r="P239" s="34">
        <f>SUM(P230:P238)</f>
        <v>5673</v>
      </c>
      <c r="Q239" s="135">
        <f>SUM(Q230:Q238)</f>
        <v>1</v>
      </c>
      <c r="R239" s="53">
        <f>SUM(R230:R238)</f>
        <v>623137</v>
      </c>
      <c r="S239" s="135">
        <f>SUM(S230:S238)</f>
        <v>1</v>
      </c>
      <c r="T239" s="25"/>
      <c r="U239" s="25"/>
      <c r="V239" s="5"/>
    </row>
    <row r="240" spans="1:23" ht="15.6" x14ac:dyDescent="0.3">
      <c r="A240" s="24"/>
      <c r="B240" s="25"/>
      <c r="C240" s="25"/>
      <c r="D240" s="25"/>
      <c r="E240" s="25"/>
      <c r="F240" s="25"/>
      <c r="G240" s="25"/>
      <c r="H240" s="96"/>
      <c r="I240" s="96"/>
      <c r="J240" s="96"/>
      <c r="K240" s="96"/>
      <c r="L240" s="96"/>
      <c r="M240" s="96"/>
      <c r="N240" s="96"/>
      <c r="O240" s="96"/>
      <c r="P240" s="34"/>
      <c r="Q240" s="135"/>
      <c r="R240" s="53"/>
      <c r="S240" s="135"/>
      <c r="T240" s="25"/>
      <c r="U240" s="25"/>
      <c r="V240" s="5"/>
    </row>
    <row r="241" spans="1:22" ht="15.6" x14ac:dyDescent="0.3">
      <c r="A241" s="144"/>
      <c r="B241" s="14" t="s">
        <v>178</v>
      </c>
      <c r="C241" s="82"/>
      <c r="D241" s="82"/>
      <c r="E241" s="82"/>
      <c r="F241" s="83"/>
      <c r="G241" s="82"/>
      <c r="H241" s="17"/>
      <c r="I241" s="17"/>
      <c r="J241" s="17"/>
      <c r="K241" s="17"/>
      <c r="L241" s="17"/>
      <c r="M241" s="17"/>
      <c r="N241" s="17"/>
      <c r="O241" s="17"/>
      <c r="P241" s="84" t="s">
        <v>108</v>
      </c>
      <c r="Q241" s="17" t="s">
        <v>109</v>
      </c>
      <c r="R241" s="84" t="s">
        <v>117</v>
      </c>
      <c r="S241" s="17" t="s">
        <v>109</v>
      </c>
      <c r="T241" s="142"/>
      <c r="U241" s="143"/>
      <c r="V241" s="5"/>
    </row>
    <row r="242" spans="1:22" ht="15.6" x14ac:dyDescent="0.3">
      <c r="A242" s="24"/>
      <c r="B242" s="54" t="s">
        <v>94</v>
      </c>
      <c r="C242" s="94"/>
      <c r="D242" s="94"/>
      <c r="E242" s="94"/>
      <c r="F242" s="25"/>
      <c r="G242" s="94"/>
      <c r="H242" s="94"/>
      <c r="I242" s="94"/>
      <c r="J242" s="94"/>
      <c r="K242" s="94"/>
      <c r="L242" s="94"/>
      <c r="M242" s="94"/>
      <c r="N242" s="94"/>
      <c r="O242" s="94"/>
      <c r="P242" s="54">
        <v>4</v>
      </c>
      <c r="Q242" s="95">
        <f t="shared" ref="Q242:Q249" si="3">P242/$P$251</f>
        <v>0.18181818181818182</v>
      </c>
      <c r="R242" s="53">
        <v>374</v>
      </c>
      <c r="S242" s="135">
        <f t="shared" ref="S242:S249" si="4">R242/$R$251</f>
        <v>0.12896551724137931</v>
      </c>
      <c r="T242" s="25"/>
      <c r="U242" s="25"/>
      <c r="V242" s="5"/>
    </row>
    <row r="243" spans="1:22" ht="15.6" x14ac:dyDescent="0.3">
      <c r="A243" s="24"/>
      <c r="B243" s="54" t="s">
        <v>95</v>
      </c>
      <c r="C243" s="94"/>
      <c r="D243" s="94"/>
      <c r="E243" s="94"/>
      <c r="F243" s="25"/>
      <c r="G243" s="95"/>
      <c r="H243" s="94"/>
      <c r="I243" s="94"/>
      <c r="J243" s="94"/>
      <c r="K243" s="94"/>
      <c r="L243" s="94"/>
      <c r="M243" s="94"/>
      <c r="N243" s="94"/>
      <c r="O243" s="94"/>
      <c r="P243" s="54">
        <v>0</v>
      </c>
      <c r="Q243" s="95">
        <f t="shared" si="3"/>
        <v>0</v>
      </c>
      <c r="R243" s="53">
        <v>0</v>
      </c>
      <c r="S243" s="135">
        <f t="shared" si="4"/>
        <v>0</v>
      </c>
      <c r="T243" s="25"/>
      <c r="U243" s="25"/>
      <c r="V243" s="5"/>
    </row>
    <row r="244" spans="1:22" ht="15.6" x14ac:dyDescent="0.3">
      <c r="A244" s="24"/>
      <c r="B244" s="54" t="s">
        <v>96</v>
      </c>
      <c r="C244" s="94"/>
      <c r="D244" s="94"/>
      <c r="E244" s="94"/>
      <c r="F244" s="25"/>
      <c r="G244" s="95"/>
      <c r="H244" s="94"/>
      <c r="I244" s="94"/>
      <c r="J244" s="94"/>
      <c r="K244" s="94"/>
      <c r="L244" s="94"/>
      <c r="M244" s="94"/>
      <c r="N244" s="94"/>
      <c r="O244" s="94"/>
      <c r="P244" s="54">
        <v>0</v>
      </c>
      <c r="Q244" s="95">
        <f t="shared" si="3"/>
        <v>0</v>
      </c>
      <c r="R244" s="53">
        <v>0</v>
      </c>
      <c r="S244" s="135">
        <f t="shared" si="4"/>
        <v>0</v>
      </c>
      <c r="T244" s="25"/>
      <c r="U244" s="25"/>
      <c r="V244" s="5"/>
    </row>
    <row r="245" spans="1:22" ht="15.6" x14ac:dyDescent="0.3">
      <c r="A245" s="24"/>
      <c r="B245" s="54" t="s">
        <v>171</v>
      </c>
      <c r="C245" s="94"/>
      <c r="D245" s="94"/>
      <c r="E245" s="94"/>
      <c r="F245" s="25"/>
      <c r="G245" s="95"/>
      <c r="H245" s="94"/>
      <c r="I245" s="94"/>
      <c r="J245" s="94"/>
      <c r="K245" s="94"/>
      <c r="L245" s="94"/>
      <c r="M245" s="94"/>
      <c r="N245" s="94"/>
      <c r="O245" s="94"/>
      <c r="P245" s="54">
        <v>0</v>
      </c>
      <c r="Q245" s="95">
        <f t="shared" si="3"/>
        <v>0</v>
      </c>
      <c r="R245" s="53">
        <v>0</v>
      </c>
      <c r="S245" s="135">
        <f t="shared" si="4"/>
        <v>0</v>
      </c>
      <c r="T245" s="25"/>
      <c r="U245" s="25"/>
      <c r="V245" s="5"/>
    </row>
    <row r="246" spans="1:22" ht="15.6" x14ac:dyDescent="0.3">
      <c r="A246" s="24"/>
      <c r="B246" s="54" t="s">
        <v>172</v>
      </c>
      <c r="C246" s="94"/>
      <c r="D246" s="94"/>
      <c r="E246" s="94"/>
      <c r="F246" s="25"/>
      <c r="G246" s="95"/>
      <c r="H246" s="94"/>
      <c r="I246" s="94"/>
      <c r="J246" s="94"/>
      <c r="K246" s="94"/>
      <c r="L246" s="94"/>
      <c r="M246" s="94"/>
      <c r="N246" s="94"/>
      <c r="O246" s="94"/>
      <c r="P246" s="54">
        <v>3</v>
      </c>
      <c r="Q246" s="95">
        <f t="shared" si="3"/>
        <v>0.13636363636363635</v>
      </c>
      <c r="R246" s="53">
        <v>226</v>
      </c>
      <c r="S246" s="135">
        <f t="shared" si="4"/>
        <v>7.7931034482758621E-2</v>
      </c>
      <c r="T246" s="25"/>
      <c r="U246" s="25"/>
      <c r="V246" s="5"/>
    </row>
    <row r="247" spans="1:22" ht="15.6" x14ac:dyDescent="0.3">
      <c r="A247" s="24"/>
      <c r="B247" s="54" t="s">
        <v>173</v>
      </c>
      <c r="C247" s="94"/>
      <c r="D247" s="94"/>
      <c r="E247" s="94"/>
      <c r="F247" s="25"/>
      <c r="G247" s="95"/>
      <c r="H247" s="94"/>
      <c r="I247" s="94"/>
      <c r="J247" s="94"/>
      <c r="K247" s="94"/>
      <c r="L247" s="94"/>
      <c r="M247" s="94"/>
      <c r="N247" s="94"/>
      <c r="O247" s="94"/>
      <c r="P247" s="54">
        <v>5</v>
      </c>
      <c r="Q247" s="95">
        <f t="shared" si="3"/>
        <v>0.22727272727272727</v>
      </c>
      <c r="R247" s="53">
        <v>572</v>
      </c>
      <c r="S247" s="135">
        <f t="shared" si="4"/>
        <v>0.19724137931034483</v>
      </c>
      <c r="T247" s="25"/>
      <c r="U247" s="25"/>
      <c r="V247" s="5"/>
    </row>
    <row r="248" spans="1:22" ht="15.6" x14ac:dyDescent="0.3">
      <c r="A248" s="24"/>
      <c r="B248" s="54" t="s">
        <v>174</v>
      </c>
      <c r="C248" s="94"/>
      <c r="D248" s="94"/>
      <c r="E248" s="94"/>
      <c r="F248" s="25"/>
      <c r="G248" s="95"/>
      <c r="H248" s="94"/>
      <c r="I248" s="94"/>
      <c r="J248" s="94"/>
      <c r="K248" s="94"/>
      <c r="L248" s="94"/>
      <c r="M248" s="94"/>
      <c r="N248" s="94"/>
      <c r="O248" s="94"/>
      <c r="P248" s="54">
        <v>7</v>
      </c>
      <c r="Q248" s="95">
        <f t="shared" si="3"/>
        <v>0.31818181818181818</v>
      </c>
      <c r="R248" s="53">
        <v>1330</v>
      </c>
      <c r="S248" s="135">
        <f t="shared" si="4"/>
        <v>0.45862068965517239</v>
      </c>
      <c r="T248" s="25"/>
      <c r="U248" s="25"/>
      <c r="V248" s="5"/>
    </row>
    <row r="249" spans="1:22" ht="15.6" x14ac:dyDescent="0.3">
      <c r="A249" s="24"/>
      <c r="B249" s="54" t="s">
        <v>175</v>
      </c>
      <c r="C249" s="94"/>
      <c r="D249" s="94"/>
      <c r="E249" s="94"/>
      <c r="F249" s="25"/>
      <c r="G249" s="95"/>
      <c r="H249" s="94"/>
      <c r="I249" s="94"/>
      <c r="J249" s="94"/>
      <c r="K249" s="94"/>
      <c r="L249" s="94"/>
      <c r="M249" s="94"/>
      <c r="N249" s="94"/>
      <c r="O249" s="94"/>
      <c r="P249" s="54">
        <v>3</v>
      </c>
      <c r="Q249" s="95">
        <f t="shared" si="3"/>
        <v>0.13636363636363635</v>
      </c>
      <c r="R249" s="53">
        <v>398</v>
      </c>
      <c r="S249" s="135">
        <f t="shared" si="4"/>
        <v>0.13724137931034483</v>
      </c>
      <c r="T249" s="25"/>
      <c r="U249" s="25"/>
      <c r="V249" s="5"/>
    </row>
    <row r="250" spans="1:22" ht="15.6" x14ac:dyDescent="0.3">
      <c r="A250" s="24"/>
      <c r="B250" s="54"/>
      <c r="C250" s="94"/>
      <c r="D250" s="94"/>
      <c r="E250" s="94"/>
      <c r="F250" s="25"/>
      <c r="G250" s="95"/>
      <c r="H250" s="94"/>
      <c r="I250" s="94"/>
      <c r="J250" s="94"/>
      <c r="K250" s="94"/>
      <c r="L250" s="94"/>
      <c r="M250" s="94"/>
      <c r="N250" s="94"/>
      <c r="O250" s="94"/>
      <c r="P250" s="54"/>
      <c r="Q250" s="95"/>
      <c r="R250" s="53"/>
      <c r="S250" s="135"/>
      <c r="T250" s="25"/>
      <c r="U250" s="25"/>
      <c r="V250" s="5"/>
    </row>
    <row r="251" spans="1:22" ht="15.6" x14ac:dyDescent="0.3">
      <c r="A251" s="24"/>
      <c r="B251" s="25"/>
      <c r="C251" s="25"/>
      <c r="D251" s="25"/>
      <c r="E251" s="25"/>
      <c r="F251" s="25"/>
      <c r="G251" s="25"/>
      <c r="H251" s="96"/>
      <c r="I251" s="96"/>
      <c r="J251" s="96"/>
      <c r="K251" s="96"/>
      <c r="L251" s="96"/>
      <c r="M251" s="96"/>
      <c r="N251" s="96"/>
      <c r="O251" s="96"/>
      <c r="P251" s="34">
        <f>SUM(P242:P250)</f>
        <v>22</v>
      </c>
      <c r="Q251" s="135">
        <f>SUM(Q242:Q250)</f>
        <v>0.99999999999999989</v>
      </c>
      <c r="R251" s="53">
        <f>SUM(R242:R250)</f>
        <v>2900</v>
      </c>
      <c r="S251" s="135">
        <f>SUM(S242:S250)</f>
        <v>1</v>
      </c>
      <c r="T251" s="25"/>
      <c r="U251" s="25"/>
      <c r="V251" s="5"/>
    </row>
    <row r="252" spans="1:22" ht="15.6" x14ac:dyDescent="0.3">
      <c r="A252" s="24"/>
      <c r="B252" s="25"/>
      <c r="C252" s="25"/>
      <c r="D252" s="25"/>
      <c r="E252" s="25"/>
      <c r="F252" s="25"/>
      <c r="G252" s="25"/>
      <c r="H252" s="96"/>
      <c r="I252" s="96"/>
      <c r="J252" s="96"/>
      <c r="K252" s="96"/>
      <c r="L252" s="96"/>
      <c r="M252" s="96"/>
      <c r="N252" s="96"/>
      <c r="O252" s="96"/>
      <c r="P252" s="34"/>
      <c r="Q252" s="135"/>
      <c r="R252" s="53"/>
      <c r="S252" s="135"/>
      <c r="T252" s="25"/>
      <c r="U252" s="25"/>
      <c r="V252" s="5"/>
    </row>
    <row r="253" spans="1:22" ht="15.6" x14ac:dyDescent="0.3">
      <c r="A253" s="144"/>
      <c r="B253" s="14" t="s">
        <v>179</v>
      </c>
      <c r="C253" s="142"/>
      <c r="D253" s="142"/>
      <c r="E253" s="142"/>
      <c r="F253" s="142"/>
      <c r="G253" s="142"/>
      <c r="H253" s="149"/>
      <c r="I253" s="149"/>
      <c r="J253" s="149"/>
      <c r="K253" s="149"/>
      <c r="L253" s="149"/>
      <c r="M253" s="149"/>
      <c r="N253" s="149"/>
      <c r="O253" s="149"/>
      <c r="P253" s="84" t="s">
        <v>108</v>
      </c>
      <c r="Q253" s="17" t="s">
        <v>109</v>
      </c>
      <c r="R253" s="84" t="s">
        <v>117</v>
      </c>
      <c r="S253" s="17" t="s">
        <v>109</v>
      </c>
      <c r="T253" s="142"/>
      <c r="U253" s="143"/>
      <c r="V253" s="5"/>
    </row>
    <row r="254" spans="1:22" ht="15.6" x14ac:dyDescent="0.3">
      <c r="A254" s="24"/>
      <c r="B254" s="54" t="s">
        <v>94</v>
      </c>
      <c r="C254" s="25"/>
      <c r="D254" s="25"/>
      <c r="E254" s="25"/>
      <c r="F254" s="25"/>
      <c r="G254" s="25"/>
      <c r="H254" s="96"/>
      <c r="I254" s="96"/>
      <c r="J254" s="96"/>
      <c r="K254" s="96"/>
      <c r="L254" s="96"/>
      <c r="M254" s="96"/>
      <c r="N254" s="96"/>
      <c r="O254" s="96"/>
      <c r="P254" s="54">
        <v>0</v>
      </c>
      <c r="Q254" s="95">
        <v>0</v>
      </c>
      <c r="R254" s="53">
        <v>0</v>
      </c>
      <c r="S254" s="135">
        <v>0</v>
      </c>
      <c r="T254" s="25"/>
      <c r="U254" s="25"/>
      <c r="V254" s="5"/>
    </row>
    <row r="255" spans="1:22" ht="15.6" x14ac:dyDescent="0.3">
      <c r="A255" s="24"/>
      <c r="B255" s="54" t="s">
        <v>95</v>
      </c>
      <c r="C255" s="25"/>
      <c r="D255" s="25"/>
      <c r="E255" s="25"/>
      <c r="F255" s="25"/>
      <c r="G255" s="25"/>
      <c r="H255" s="96"/>
      <c r="I255" s="96"/>
      <c r="J255" s="96"/>
      <c r="K255" s="96"/>
      <c r="L255" s="96"/>
      <c r="M255" s="96"/>
      <c r="N255" s="96"/>
      <c r="O255" s="96"/>
      <c r="P255" s="54">
        <v>0</v>
      </c>
      <c r="Q255" s="95">
        <v>0</v>
      </c>
      <c r="R255" s="53">
        <v>0</v>
      </c>
      <c r="S255" s="135">
        <v>0</v>
      </c>
      <c r="T255" s="25"/>
      <c r="U255" s="25"/>
      <c r="V255" s="5"/>
    </row>
    <row r="256" spans="1:22" ht="15.6" x14ac:dyDescent="0.3">
      <c r="A256" s="24"/>
      <c r="B256" s="54" t="s">
        <v>96</v>
      </c>
      <c r="C256" s="25"/>
      <c r="D256" s="25"/>
      <c r="E256" s="25"/>
      <c r="F256" s="25"/>
      <c r="G256" s="25"/>
      <c r="H256" s="96"/>
      <c r="I256" s="96"/>
      <c r="J256" s="96"/>
      <c r="K256" s="96"/>
      <c r="L256" s="96"/>
      <c r="M256" s="96"/>
      <c r="N256" s="96"/>
      <c r="O256" s="96"/>
      <c r="P256" s="54">
        <v>0</v>
      </c>
      <c r="Q256" s="95">
        <v>0</v>
      </c>
      <c r="R256" s="53">
        <v>0</v>
      </c>
      <c r="S256" s="135">
        <v>0</v>
      </c>
      <c r="T256" s="25"/>
      <c r="U256" s="25"/>
      <c r="V256" s="5"/>
    </row>
    <row r="257" spans="1:22" ht="15.6" x14ac:dyDescent="0.3">
      <c r="A257" s="24"/>
      <c r="B257" s="54" t="s">
        <v>171</v>
      </c>
      <c r="C257" s="25"/>
      <c r="D257" s="25"/>
      <c r="E257" s="25"/>
      <c r="F257" s="25"/>
      <c r="G257" s="25"/>
      <c r="H257" s="96"/>
      <c r="I257" s="96"/>
      <c r="J257" s="96"/>
      <c r="K257" s="96"/>
      <c r="L257" s="96"/>
      <c r="M257" s="96"/>
      <c r="N257" s="96"/>
      <c r="O257" s="96"/>
      <c r="P257" s="54">
        <v>0</v>
      </c>
      <c r="Q257" s="95">
        <v>0</v>
      </c>
      <c r="R257" s="53">
        <v>0</v>
      </c>
      <c r="S257" s="135">
        <v>0</v>
      </c>
      <c r="T257" s="25"/>
      <c r="U257" s="25"/>
      <c r="V257" s="5"/>
    </row>
    <row r="258" spans="1:22" ht="15.6" x14ac:dyDescent="0.3">
      <c r="A258" s="24"/>
      <c r="B258" s="54" t="s">
        <v>172</v>
      </c>
      <c r="C258" s="25"/>
      <c r="D258" s="25"/>
      <c r="E258" s="25"/>
      <c r="F258" s="25"/>
      <c r="G258" s="25"/>
      <c r="H258" s="96"/>
      <c r="I258" s="96"/>
      <c r="J258" s="96"/>
      <c r="K258" s="96"/>
      <c r="L258" s="96"/>
      <c r="M258" s="96"/>
      <c r="N258" s="96"/>
      <c r="O258" s="96"/>
      <c r="P258" s="54">
        <v>0</v>
      </c>
      <c r="Q258" s="95">
        <v>0</v>
      </c>
      <c r="R258" s="53">
        <v>0</v>
      </c>
      <c r="S258" s="135">
        <v>0</v>
      </c>
      <c r="T258" s="25"/>
      <c r="U258" s="25"/>
      <c r="V258" s="5"/>
    </row>
    <row r="259" spans="1:22" ht="15.6" x14ac:dyDescent="0.3">
      <c r="A259" s="24"/>
      <c r="B259" s="54" t="s">
        <v>173</v>
      </c>
      <c r="C259" s="25"/>
      <c r="D259" s="25"/>
      <c r="E259" s="25"/>
      <c r="F259" s="25"/>
      <c r="G259" s="25"/>
      <c r="H259" s="96"/>
      <c r="I259" s="96"/>
      <c r="J259" s="96"/>
      <c r="K259" s="96"/>
      <c r="L259" s="96"/>
      <c r="M259" s="96"/>
      <c r="N259" s="96"/>
      <c r="O259" s="96"/>
      <c r="P259" s="54">
        <v>0</v>
      </c>
      <c r="Q259" s="95">
        <v>0</v>
      </c>
      <c r="R259" s="53">
        <v>0</v>
      </c>
      <c r="S259" s="135">
        <v>0</v>
      </c>
      <c r="T259" s="25"/>
      <c r="U259" s="25"/>
      <c r="V259" s="5"/>
    </row>
    <row r="260" spans="1:22" ht="15.6" x14ac:dyDescent="0.3">
      <c r="A260" s="24"/>
      <c r="B260" s="54" t="s">
        <v>174</v>
      </c>
      <c r="C260" s="25"/>
      <c r="D260" s="25"/>
      <c r="E260" s="25"/>
      <c r="F260" s="25"/>
      <c r="G260" s="25"/>
      <c r="H260" s="96"/>
      <c r="I260" s="96"/>
      <c r="J260" s="96"/>
      <c r="K260" s="96"/>
      <c r="L260" s="96"/>
      <c r="M260" s="96"/>
      <c r="N260" s="96"/>
      <c r="O260" s="96"/>
      <c r="P260" s="54">
        <v>0</v>
      </c>
      <c r="Q260" s="95">
        <v>0</v>
      </c>
      <c r="R260" s="53">
        <v>0</v>
      </c>
      <c r="S260" s="135">
        <v>0</v>
      </c>
      <c r="T260" s="25"/>
      <c r="U260" s="25"/>
      <c r="V260" s="5"/>
    </row>
    <row r="261" spans="1:22" ht="15.6" x14ac:dyDescent="0.3">
      <c r="A261" s="24"/>
      <c r="B261" s="54" t="s">
        <v>175</v>
      </c>
      <c r="C261" s="25"/>
      <c r="D261" s="25"/>
      <c r="E261" s="25"/>
      <c r="F261" s="25"/>
      <c r="G261" s="25"/>
      <c r="H261" s="96"/>
      <c r="I261" s="96"/>
      <c r="J261" s="96"/>
      <c r="K261" s="96"/>
      <c r="L261" s="96"/>
      <c r="M261" s="96"/>
      <c r="N261" s="96"/>
      <c r="O261" s="96"/>
      <c r="P261" s="54">
        <v>0</v>
      </c>
      <c r="Q261" s="95">
        <v>0</v>
      </c>
      <c r="R261" s="53">
        <v>0</v>
      </c>
      <c r="S261" s="135">
        <v>0</v>
      </c>
      <c r="T261" s="25"/>
      <c r="U261" s="25"/>
      <c r="V261" s="5"/>
    </row>
    <row r="262" spans="1:22" ht="15.6" x14ac:dyDescent="0.3">
      <c r="A262" s="24"/>
      <c r="B262" s="54"/>
      <c r="C262" s="25"/>
      <c r="D262" s="25"/>
      <c r="E262" s="25"/>
      <c r="F262" s="25"/>
      <c r="G262" s="25"/>
      <c r="H262" s="96"/>
      <c r="I262" s="96"/>
      <c r="J262" s="96"/>
      <c r="K262" s="96"/>
      <c r="L262" s="96"/>
      <c r="M262" s="96"/>
      <c r="N262" s="96"/>
      <c r="O262" s="96"/>
      <c r="P262" s="54"/>
      <c r="Q262" s="95"/>
      <c r="R262" s="53"/>
      <c r="S262" s="135"/>
      <c r="T262" s="25"/>
      <c r="U262" s="25"/>
      <c r="V262" s="5"/>
    </row>
    <row r="263" spans="1:22" ht="15.6" x14ac:dyDescent="0.3">
      <c r="A263" s="24"/>
      <c r="B263" s="25" t="s">
        <v>123</v>
      </c>
      <c r="C263" s="25"/>
      <c r="D263" s="25"/>
      <c r="E263" s="25"/>
      <c r="F263" s="25"/>
      <c r="G263" s="25"/>
      <c r="H263" s="96"/>
      <c r="I263" s="96"/>
      <c r="J263" s="96"/>
      <c r="K263" s="96"/>
      <c r="L263" s="96"/>
      <c r="M263" s="96"/>
      <c r="N263" s="96"/>
      <c r="O263" s="96"/>
      <c r="P263" s="34">
        <f>SUM(P254:P261)</f>
        <v>0</v>
      </c>
      <c r="Q263" s="95">
        <f>SUM(Q254:Q261)</f>
        <v>0</v>
      </c>
      <c r="R263" s="53">
        <f>SUM(R254:R261)</f>
        <v>0</v>
      </c>
      <c r="S263" s="135">
        <f>SUM(S254:S261)</f>
        <v>0</v>
      </c>
      <c r="T263" s="25"/>
      <c r="U263" s="25"/>
      <c r="V263" s="5"/>
    </row>
    <row r="264" spans="1:22" ht="15.6" x14ac:dyDescent="0.3">
      <c r="A264" s="24"/>
      <c r="B264" s="25"/>
      <c r="C264" s="25"/>
      <c r="D264" s="25"/>
      <c r="E264" s="25"/>
      <c r="F264" s="25"/>
      <c r="G264" s="25"/>
      <c r="H264" s="96"/>
      <c r="I264" s="96"/>
      <c r="J264" s="96"/>
      <c r="K264" s="96"/>
      <c r="L264" s="96"/>
      <c r="M264" s="96"/>
      <c r="N264" s="96"/>
      <c r="O264" s="96"/>
      <c r="P264" s="34"/>
      <c r="Q264" s="135"/>
      <c r="R264" s="53"/>
      <c r="S264" s="135"/>
      <c r="T264" s="25"/>
      <c r="U264" s="25"/>
      <c r="V264" s="5"/>
    </row>
    <row r="265" spans="1:22" ht="15.6" x14ac:dyDescent="0.3">
      <c r="A265" s="24"/>
      <c r="B265" s="145" t="s">
        <v>180</v>
      </c>
      <c r="C265" s="25"/>
      <c r="D265" s="25"/>
      <c r="E265" s="25"/>
      <c r="F265" s="25"/>
      <c r="G265" s="25"/>
      <c r="H265" s="96"/>
      <c r="I265" s="96"/>
      <c r="J265" s="96"/>
      <c r="K265" s="96"/>
      <c r="L265" s="96"/>
      <c r="M265" s="96"/>
      <c r="N265" s="96"/>
      <c r="O265" s="96"/>
      <c r="P265" s="146"/>
      <c r="Q265" s="147"/>
      <c r="R265" s="148">
        <f>+R263+R251+R239</f>
        <v>626037</v>
      </c>
      <c r="S265" s="147"/>
      <c r="T265" s="25"/>
      <c r="U265" s="25"/>
      <c r="V265" s="5"/>
    </row>
    <row r="266" spans="1:22" ht="15.6" x14ac:dyDescent="0.3">
      <c r="A266" s="24"/>
      <c r="B266" s="25"/>
      <c r="C266" s="25"/>
      <c r="D266" s="25"/>
      <c r="E266" s="25"/>
      <c r="F266" s="25"/>
      <c r="G266" s="25"/>
      <c r="H266" s="96"/>
      <c r="I266" s="96"/>
      <c r="J266" s="96"/>
      <c r="K266" s="96"/>
      <c r="L266" s="96"/>
      <c r="M266" s="96"/>
      <c r="N266" s="96"/>
      <c r="O266" s="96"/>
      <c r="P266" s="96"/>
      <c r="Q266" s="96"/>
      <c r="R266" s="53"/>
      <c r="S266" s="96"/>
      <c r="T266" s="25"/>
      <c r="U266" s="25"/>
      <c r="V266" s="5"/>
    </row>
    <row r="267" spans="1:22" ht="15.6" x14ac:dyDescent="0.3">
      <c r="A267" s="6"/>
      <c r="B267" s="8"/>
      <c r="C267" s="8"/>
      <c r="D267" s="8"/>
      <c r="E267" s="8"/>
      <c r="F267" s="8"/>
      <c r="G267" s="8"/>
      <c r="H267" s="97"/>
      <c r="I267" s="97"/>
      <c r="J267" s="97"/>
      <c r="K267" s="97"/>
      <c r="L267" s="97"/>
      <c r="M267" s="97"/>
      <c r="N267" s="97"/>
      <c r="O267" s="97"/>
      <c r="P267" s="97"/>
      <c r="Q267" s="97"/>
      <c r="R267" s="98"/>
      <c r="S267" s="97"/>
      <c r="T267" s="8"/>
      <c r="U267" s="8"/>
      <c r="V267" s="5"/>
    </row>
    <row r="268" spans="1:22" ht="15.6" x14ac:dyDescent="0.3">
      <c r="A268" s="164"/>
      <c r="B268" s="14" t="s">
        <v>97</v>
      </c>
      <c r="C268" s="15"/>
      <c r="D268" s="15"/>
      <c r="E268" s="15"/>
      <c r="F268" s="17" t="s">
        <v>103</v>
      </c>
      <c r="G268" s="15"/>
      <c r="H268" s="14" t="s">
        <v>105</v>
      </c>
      <c r="I268" s="159"/>
      <c r="J268" s="159"/>
      <c r="K268" s="159"/>
      <c r="L268" s="159"/>
      <c r="M268" s="159"/>
      <c r="N268" s="159"/>
      <c r="O268" s="159"/>
      <c r="P268" s="159"/>
      <c r="Q268" s="159"/>
      <c r="R268" s="159"/>
      <c r="S268" s="159"/>
      <c r="T268" s="159"/>
      <c r="U268" s="159"/>
      <c r="V268" s="5"/>
    </row>
    <row r="269" spans="1:22" ht="15.6" x14ac:dyDescent="0.3">
      <c r="A269" s="164"/>
      <c r="B269" s="159"/>
      <c r="C269" s="8"/>
      <c r="D269" s="8"/>
      <c r="E269" s="8"/>
      <c r="F269" s="8"/>
      <c r="G269" s="8"/>
      <c r="H269" s="8"/>
      <c r="I269" s="159"/>
      <c r="J269" s="159"/>
      <c r="K269" s="159"/>
      <c r="L269" s="159"/>
      <c r="M269" s="159"/>
      <c r="N269" s="159"/>
      <c r="O269" s="159"/>
      <c r="P269" s="159"/>
      <c r="Q269" s="159"/>
      <c r="R269" s="159"/>
      <c r="S269" s="159"/>
      <c r="T269" s="159"/>
      <c r="U269" s="159"/>
      <c r="V269" s="5"/>
    </row>
    <row r="270" spans="1:22" ht="15.6" x14ac:dyDescent="0.3">
      <c r="A270" s="164"/>
      <c r="B270" s="13" t="s">
        <v>98</v>
      </c>
      <c r="C270" s="13"/>
      <c r="D270" s="13"/>
      <c r="E270" s="13"/>
      <c r="F270" s="133" t="s">
        <v>159</v>
      </c>
      <c r="G270" s="13"/>
      <c r="H270" s="13" t="s">
        <v>167</v>
      </c>
      <c r="I270" s="159"/>
      <c r="J270" s="159"/>
      <c r="K270" s="159"/>
      <c r="L270" s="159"/>
      <c r="M270" s="159"/>
      <c r="N270" s="159"/>
      <c r="O270" s="159"/>
      <c r="P270" s="159"/>
      <c r="Q270" s="159"/>
      <c r="R270" s="159"/>
      <c r="S270" s="159"/>
      <c r="T270" s="159"/>
      <c r="U270" s="159"/>
      <c r="V270" s="5"/>
    </row>
    <row r="271" spans="1:22" ht="15.6" x14ac:dyDescent="0.3">
      <c r="A271" s="164"/>
      <c r="B271" s="13" t="s">
        <v>273</v>
      </c>
      <c r="C271" s="13"/>
      <c r="D271" s="13"/>
      <c r="E271" s="13"/>
      <c r="F271" s="133" t="s">
        <v>274</v>
      </c>
      <c r="G271" s="13"/>
      <c r="H271" s="13" t="s">
        <v>275</v>
      </c>
      <c r="I271" s="159"/>
      <c r="J271" s="159"/>
      <c r="K271" s="159"/>
      <c r="L271" s="159"/>
      <c r="M271" s="159"/>
      <c r="N271" s="159"/>
      <c r="O271" s="159"/>
      <c r="P271" s="159"/>
      <c r="Q271" s="159"/>
      <c r="R271" s="159"/>
      <c r="S271" s="159"/>
      <c r="T271" s="159"/>
      <c r="U271" s="159"/>
      <c r="V271" s="5"/>
    </row>
    <row r="272" spans="1:22" ht="15.6" x14ac:dyDescent="0.3">
      <c r="A272" s="164"/>
      <c r="B272" s="13" t="s">
        <v>99</v>
      </c>
      <c r="C272" s="13"/>
      <c r="D272" s="13"/>
      <c r="E272" s="13"/>
      <c r="F272" s="133" t="s">
        <v>158</v>
      </c>
      <c r="G272" s="13"/>
      <c r="H272" s="13" t="s">
        <v>168</v>
      </c>
      <c r="I272" s="159"/>
      <c r="J272" s="159"/>
      <c r="K272" s="159"/>
      <c r="L272" s="159"/>
      <c r="M272" s="159"/>
      <c r="N272" s="159"/>
      <c r="O272" s="159"/>
      <c r="P272" s="159"/>
      <c r="Q272" s="159"/>
      <c r="R272" s="159"/>
      <c r="S272" s="159"/>
      <c r="T272" s="159"/>
      <c r="U272" s="159"/>
      <c r="V272" s="5"/>
    </row>
    <row r="273" spans="1:22" ht="15.6" x14ac:dyDescent="0.3">
      <c r="A273" s="164"/>
      <c r="B273" s="13"/>
      <c r="C273" s="13"/>
      <c r="D273" s="13"/>
      <c r="E273" s="13"/>
      <c r="F273" s="13"/>
      <c r="G273" s="100"/>
      <c r="H273" s="159"/>
      <c r="I273" s="159"/>
      <c r="J273" s="159"/>
      <c r="K273" s="159"/>
      <c r="L273" s="159"/>
      <c r="M273" s="159"/>
      <c r="N273" s="159"/>
      <c r="O273" s="159"/>
      <c r="P273" s="159"/>
      <c r="Q273" s="159"/>
      <c r="R273" s="159"/>
      <c r="S273" s="159"/>
      <c r="T273" s="159"/>
      <c r="U273" s="159"/>
      <c r="V273" s="5"/>
    </row>
    <row r="274" spans="1:22" ht="18" thickBot="1" x14ac:dyDescent="0.35">
      <c r="A274" s="164"/>
      <c r="B274" s="49" t="str">
        <f>B192</f>
        <v>PM9 INVESTOR REPORT QUARTER ENDING JULY 2006</v>
      </c>
      <c r="C274" s="13"/>
      <c r="D274" s="13"/>
      <c r="E274" s="13"/>
      <c r="F274" s="13"/>
      <c r="G274" s="100"/>
      <c r="H274" s="159"/>
      <c r="I274" s="159"/>
      <c r="J274" s="159"/>
      <c r="K274" s="159"/>
      <c r="L274" s="159"/>
      <c r="M274" s="159"/>
      <c r="N274" s="159"/>
      <c r="O274" s="159"/>
      <c r="P274" s="159"/>
      <c r="Q274" s="159"/>
      <c r="R274" s="159"/>
      <c r="S274" s="159"/>
      <c r="T274" s="159"/>
      <c r="U274" s="159"/>
      <c r="V274" s="5"/>
    </row>
    <row r="275" spans="1:22" x14ac:dyDescent="0.25">
      <c r="A275" s="101"/>
      <c r="B275" s="101"/>
      <c r="C275" s="101"/>
      <c r="D275" s="101"/>
      <c r="E275" s="101"/>
      <c r="F275" s="101"/>
      <c r="G275" s="101"/>
      <c r="H275" s="101"/>
      <c r="I275" s="101"/>
      <c r="J275" s="101"/>
      <c r="K275" s="101"/>
      <c r="L275" s="101"/>
      <c r="M275" s="101"/>
      <c r="N275" s="101"/>
      <c r="O275" s="101"/>
      <c r="P275" s="101"/>
      <c r="Q275" s="101"/>
      <c r="R275" s="101"/>
      <c r="S275" s="101"/>
      <c r="T275" s="101"/>
      <c r="U275" s="101"/>
    </row>
  </sheetData>
  <phoneticPr fontId="0" type="noConversion"/>
  <hyperlinks>
    <hyperlink ref="J9" r:id="rId1" xr:uid="{00000000-0004-0000-0300-000000000000}"/>
    <hyperlink ref="N227" r:id="rId2" xr:uid="{00000000-0004-0000-03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2" max="14" man="1"/>
    <brk id="192" max="14" man="1"/>
  </rowBreaks>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2D2926"/>
  </sheetPr>
  <dimension ref="A1:W291"/>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0.72870000000000001</v>
      </c>
      <c r="R16" s="225" t="s">
        <v>149</v>
      </c>
      <c r="S16" s="224">
        <v>0.27129999999999999</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42236</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329</v>
      </c>
      <c r="E25" s="398"/>
      <c r="F25" s="398" t="s">
        <v>329</v>
      </c>
      <c r="G25" s="398"/>
      <c r="H25" s="398" t="s">
        <v>329</v>
      </c>
      <c r="I25" s="398"/>
      <c r="J25" s="398" t="s">
        <v>330</v>
      </c>
      <c r="K25" s="398"/>
      <c r="L25" s="398" t="s">
        <v>330</v>
      </c>
      <c r="M25" s="398"/>
      <c r="N25" s="398" t="s">
        <v>340</v>
      </c>
      <c r="O25" s="398"/>
      <c r="P25" s="398" t="s">
        <v>340</v>
      </c>
      <c r="Q25" s="398"/>
      <c r="R25" s="273"/>
      <c r="S25" s="274"/>
      <c r="T25" s="274"/>
      <c r="U25" s="275"/>
      <c r="V25" s="5"/>
    </row>
    <row r="26" spans="1:22" ht="15.6" x14ac:dyDescent="0.3">
      <c r="A26" s="276"/>
      <c r="B26" s="277" t="s">
        <v>10</v>
      </c>
      <c r="C26" s="398"/>
      <c r="D26" s="398" t="s">
        <v>339</v>
      </c>
      <c r="E26" s="398"/>
      <c r="F26" s="398" t="s">
        <v>339</v>
      </c>
      <c r="G26" s="398"/>
      <c r="H26" s="398" t="s">
        <v>339</v>
      </c>
      <c r="I26" s="398"/>
      <c r="J26" s="398" t="s">
        <v>339</v>
      </c>
      <c r="K26" s="398"/>
      <c r="L26" s="398" t="s">
        <v>339</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120033.28199999999</v>
      </c>
      <c r="E30" s="280"/>
      <c r="F30" s="282">
        <f>F29*F36</f>
        <v>123155.53499999999</v>
      </c>
      <c r="G30" s="281"/>
      <c r="H30" s="283">
        <f>H29*H36</f>
        <v>20814.912</v>
      </c>
      <c r="I30" s="281"/>
      <c r="J30" s="281">
        <f>J29*J36</f>
        <v>5525.8728000000001</v>
      </c>
      <c r="K30" s="281"/>
      <c r="L30" s="282">
        <f>L29*L36</f>
        <v>23287.606799999998</v>
      </c>
      <c r="M30" s="281"/>
      <c r="N30" s="284">
        <f>N29*N36</f>
        <v>2368.2311999999997</v>
      </c>
      <c r="O30" s="281"/>
      <c r="P30" s="282">
        <f>P29*P36</f>
        <v>52101.0864</v>
      </c>
      <c r="Q30" s="281"/>
      <c r="R30" s="281"/>
      <c r="S30" s="285"/>
      <c r="T30" s="281"/>
      <c r="U30" s="286"/>
      <c r="V30" s="5"/>
    </row>
    <row r="31" spans="1:22" ht="15.6" x14ac:dyDescent="0.3">
      <c r="A31" s="276"/>
      <c r="B31" s="277" t="s">
        <v>143</v>
      </c>
      <c r="C31" s="287"/>
      <c r="D31" s="288">
        <f>D35*D29</f>
        <v>118276.57080000002</v>
      </c>
      <c r="E31" s="287"/>
      <c r="F31" s="289">
        <f>F35*F29</f>
        <v>121353.12900000002</v>
      </c>
      <c r="G31" s="288"/>
      <c r="H31" s="290">
        <f>H35*H29</f>
        <v>20510.273999999998</v>
      </c>
      <c r="I31" s="288"/>
      <c r="J31" s="288">
        <f>J35*J29</f>
        <v>5444.9989999999998</v>
      </c>
      <c r="K31" s="288"/>
      <c r="L31" s="289">
        <f>L35*L29</f>
        <v>22946.781500000001</v>
      </c>
      <c r="M31" s="288"/>
      <c r="N31" s="291">
        <f>N35*N29</f>
        <v>2333.5709999999999</v>
      </c>
      <c r="O31" s="288"/>
      <c r="P31" s="289">
        <f>P35*P29</f>
        <v>51338.561999999998</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120033.28199999999</v>
      </c>
      <c r="E33" s="280"/>
      <c r="F33" s="281">
        <f>F32*F36</f>
        <v>84821.2065</v>
      </c>
      <c r="G33" s="281"/>
      <c r="H33" s="281">
        <f>H32*H36</f>
        <v>11760.425279999999</v>
      </c>
      <c r="I33" s="281"/>
      <c r="J33" s="281">
        <f>J32*J36</f>
        <v>5525.8728000000001</v>
      </c>
      <c r="K33" s="281"/>
      <c r="L33" s="281">
        <f>L32*L36</f>
        <v>16025.03112</v>
      </c>
      <c r="M33" s="281"/>
      <c r="N33" s="281">
        <f>N32*N36</f>
        <v>2368.2311999999997</v>
      </c>
      <c r="O33" s="281"/>
      <c r="P33" s="281">
        <f>P32*P36</f>
        <v>35760.291119999994</v>
      </c>
      <c r="Q33" s="281"/>
      <c r="R33" s="281"/>
      <c r="S33" s="285"/>
      <c r="T33" s="281">
        <f>SUM(C33:P33)</f>
        <v>276294.34002</v>
      </c>
      <c r="U33" s="286"/>
      <c r="V33" s="5"/>
    </row>
    <row r="34" spans="1:22" ht="15.6" x14ac:dyDescent="0.3">
      <c r="A34" s="276"/>
      <c r="B34" s="277" t="s">
        <v>291</v>
      </c>
      <c r="C34" s="287"/>
      <c r="D34" s="288">
        <f>D35*D32</f>
        <v>118276.57080000002</v>
      </c>
      <c r="E34" s="287"/>
      <c r="F34" s="288">
        <f>F35*F32</f>
        <v>83579.83110000001</v>
      </c>
      <c r="G34" s="288"/>
      <c r="H34" s="288">
        <f>H35*H32</f>
        <v>11588.30481</v>
      </c>
      <c r="I34" s="288"/>
      <c r="J34" s="288">
        <f>J35*J32</f>
        <v>5444.9989999999998</v>
      </c>
      <c r="K34" s="288"/>
      <c r="L34" s="288">
        <f>L35*L32</f>
        <v>15790.497100000001</v>
      </c>
      <c r="M34" s="288"/>
      <c r="N34" s="288">
        <f>N35*N32</f>
        <v>2333.5709999999999</v>
      </c>
      <c r="O34" s="288"/>
      <c r="P34" s="288">
        <f>P35*P32</f>
        <v>35236.922100000003</v>
      </c>
      <c r="Q34" s="288"/>
      <c r="R34" s="288"/>
      <c r="S34" s="292"/>
      <c r="T34" s="288">
        <f>SUM(C34:P34)</f>
        <v>272250.69591000007</v>
      </c>
      <c r="U34" s="286"/>
      <c r="V34" s="5"/>
    </row>
    <row r="35" spans="1:22" ht="15.6" x14ac:dyDescent="0.3">
      <c r="A35" s="276"/>
      <c r="B35" s="293" t="s">
        <v>139</v>
      </c>
      <c r="C35" s="294"/>
      <c r="D35" s="295">
        <v>0.34183980000000003</v>
      </c>
      <c r="E35" s="296"/>
      <c r="F35" s="295">
        <v>0.34183980000000003</v>
      </c>
      <c r="G35" s="295"/>
      <c r="H35" s="295">
        <v>0.34183789999999997</v>
      </c>
      <c r="I35" s="297"/>
      <c r="J35" s="295">
        <v>0.77785700000000002</v>
      </c>
      <c r="K35" s="297"/>
      <c r="L35" s="295">
        <v>0.77785700000000002</v>
      </c>
      <c r="M35" s="297"/>
      <c r="N35" s="295">
        <v>0.77785700000000002</v>
      </c>
      <c r="O35" s="297"/>
      <c r="P35" s="295">
        <v>0.77785700000000002</v>
      </c>
      <c r="Q35" s="298"/>
      <c r="R35" s="298"/>
      <c r="S35" s="299"/>
      <c r="T35" s="298"/>
      <c r="U35" s="300"/>
      <c r="V35" s="5"/>
    </row>
    <row r="36" spans="1:22" ht="15.6" x14ac:dyDescent="0.3">
      <c r="A36" s="276"/>
      <c r="B36" s="293" t="s">
        <v>140</v>
      </c>
      <c r="C36" s="294"/>
      <c r="D36" s="295">
        <v>0.34691699999999998</v>
      </c>
      <c r="E36" s="296"/>
      <c r="F36" s="295">
        <v>0.34691699999999998</v>
      </c>
      <c r="G36" s="295"/>
      <c r="H36" s="295">
        <v>0.34691519999999998</v>
      </c>
      <c r="I36" s="297"/>
      <c r="J36" s="295">
        <v>0.78941039999999996</v>
      </c>
      <c r="K36" s="297"/>
      <c r="L36" s="295">
        <v>0.78941039999999996</v>
      </c>
      <c r="M36" s="297"/>
      <c r="N36" s="295">
        <v>0.78941039999999996</v>
      </c>
      <c r="O36" s="297"/>
      <c r="P36" s="295">
        <v>0.78941039999999996</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9.2688000000000006E-3</v>
      </c>
      <c r="E38" s="272"/>
      <c r="F38" s="303">
        <v>3.5100000000000001E-3</v>
      </c>
      <c r="G38" s="304"/>
      <c r="H38" s="303">
        <v>6.339E-3</v>
      </c>
      <c r="I38" s="304"/>
      <c r="J38" s="303">
        <v>1.1468799999999999E-2</v>
      </c>
      <c r="K38" s="304"/>
      <c r="L38" s="303">
        <v>5.7099999999999998E-3</v>
      </c>
      <c r="M38" s="304"/>
      <c r="N38" s="303">
        <v>1.6068800000000001E-2</v>
      </c>
      <c r="O38" s="304"/>
      <c r="P38" s="303">
        <v>1.031E-2</v>
      </c>
      <c r="Q38" s="304"/>
      <c r="R38" s="303"/>
      <c r="S38" s="274"/>
      <c r="T38" s="304"/>
      <c r="U38" s="275"/>
      <c r="V38" s="5"/>
    </row>
    <row r="39" spans="1:22" ht="15.6" x14ac:dyDescent="0.3">
      <c r="A39" s="302"/>
      <c r="B39" s="272" t="s">
        <v>14</v>
      </c>
      <c r="C39" s="272"/>
      <c r="D39" s="303">
        <v>9.2149999999999992E-3</v>
      </c>
      <c r="E39" s="272"/>
      <c r="F39" s="303">
        <v>4.0800000000000003E-3</v>
      </c>
      <c r="G39" s="304"/>
      <c r="H39" s="303">
        <v>6.1710000000000003E-3</v>
      </c>
      <c r="I39" s="304"/>
      <c r="J39" s="303">
        <v>1.1415E-2</v>
      </c>
      <c r="K39" s="304"/>
      <c r="L39" s="303">
        <v>6.28E-3</v>
      </c>
      <c r="M39" s="304"/>
      <c r="N39" s="303">
        <v>1.6015000000000001E-2</v>
      </c>
      <c r="O39" s="304"/>
      <c r="P39" s="303">
        <v>1.0880000000000001E-2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9.2688000000000006E-3</v>
      </c>
      <c r="E41" s="272"/>
      <c r="F41" s="303">
        <v>9.4687999999999994E-3</v>
      </c>
      <c r="G41" s="304"/>
      <c r="H41" s="303">
        <v>9.7287999999999993E-3</v>
      </c>
      <c r="I41" s="304"/>
      <c r="J41" s="303">
        <f>+J38</f>
        <v>1.1468799999999999E-2</v>
      </c>
      <c r="K41" s="304"/>
      <c r="L41" s="303">
        <v>1.20588E-2</v>
      </c>
      <c r="M41" s="304"/>
      <c r="N41" s="303">
        <f>+N38</f>
        <v>1.6068800000000001E-2</v>
      </c>
      <c r="O41" s="304"/>
      <c r="P41" s="303">
        <v>1.69488E-2</v>
      </c>
      <c r="Q41" s="304"/>
      <c r="R41" s="303"/>
      <c r="S41" s="274"/>
      <c r="T41" s="304">
        <f>SUMPRODUCT(D41:P41,D33:P33)/T33</f>
        <v>1.0607892946487497E-2</v>
      </c>
      <c r="U41" s="275"/>
      <c r="V41" s="5"/>
    </row>
    <row r="42" spans="1:22" ht="15.6" x14ac:dyDescent="0.3">
      <c r="A42" s="302"/>
      <c r="B42" s="272" t="s">
        <v>294</v>
      </c>
      <c r="C42" s="272"/>
      <c r="D42" s="303">
        <f>+D39</f>
        <v>9.2149999999999992E-3</v>
      </c>
      <c r="E42" s="272"/>
      <c r="F42" s="303">
        <v>9.4149999999999998E-3</v>
      </c>
      <c r="G42" s="304"/>
      <c r="H42" s="303">
        <v>9.6749999999999996E-3</v>
      </c>
      <c r="I42" s="304"/>
      <c r="J42" s="303">
        <f>+J39</f>
        <v>1.1415E-2</v>
      </c>
      <c r="K42" s="304"/>
      <c r="L42" s="303">
        <v>1.2005E-2</v>
      </c>
      <c r="M42" s="304"/>
      <c r="N42" s="303">
        <f>+N39</f>
        <v>1.6015000000000001E-2</v>
      </c>
      <c r="O42" s="304"/>
      <c r="P42" s="303">
        <v>1.6895E-2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0.27550924127576365</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42233</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87</v>
      </c>
      <c r="Q54" s="272"/>
      <c r="R54" s="312">
        <v>42052</v>
      </c>
      <c r="S54" s="313"/>
      <c r="T54" s="312">
        <v>42138</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94</v>
      </c>
      <c r="Q55" s="272"/>
      <c r="R55" s="312">
        <v>42139</v>
      </c>
      <c r="S55" s="313"/>
      <c r="T55" s="312">
        <v>42232</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42219</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338</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276294</v>
      </c>
      <c r="M65" s="317"/>
      <c r="N65" s="317">
        <f>4043+90</f>
        <v>4133</v>
      </c>
      <c r="O65" s="317"/>
      <c r="P65" s="317">
        <v>90</v>
      </c>
      <c r="Q65" s="317"/>
      <c r="R65" s="317">
        <v>0</v>
      </c>
      <c r="S65" s="317"/>
      <c r="T65" s="318">
        <f>+L65-N65+P65-R65</f>
        <v>272251</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276294</v>
      </c>
      <c r="M68" s="317"/>
      <c r="N68" s="317">
        <f>SUM(N65:N67)</f>
        <v>4133</v>
      </c>
      <c r="O68" s="317"/>
      <c r="P68" s="317">
        <f>SUM(P65:P67)</f>
        <v>90</v>
      </c>
      <c r="Q68" s="317"/>
      <c r="R68" s="317">
        <f>SUM(R65:R67)</f>
        <v>0</v>
      </c>
      <c r="S68" s="317"/>
      <c r="T68" s="317">
        <f>SUM(T65:T67)</f>
        <v>272251</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276294</v>
      </c>
      <c r="M81" s="317"/>
      <c r="N81" s="317"/>
      <c r="O81" s="317"/>
      <c r="P81" s="317"/>
      <c r="Q81" s="317"/>
      <c r="R81" s="317"/>
      <c r="S81" s="317"/>
      <c r="T81" s="317">
        <f>SUM(T68:T80)</f>
        <v>272251</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42216</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4133-140</f>
        <v>3993</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1473+594-387-152</f>
        <v>1528</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122+100</f>
        <v>222</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17</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0</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3993</v>
      </c>
      <c r="S93" s="272"/>
      <c r="T93" s="317">
        <f>SUM(T85:T92)</f>
        <v>1767</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-6</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3993</v>
      </c>
      <c r="S97" s="272"/>
      <c r="T97" s="317">
        <f>T93+T95+T94+T96</f>
        <v>1761</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-106-69-4</f>
        <v>-179</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0</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-287</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-207</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-29</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-16</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-50</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-10</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-156</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140</v>
      </c>
      <c r="S113" s="272"/>
      <c r="T113" s="318">
        <v>-140</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-107</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-572</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-90</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-1757</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-1241</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-172</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-81</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-234</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-35</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-523</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-4133</v>
      </c>
      <c r="S130" s="317"/>
      <c r="T130" s="317">
        <f>SUM(T98:T128)</f>
        <v>-1761</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JULY 2015</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400" t="s">
        <v>327</v>
      </c>
      <c r="C153" s="272"/>
      <c r="D153" s="272"/>
      <c r="E153" s="272"/>
      <c r="F153" s="272"/>
      <c r="G153" s="272"/>
      <c r="H153" s="272"/>
      <c r="I153" s="272"/>
      <c r="J153" s="272"/>
      <c r="K153" s="272"/>
      <c r="L153" s="272"/>
      <c r="M153" s="272"/>
      <c r="N153" s="272"/>
      <c r="O153" s="272"/>
      <c r="P153" s="272"/>
      <c r="Q153" s="272"/>
      <c r="R153" s="272"/>
      <c r="S153" s="272"/>
      <c r="T153" s="318">
        <v>0</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140</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140</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-140</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f>-T96</f>
        <v>6</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272251</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272251</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+'April 15'!Q181</f>
        <v>47940</v>
      </c>
      <c r="R179" s="318">
        <f>+'April 15'!R181</f>
        <v>2435</v>
      </c>
      <c r="S179" s="272"/>
      <c r="T179" s="318">
        <f>Q179+R179</f>
        <v>50375</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90</v>
      </c>
      <c r="R180" s="317">
        <v>0</v>
      </c>
      <c r="S180" s="272"/>
      <c r="T180" s="318">
        <f>Q180+R180</f>
        <v>90</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48030</v>
      </c>
      <c r="R181" s="318">
        <f>R180+R179</f>
        <v>2435</v>
      </c>
      <c r="S181" s="272"/>
      <c r="T181" s="318">
        <f>Q181+R181</f>
        <v>50465</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61535</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3.0210325047801145</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1.65</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16.015151515151516</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9.14</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5.9698795180722888</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4.09</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JULY 2015</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42216</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2.3230000000000001E-2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1.0607892946487497E-2</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1.2622107053512504E-2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6.3736454646137813E-3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11.7</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1.495870341013558E-2</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9.8599999999999993E-2</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1</v>
      </c>
      <c r="R214" s="248">
        <v>92</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48</v>
      </c>
      <c r="R215" s="360">
        <f>+R266</f>
        <v>6844</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140</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'April 15'!R221+'July 15'!R220</f>
        <v>3743</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5</v>
      </c>
      <c r="R227" s="360">
        <v>538</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10.9</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2223</v>
      </c>
      <c r="Q233" s="388">
        <f t="shared" ref="Q233:Q240" si="2">P233/$P$242</f>
        <v>0.99596774193548387</v>
      </c>
      <c r="R233" s="318">
        <f t="shared" ref="R233:R240" si="3">+R245+R257+R269</f>
        <v>270632</v>
      </c>
      <c r="S233" s="388">
        <f t="shared" ref="S233:S240" si="4">R233/$R$242</f>
        <v>0.99405328171430041</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0</v>
      </c>
      <c r="Q234" s="388">
        <f t="shared" si="2"/>
        <v>0</v>
      </c>
      <c r="R234" s="318">
        <f t="shared" si="3"/>
        <v>0</v>
      </c>
      <c r="S234" s="388">
        <f t="shared" si="4"/>
        <v>0</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1</v>
      </c>
      <c r="Q235" s="388">
        <f t="shared" si="2"/>
        <v>4.4802867383512545E-4</v>
      </c>
      <c r="R235" s="318">
        <f t="shared" si="3"/>
        <v>266</v>
      </c>
      <c r="S235" s="388">
        <f t="shared" si="4"/>
        <v>9.7703957010258913E-4</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2</v>
      </c>
      <c r="Q238" s="388">
        <f t="shared" si="2"/>
        <v>8.960573476702509E-4</v>
      </c>
      <c r="R238" s="318">
        <f t="shared" si="3"/>
        <v>235</v>
      </c>
      <c r="S238" s="388">
        <f t="shared" si="4"/>
        <v>8.6317405629364084E-4</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0</v>
      </c>
      <c r="Q239" s="388">
        <f t="shared" si="2"/>
        <v>0</v>
      </c>
      <c r="R239" s="318">
        <f t="shared" si="3"/>
        <v>0</v>
      </c>
      <c r="S239" s="388">
        <f t="shared" si="4"/>
        <v>0</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6</v>
      </c>
      <c r="Q240" s="388">
        <f t="shared" si="2"/>
        <v>2.6881720430107529E-3</v>
      </c>
      <c r="R240" s="318">
        <f t="shared" si="3"/>
        <v>1118</v>
      </c>
      <c r="S240" s="388">
        <f t="shared" si="4"/>
        <v>4.1065046593033632E-3</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2232</v>
      </c>
      <c r="Q242" s="388">
        <f>SUM(Q233:Q241)</f>
        <v>1</v>
      </c>
      <c r="R242" s="318">
        <f>SUM(R233:R241)</f>
        <v>272251</v>
      </c>
      <c r="S242" s="388">
        <f>SUM(S233:S241)</f>
        <v>1</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2183</v>
      </c>
      <c r="Q245" s="250">
        <f t="shared" ref="Q245:Q252" si="5">P245/$P$254</f>
        <v>0.99954212454212454</v>
      </c>
      <c r="R245" s="242">
        <v>265141</v>
      </c>
      <c r="S245" s="250">
        <f t="shared" ref="S245:S252" si="6">R245/$R$254</f>
        <v>0.99899776569570509</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0</v>
      </c>
      <c r="Q246" s="388">
        <f t="shared" si="5"/>
        <v>0</v>
      </c>
      <c r="R246" s="318">
        <v>0</v>
      </c>
      <c r="S246" s="388">
        <f t="shared" si="6"/>
        <v>0</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1</v>
      </c>
      <c r="Q247" s="388">
        <f t="shared" si="5"/>
        <v>4.5787545787545788E-4</v>
      </c>
      <c r="R247" s="318">
        <v>266</v>
      </c>
      <c r="S247" s="388">
        <f t="shared" si="6"/>
        <v>1.0022343042949131E-3</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2184</v>
      </c>
      <c r="Q254" s="388">
        <f>SUM(Q245:Q253)</f>
        <v>1</v>
      </c>
      <c r="R254" s="318">
        <f>SUM(R245:R253)</f>
        <v>265407</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40</v>
      </c>
      <c r="Q257" s="250">
        <f t="shared" ref="Q257:Q264" si="7">P257/$P$266</f>
        <v>0.83333333333333337</v>
      </c>
      <c r="R257" s="242">
        <v>5491</v>
      </c>
      <c r="S257" s="250">
        <f t="shared" ref="S257:S264" si="8">R257/$R$266</f>
        <v>0.80230859146697842</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0</v>
      </c>
      <c r="Q258" s="388">
        <f t="shared" si="7"/>
        <v>0</v>
      </c>
      <c r="R258" s="318">
        <v>0</v>
      </c>
      <c r="S258" s="388">
        <f t="shared" si="8"/>
        <v>0</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0</v>
      </c>
      <c r="Q259" s="388">
        <f t="shared" si="7"/>
        <v>0</v>
      </c>
      <c r="R259" s="318">
        <v>0</v>
      </c>
      <c r="S259" s="388">
        <f t="shared" si="8"/>
        <v>0</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2</v>
      </c>
      <c r="Q262" s="388">
        <f t="shared" si="7"/>
        <v>4.1666666666666664E-2</v>
      </c>
      <c r="R262" s="318">
        <v>235</v>
      </c>
      <c r="S262" s="388">
        <f t="shared" si="8"/>
        <v>3.4336645236703683E-2</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0</v>
      </c>
      <c r="Q263" s="388">
        <f t="shared" si="7"/>
        <v>0</v>
      </c>
      <c r="R263" s="318">
        <v>0</v>
      </c>
      <c r="S263" s="388">
        <f t="shared" si="8"/>
        <v>0</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6</v>
      </c>
      <c r="Q264" s="388">
        <f t="shared" si="7"/>
        <v>0.125</v>
      </c>
      <c r="R264" s="318">
        <v>1118</v>
      </c>
      <c r="S264" s="388">
        <f t="shared" si="8"/>
        <v>0.16335476329631796</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48</v>
      </c>
      <c r="Q266" s="388">
        <f>SUM(Q257:Q265)</f>
        <v>1</v>
      </c>
      <c r="R266" s="318">
        <f>SUM(R257:R265)</f>
        <v>6844</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2232</v>
      </c>
      <c r="Q280" s="388"/>
      <c r="R280" s="396">
        <f>+R278+R266+R254</f>
        <v>272251</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322</v>
      </c>
      <c r="C285" s="220"/>
      <c r="D285" s="220"/>
      <c r="E285" s="220"/>
      <c r="F285" s="256" t="s">
        <v>159</v>
      </c>
      <c r="G285" s="220"/>
      <c r="H285" s="220" t="s">
        <v>167</v>
      </c>
      <c r="I285" s="255"/>
      <c r="J285" s="255"/>
      <c r="K285" s="255"/>
      <c r="L285" s="255"/>
      <c r="M285" s="255"/>
      <c r="N285" s="255"/>
      <c r="O285" s="255"/>
      <c r="P285" s="255"/>
      <c r="Q285" s="255"/>
      <c r="R285" s="255"/>
      <c r="S285" s="255"/>
      <c r="T285" s="255"/>
      <c r="U285" s="192"/>
      <c r="V285" s="5"/>
    </row>
    <row r="286" spans="1:22" ht="15.6" x14ac:dyDescent="0.3">
      <c r="A286" s="254"/>
      <c r="B286" s="220" t="s">
        <v>323</v>
      </c>
      <c r="C286" s="220"/>
      <c r="D286" s="220"/>
      <c r="E286" s="220"/>
      <c r="F286" s="256" t="s">
        <v>274</v>
      </c>
      <c r="G286" s="220"/>
      <c r="H286" s="220" t="s">
        <v>275</v>
      </c>
      <c r="I286" s="255"/>
      <c r="J286" s="255"/>
      <c r="K286" s="255"/>
      <c r="L286" s="255"/>
      <c r="M286" s="255"/>
      <c r="N286" s="255"/>
      <c r="O286" s="255"/>
      <c r="P286" s="255"/>
      <c r="Q286" s="255"/>
      <c r="R286" s="255"/>
      <c r="S286" s="255"/>
      <c r="T286" s="255"/>
      <c r="U286" s="192"/>
      <c r="V286" s="5"/>
    </row>
    <row r="287" spans="1:22" ht="15.6" x14ac:dyDescent="0.3">
      <c r="A287" s="254"/>
      <c r="B287" s="220" t="s">
        <v>324</v>
      </c>
      <c r="C287" s="220"/>
      <c r="D287" s="220"/>
      <c r="E287" s="220"/>
      <c r="F287" s="256" t="s">
        <v>158</v>
      </c>
      <c r="G287" s="220"/>
      <c r="H287" s="220" t="s">
        <v>168</v>
      </c>
      <c r="I287" s="255"/>
      <c r="J287" s="255"/>
      <c r="K287" s="255"/>
      <c r="L287" s="255"/>
      <c r="M287" s="255"/>
      <c r="N287" s="255"/>
      <c r="O287" s="255"/>
      <c r="P287" s="255"/>
      <c r="Q287" s="255"/>
      <c r="R287" s="255"/>
      <c r="S287" s="255"/>
      <c r="T287" s="255"/>
      <c r="U287" s="192"/>
      <c r="V287" s="5"/>
    </row>
    <row r="288" spans="1:22" ht="15.6" x14ac:dyDescent="0.3">
      <c r="A288" s="254"/>
      <c r="B288" s="220"/>
      <c r="C288" s="220"/>
      <c r="D288" s="220"/>
      <c r="E288" s="220"/>
      <c r="F288" s="220"/>
      <c r="G288" s="257"/>
      <c r="H288" s="255"/>
      <c r="I288" s="255"/>
      <c r="J288" s="255"/>
      <c r="K288" s="255"/>
      <c r="L288" s="255"/>
      <c r="M288" s="255"/>
      <c r="N288" s="255"/>
      <c r="O288" s="255"/>
      <c r="P288" s="255"/>
      <c r="Q288" s="255"/>
      <c r="R288" s="255"/>
      <c r="S288" s="255"/>
      <c r="T288" s="255"/>
      <c r="U288" s="192"/>
      <c r="V288" s="5"/>
    </row>
    <row r="289" spans="1:22" ht="15.6" x14ac:dyDescent="0.3">
      <c r="A289" s="216"/>
      <c r="B289" s="185"/>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ht="18" thickBot="1" x14ac:dyDescent="0.35">
      <c r="A290" s="216"/>
      <c r="B290" s="267" t="str">
        <f>B195</f>
        <v>PM9 INVESTOR REPORT QUARTER ENDING JULY 2015</v>
      </c>
      <c r="C290" s="185"/>
      <c r="D290" s="185"/>
      <c r="E290" s="185"/>
      <c r="F290" s="185"/>
      <c r="G290" s="217"/>
      <c r="H290" s="192"/>
      <c r="I290" s="192"/>
      <c r="J290" s="192"/>
      <c r="K290" s="192"/>
      <c r="L290" s="192"/>
      <c r="M290" s="192"/>
      <c r="N290" s="192"/>
      <c r="O290" s="192"/>
      <c r="P290" s="192"/>
      <c r="Q290" s="192"/>
      <c r="R290" s="192"/>
      <c r="S290" s="192"/>
      <c r="T290" s="192"/>
      <c r="U290" s="192"/>
      <c r="V290" s="5"/>
    </row>
    <row r="291" spans="1:22" x14ac:dyDescent="0.25">
      <c r="A291" s="101"/>
      <c r="B291" s="101"/>
      <c r="C291" s="101"/>
      <c r="D291" s="101"/>
      <c r="E291" s="101"/>
      <c r="F291" s="101"/>
      <c r="G291" s="101"/>
      <c r="H291" s="101"/>
      <c r="I291" s="101"/>
      <c r="J291" s="101"/>
      <c r="K291" s="101"/>
      <c r="L291" s="101"/>
      <c r="M291" s="101"/>
      <c r="N291" s="101"/>
      <c r="O291" s="101"/>
      <c r="P291" s="101"/>
      <c r="Q291" s="101"/>
      <c r="R291" s="101"/>
      <c r="S291" s="101"/>
      <c r="T291" s="101"/>
      <c r="U291" s="101"/>
    </row>
  </sheetData>
  <hyperlinks>
    <hyperlink ref="J9" r:id="rId1" xr:uid="{00000000-0004-0000-2700-000000000000}"/>
    <hyperlink ref="N230" r:id="rId2" xr:uid="{00000000-0004-0000-27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0" man="1"/>
    <brk id="134" max="20" man="1"/>
    <brk id="195" max="20" man="1"/>
  </rowBreaks>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89CB31"/>
  </sheetPr>
  <dimension ref="A1:W291"/>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0.73109999999999997</v>
      </c>
      <c r="R16" s="225" t="s">
        <v>149</v>
      </c>
      <c r="S16" s="224">
        <v>0.26889999999999997</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42331</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329</v>
      </c>
      <c r="E25" s="398"/>
      <c r="F25" s="398" t="s">
        <v>329</v>
      </c>
      <c r="G25" s="398"/>
      <c r="H25" s="398" t="s">
        <v>329</v>
      </c>
      <c r="I25" s="398"/>
      <c r="J25" s="398" t="s">
        <v>330</v>
      </c>
      <c r="K25" s="398"/>
      <c r="L25" s="398" t="s">
        <v>330</v>
      </c>
      <c r="M25" s="398"/>
      <c r="N25" s="398" t="s">
        <v>340</v>
      </c>
      <c r="O25" s="398"/>
      <c r="P25" s="398" t="s">
        <v>340</v>
      </c>
      <c r="Q25" s="398"/>
      <c r="R25" s="273"/>
      <c r="S25" s="274"/>
      <c r="T25" s="274"/>
      <c r="U25" s="275"/>
      <c r="V25" s="5"/>
    </row>
    <row r="26" spans="1:22" ht="15.6" x14ac:dyDescent="0.3">
      <c r="A26" s="276"/>
      <c r="B26" s="277" t="s">
        <v>10</v>
      </c>
      <c r="C26" s="398"/>
      <c r="D26" s="398" t="s">
        <v>339</v>
      </c>
      <c r="E26" s="398"/>
      <c r="F26" s="398" t="s">
        <v>339</v>
      </c>
      <c r="G26" s="398"/>
      <c r="H26" s="398" t="s">
        <v>339</v>
      </c>
      <c r="I26" s="398"/>
      <c r="J26" s="398" t="s">
        <v>339</v>
      </c>
      <c r="K26" s="398"/>
      <c r="L26" s="398" t="s">
        <v>339</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118276.57080000002</v>
      </c>
      <c r="E30" s="280"/>
      <c r="F30" s="282">
        <f>F29*F36</f>
        <v>121353.12900000002</v>
      </c>
      <c r="G30" s="281"/>
      <c r="H30" s="283">
        <f>H29*H36</f>
        <v>20510.273999999998</v>
      </c>
      <c r="I30" s="281"/>
      <c r="J30" s="281">
        <f>J29*J36</f>
        <v>5444.9989999999998</v>
      </c>
      <c r="K30" s="281"/>
      <c r="L30" s="282">
        <f>L29*L36</f>
        <v>22946.781500000001</v>
      </c>
      <c r="M30" s="281"/>
      <c r="N30" s="284">
        <f>N29*N36</f>
        <v>2333.5709999999999</v>
      </c>
      <c r="O30" s="281"/>
      <c r="P30" s="282">
        <f>P29*P36</f>
        <v>51338.561999999998</v>
      </c>
      <c r="Q30" s="281"/>
      <c r="R30" s="281"/>
      <c r="S30" s="285"/>
      <c r="T30" s="281"/>
      <c r="U30" s="286"/>
      <c r="V30" s="5"/>
    </row>
    <row r="31" spans="1:22" ht="15.6" x14ac:dyDescent="0.3">
      <c r="A31" s="276"/>
      <c r="B31" s="277" t="s">
        <v>143</v>
      </c>
      <c r="C31" s="287"/>
      <c r="D31" s="288">
        <f>D35*D29</f>
        <v>116002.24360000002</v>
      </c>
      <c r="E31" s="287"/>
      <c r="F31" s="289">
        <f>F35*F29</f>
        <v>119019.64300000001</v>
      </c>
      <c r="G31" s="288"/>
      <c r="H31" s="290">
        <f>H35*H29</f>
        <v>20115.882000000001</v>
      </c>
      <c r="I31" s="288"/>
      <c r="J31" s="288">
        <f>J35*J29</f>
        <v>5340.2972</v>
      </c>
      <c r="K31" s="288"/>
      <c r="L31" s="289">
        <f>L35*L29</f>
        <v>22505.538199999999</v>
      </c>
      <c r="M31" s="288"/>
      <c r="N31" s="291">
        <f>N35*N29</f>
        <v>2288.6988000000001</v>
      </c>
      <c r="O31" s="288"/>
      <c r="P31" s="289">
        <f>P35*P29</f>
        <v>50351.373599999999</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118276.57080000002</v>
      </c>
      <c r="E33" s="280"/>
      <c r="F33" s="281">
        <f>F32*F36</f>
        <v>83579.83110000001</v>
      </c>
      <c r="G33" s="281"/>
      <c r="H33" s="281">
        <f>H32*H36</f>
        <v>11588.30481</v>
      </c>
      <c r="I33" s="281"/>
      <c r="J33" s="281">
        <f>J32*J36</f>
        <v>5444.9989999999998</v>
      </c>
      <c r="K33" s="281"/>
      <c r="L33" s="281">
        <f>L32*L36</f>
        <v>15790.497100000001</v>
      </c>
      <c r="M33" s="281"/>
      <c r="N33" s="281">
        <f>N32*N36</f>
        <v>2333.5709999999999</v>
      </c>
      <c r="O33" s="281"/>
      <c r="P33" s="281">
        <f>P32*P36</f>
        <v>35236.922100000003</v>
      </c>
      <c r="Q33" s="281"/>
      <c r="R33" s="281"/>
      <c r="S33" s="285"/>
      <c r="T33" s="281">
        <f>SUM(C33:P33)</f>
        <v>272250.69591000007</v>
      </c>
      <c r="U33" s="286"/>
      <c r="V33" s="5"/>
    </row>
    <row r="34" spans="1:22" ht="15.6" x14ac:dyDescent="0.3">
      <c r="A34" s="276"/>
      <c r="B34" s="277" t="s">
        <v>291</v>
      </c>
      <c r="C34" s="287"/>
      <c r="D34" s="288">
        <f>D35*D32</f>
        <v>116002.24360000002</v>
      </c>
      <c r="E34" s="287"/>
      <c r="F34" s="288">
        <f>F35*F32</f>
        <v>81972.683700000009</v>
      </c>
      <c r="G34" s="288"/>
      <c r="H34" s="288">
        <f>H35*H32</f>
        <v>11365.473330000001</v>
      </c>
      <c r="I34" s="288"/>
      <c r="J34" s="288">
        <f>J35*J32</f>
        <v>5340.2972</v>
      </c>
      <c r="K34" s="288"/>
      <c r="L34" s="288">
        <f>L35*L32</f>
        <v>15486.86188</v>
      </c>
      <c r="M34" s="288"/>
      <c r="N34" s="288">
        <f>N35*N32</f>
        <v>2288.6988000000001</v>
      </c>
      <c r="O34" s="288"/>
      <c r="P34" s="288">
        <f>P35*P32</f>
        <v>34559.351880000002</v>
      </c>
      <c r="Q34" s="288"/>
      <c r="R34" s="288"/>
      <c r="S34" s="292"/>
      <c r="T34" s="288">
        <f>SUM(C34:P34)</f>
        <v>267015.61039000005</v>
      </c>
      <c r="U34" s="286"/>
      <c r="V34" s="5"/>
    </row>
    <row r="35" spans="1:22" ht="15.6" x14ac:dyDescent="0.3">
      <c r="A35" s="276"/>
      <c r="B35" s="293" t="s">
        <v>139</v>
      </c>
      <c r="C35" s="294"/>
      <c r="D35" s="295">
        <v>0.33526660000000003</v>
      </c>
      <c r="E35" s="296"/>
      <c r="F35" s="295">
        <v>0.33526660000000003</v>
      </c>
      <c r="G35" s="295"/>
      <c r="H35" s="295">
        <v>0.33526470000000003</v>
      </c>
      <c r="I35" s="297"/>
      <c r="J35" s="295">
        <v>0.76289960000000001</v>
      </c>
      <c r="K35" s="297"/>
      <c r="L35" s="295">
        <v>0.76289960000000001</v>
      </c>
      <c r="M35" s="297"/>
      <c r="N35" s="295">
        <v>0.76289960000000001</v>
      </c>
      <c r="O35" s="297"/>
      <c r="P35" s="295">
        <v>0.76289960000000001</v>
      </c>
      <c r="Q35" s="298"/>
      <c r="R35" s="298"/>
      <c r="S35" s="299"/>
      <c r="T35" s="298"/>
      <c r="U35" s="300"/>
      <c r="V35" s="5"/>
    </row>
    <row r="36" spans="1:22" ht="15.6" x14ac:dyDescent="0.3">
      <c r="A36" s="276"/>
      <c r="B36" s="293" t="s">
        <v>140</v>
      </c>
      <c r="C36" s="294"/>
      <c r="D36" s="295">
        <v>0.34183980000000003</v>
      </c>
      <c r="E36" s="296"/>
      <c r="F36" s="295">
        <v>0.34183980000000003</v>
      </c>
      <c r="G36" s="295"/>
      <c r="H36" s="295">
        <v>0.34183789999999997</v>
      </c>
      <c r="I36" s="297"/>
      <c r="J36" s="295">
        <v>0.77785700000000002</v>
      </c>
      <c r="K36" s="297"/>
      <c r="L36" s="295">
        <v>0.77785700000000002</v>
      </c>
      <c r="M36" s="297"/>
      <c r="N36" s="295">
        <v>0.77785700000000002</v>
      </c>
      <c r="O36" s="297"/>
      <c r="P36" s="295">
        <v>0.77785700000000002</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9.4563000000000008E-3</v>
      </c>
      <c r="E38" s="272"/>
      <c r="F38" s="303">
        <v>3.3600000000000001E-3</v>
      </c>
      <c r="G38" s="304"/>
      <c r="H38" s="303">
        <v>6.8050000000000003E-3</v>
      </c>
      <c r="I38" s="304"/>
      <c r="J38" s="303">
        <v>1.16563E-2</v>
      </c>
      <c r="K38" s="304"/>
      <c r="L38" s="303">
        <v>5.5599999999999998E-3</v>
      </c>
      <c r="M38" s="304"/>
      <c r="N38" s="303">
        <v>1.6256300000000001E-2</v>
      </c>
      <c r="O38" s="304"/>
      <c r="P38" s="303">
        <v>1.0160000000000001E-2</v>
      </c>
      <c r="Q38" s="304"/>
      <c r="R38" s="303"/>
      <c r="S38" s="274"/>
      <c r="T38" s="304"/>
      <c r="U38" s="275"/>
      <c r="V38" s="5"/>
    </row>
    <row r="39" spans="1:22" ht="15.6" x14ac:dyDescent="0.3">
      <c r="A39" s="302"/>
      <c r="B39" s="272" t="s">
        <v>14</v>
      </c>
      <c r="C39" s="272"/>
      <c r="D39" s="303">
        <v>9.2688000000000006E-3</v>
      </c>
      <c r="E39" s="272"/>
      <c r="F39" s="303">
        <v>3.5100000000000001E-3</v>
      </c>
      <c r="G39" s="304"/>
      <c r="H39" s="303">
        <v>6.339E-3</v>
      </c>
      <c r="I39" s="304"/>
      <c r="J39" s="303">
        <v>1.1468799999999999E-2</v>
      </c>
      <c r="K39" s="304"/>
      <c r="L39" s="303">
        <v>5.7099999999999998E-3</v>
      </c>
      <c r="M39" s="304"/>
      <c r="N39" s="303">
        <v>1.6068800000000001E-2</v>
      </c>
      <c r="O39" s="304"/>
      <c r="P39" s="303">
        <v>1.031E-2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9.4563000000000008E-3</v>
      </c>
      <c r="E41" s="272"/>
      <c r="F41" s="303">
        <v>9.6562999999999996E-3</v>
      </c>
      <c r="G41" s="304"/>
      <c r="H41" s="303">
        <v>9.9162999999999994E-3</v>
      </c>
      <c r="I41" s="304"/>
      <c r="J41" s="303">
        <f>+J38</f>
        <v>1.16563E-2</v>
      </c>
      <c r="K41" s="304"/>
      <c r="L41" s="303">
        <v>1.22463E-2</v>
      </c>
      <c r="M41" s="304"/>
      <c r="N41" s="303">
        <f>+N38</f>
        <v>1.6256300000000001E-2</v>
      </c>
      <c r="O41" s="304"/>
      <c r="P41" s="303">
        <v>1.71363E-2</v>
      </c>
      <c r="Q41" s="304"/>
      <c r="R41" s="303"/>
      <c r="S41" s="274"/>
      <c r="T41" s="304">
        <f>SUMPRODUCT(D41:P41,D33:P33)/T33</f>
        <v>1.0795392686066514E-2</v>
      </c>
      <c r="U41" s="275"/>
      <c r="V41" s="5"/>
    </row>
    <row r="42" spans="1:22" ht="15.6" x14ac:dyDescent="0.3">
      <c r="A42" s="302"/>
      <c r="B42" s="272" t="s">
        <v>294</v>
      </c>
      <c r="C42" s="272"/>
      <c r="D42" s="303">
        <f>+D39</f>
        <v>9.2688000000000006E-3</v>
      </c>
      <c r="E42" s="272"/>
      <c r="F42" s="303">
        <v>9.4687999999999994E-3</v>
      </c>
      <c r="G42" s="304"/>
      <c r="H42" s="303">
        <v>9.7287999999999993E-3</v>
      </c>
      <c r="I42" s="304"/>
      <c r="J42" s="303">
        <f>+J39</f>
        <v>1.1468799999999999E-2</v>
      </c>
      <c r="K42" s="304"/>
      <c r="L42" s="303">
        <v>1.20588E-2</v>
      </c>
      <c r="M42" s="304"/>
      <c r="N42" s="303">
        <f>+N39</f>
        <v>1.6068800000000001E-2</v>
      </c>
      <c r="O42" s="304"/>
      <c r="P42" s="303">
        <v>1.69488E-2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0.27550921650302179</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42324</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94</v>
      </c>
      <c r="Q54" s="272"/>
      <c r="R54" s="312">
        <v>42139</v>
      </c>
      <c r="S54" s="313"/>
      <c r="T54" s="312">
        <v>42232</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91</v>
      </c>
      <c r="Q55" s="272"/>
      <c r="R55" s="312">
        <v>42233</v>
      </c>
      <c r="S55" s="313"/>
      <c r="T55" s="312">
        <v>42323</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42310</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341</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272251</v>
      </c>
      <c r="M65" s="317"/>
      <c r="N65" s="317">
        <f>5235+61</f>
        <v>5296</v>
      </c>
      <c r="O65" s="317"/>
      <c r="P65" s="317">
        <v>61</v>
      </c>
      <c r="Q65" s="317"/>
      <c r="R65" s="317">
        <v>0</v>
      </c>
      <c r="S65" s="317"/>
      <c r="T65" s="318">
        <f>+L65-N65+P65-R65</f>
        <v>267016</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272251</v>
      </c>
      <c r="M68" s="317"/>
      <c r="N68" s="317">
        <f>SUM(N65:N67)</f>
        <v>5296</v>
      </c>
      <c r="O68" s="317"/>
      <c r="P68" s="317">
        <f>SUM(P65:P67)</f>
        <v>61</v>
      </c>
      <c r="Q68" s="317"/>
      <c r="R68" s="317">
        <f>SUM(R65:R67)</f>
        <v>0</v>
      </c>
      <c r="S68" s="317"/>
      <c r="T68" s="317">
        <f>SUM(T65:T67)</f>
        <v>267016</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272251</v>
      </c>
      <c r="M81" s="317"/>
      <c r="N81" s="317"/>
      <c r="O81" s="317"/>
      <c r="P81" s="317"/>
      <c r="Q81" s="317"/>
      <c r="R81" s="317"/>
      <c r="S81" s="317"/>
      <c r="T81" s="317">
        <f>SUM(T68:T80)</f>
        <v>267016</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42307</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5296-50</f>
        <v>5246</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1434+338-307-130</f>
        <v>1335</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37+284</f>
        <v>321</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19</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0</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5246</v>
      </c>
      <c r="S93" s="272"/>
      <c r="T93" s="317">
        <f>SUM(T85:T92)</f>
        <v>1675</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17</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5246</v>
      </c>
      <c r="S97" s="272"/>
      <c r="T97" s="317">
        <f>T93+T95+T94+T96</f>
        <v>1692</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-105-42-4</f>
        <v>-151</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0</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-279</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-201</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-29</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-16</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-48</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-10</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-150</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50</v>
      </c>
      <c r="S113" s="272"/>
      <c r="T113" s="318">
        <v>-50</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-105</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-645</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-61</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-2274</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-1607</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-223</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-105</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-304</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-45</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-677</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-5296</v>
      </c>
      <c r="S130" s="317"/>
      <c r="T130" s="317">
        <f>SUM(T98:T128)</f>
        <v>-1692</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OCTOBER 2015</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400" t="s">
        <v>327</v>
      </c>
      <c r="C153" s="272"/>
      <c r="D153" s="272"/>
      <c r="E153" s="272"/>
      <c r="F153" s="272"/>
      <c r="G153" s="272"/>
      <c r="H153" s="272"/>
      <c r="I153" s="272"/>
      <c r="J153" s="272"/>
      <c r="K153" s="272"/>
      <c r="L153" s="272"/>
      <c r="M153" s="272"/>
      <c r="N153" s="272"/>
      <c r="O153" s="272"/>
      <c r="P153" s="272"/>
      <c r="Q153" s="272"/>
      <c r="R153" s="272"/>
      <c r="S153" s="272"/>
      <c r="T153" s="318">
        <v>0</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50</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50</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-50</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v>0</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267016</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267016</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+'July 15'!Q181</f>
        <v>48030</v>
      </c>
      <c r="R179" s="318">
        <f>+'July 15'!R181</f>
        <v>2435</v>
      </c>
      <c r="S179" s="272"/>
      <c r="T179" s="318">
        <f>Q179+R179</f>
        <v>50465</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61</v>
      </c>
      <c r="R180" s="317">
        <v>0</v>
      </c>
      <c r="S180" s="272"/>
      <c r="T180" s="318">
        <f>Q180+R180</f>
        <v>61</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48091</v>
      </c>
      <c r="R181" s="318">
        <f>R180+R179</f>
        <v>2435</v>
      </c>
      <c r="S181" s="272"/>
      <c r="T181" s="318">
        <f>Q181+R181</f>
        <v>50526</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61474</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3.0235756385068764</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1.65</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16.09375</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9.1999999999999993</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6.0374999999999996</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4.1100000000000003</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OCTOBER 2015</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42307</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2.3269999999999999E-2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1.0795392686066514E-2</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1.2474607313933486E-2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6.2148532053142138E-3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11.5</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1.9452637455877112E-2</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9.8100000000000007E-2</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1</v>
      </c>
      <c r="R214" s="248">
        <v>90</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46</v>
      </c>
      <c r="R215" s="360">
        <f>+R266</f>
        <v>6594</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50</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'July 15'!R221+'Oct 15'!R220</f>
        <v>3793</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3</v>
      </c>
      <c r="R227" s="360">
        <v>319</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0</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2181</v>
      </c>
      <c r="Q233" s="388">
        <f t="shared" ref="Q233:Q240" si="2">P233/$P$242</f>
        <v>0.99589041095890407</v>
      </c>
      <c r="R233" s="318">
        <f t="shared" ref="R233:R240" si="3">+R245+R257+R269</f>
        <v>265587</v>
      </c>
      <c r="S233" s="388">
        <f t="shared" ref="S233:S240" si="4">R233/$R$242</f>
        <v>0.99464826077838031</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0</v>
      </c>
      <c r="Q234" s="388">
        <f t="shared" si="2"/>
        <v>0</v>
      </c>
      <c r="R234" s="318">
        <f t="shared" si="3"/>
        <v>0</v>
      </c>
      <c r="S234" s="388">
        <f t="shared" si="4"/>
        <v>0</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1</v>
      </c>
      <c r="Q235" s="388">
        <f t="shared" si="2"/>
        <v>4.5662100456621003E-4</v>
      </c>
      <c r="R235" s="318">
        <f t="shared" si="3"/>
        <v>76</v>
      </c>
      <c r="S235" s="388">
        <f t="shared" si="4"/>
        <v>2.846271384486323E-4</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1</v>
      </c>
      <c r="Q238" s="388">
        <f t="shared" si="2"/>
        <v>4.5662100456621003E-4</v>
      </c>
      <c r="R238" s="318">
        <f t="shared" si="3"/>
        <v>120</v>
      </c>
      <c r="S238" s="388">
        <f t="shared" si="4"/>
        <v>4.4941127123468259E-4</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1</v>
      </c>
      <c r="Q239" s="388">
        <f t="shared" si="2"/>
        <v>4.5662100456621003E-4</v>
      </c>
      <c r="R239" s="318">
        <f t="shared" si="3"/>
        <v>115</v>
      </c>
      <c r="S239" s="388">
        <f t="shared" si="4"/>
        <v>4.3068580159990412E-4</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6</v>
      </c>
      <c r="Q240" s="388">
        <f t="shared" si="2"/>
        <v>2.7397260273972603E-3</v>
      </c>
      <c r="R240" s="318">
        <f t="shared" si="3"/>
        <v>1118</v>
      </c>
      <c r="S240" s="388">
        <f t="shared" si="4"/>
        <v>4.1870150103364596E-3</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2190</v>
      </c>
      <c r="Q242" s="388">
        <f>SUM(Q233:Q241)</f>
        <v>1</v>
      </c>
      <c r="R242" s="318">
        <f>SUM(R233:R241)</f>
        <v>267016</v>
      </c>
      <c r="S242" s="388">
        <f>SUM(S233:S241)</f>
        <v>1</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2144</v>
      </c>
      <c r="Q245" s="250">
        <f t="shared" ref="Q245:Q252" si="5">P245/$P$254</f>
        <v>1</v>
      </c>
      <c r="R245" s="242">
        <v>260422</v>
      </c>
      <c r="S245" s="250">
        <f t="shared" ref="S245:S252" si="6">R245/$R$254</f>
        <v>1</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0</v>
      </c>
      <c r="Q246" s="388">
        <f t="shared" si="5"/>
        <v>0</v>
      </c>
      <c r="R246" s="318">
        <v>0</v>
      </c>
      <c r="S246" s="388">
        <f t="shared" si="6"/>
        <v>0</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2144</v>
      </c>
      <c r="Q254" s="388">
        <f>SUM(Q245:Q253)</f>
        <v>1</v>
      </c>
      <c r="R254" s="318">
        <f>SUM(R245:R253)</f>
        <v>260422</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37</v>
      </c>
      <c r="Q257" s="250">
        <f t="shared" ref="Q257:Q264" si="7">P257/$P$266</f>
        <v>0.80434782608695654</v>
      </c>
      <c r="R257" s="242">
        <v>5165</v>
      </c>
      <c r="S257" s="250">
        <f t="shared" ref="S257:S264" si="8">R257/$R$266</f>
        <v>0.78328783742796482</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0</v>
      </c>
      <c r="Q258" s="388">
        <f t="shared" si="7"/>
        <v>0</v>
      </c>
      <c r="R258" s="318">
        <v>0</v>
      </c>
      <c r="S258" s="388">
        <f t="shared" si="8"/>
        <v>0</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1</v>
      </c>
      <c r="Q259" s="388">
        <f t="shared" si="7"/>
        <v>2.1739130434782608E-2</v>
      </c>
      <c r="R259" s="318">
        <v>76</v>
      </c>
      <c r="S259" s="388">
        <f t="shared" si="8"/>
        <v>1.1525629360024265E-2</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1</v>
      </c>
      <c r="Q262" s="388">
        <f t="shared" si="7"/>
        <v>2.1739130434782608E-2</v>
      </c>
      <c r="R262" s="318">
        <v>120</v>
      </c>
      <c r="S262" s="388">
        <f t="shared" si="8"/>
        <v>1.8198362147406732E-2</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1</v>
      </c>
      <c r="Q263" s="388">
        <f t="shared" si="7"/>
        <v>2.1739130434782608E-2</v>
      </c>
      <c r="R263" s="318">
        <v>115</v>
      </c>
      <c r="S263" s="388">
        <f t="shared" si="8"/>
        <v>1.7440097057931453E-2</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6</v>
      </c>
      <c r="Q264" s="388">
        <f t="shared" si="7"/>
        <v>0.13043478260869565</v>
      </c>
      <c r="R264" s="318">
        <v>1118</v>
      </c>
      <c r="S264" s="388">
        <f t="shared" si="8"/>
        <v>0.16954807400667274</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46</v>
      </c>
      <c r="Q266" s="388">
        <f>SUM(Q257:Q265)</f>
        <v>1</v>
      </c>
      <c r="R266" s="318">
        <f>SUM(R257:R265)</f>
        <v>6594</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2190</v>
      </c>
      <c r="Q280" s="388"/>
      <c r="R280" s="396">
        <f>+R278+R266+R254</f>
        <v>267016</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322</v>
      </c>
      <c r="C285" s="220"/>
      <c r="D285" s="220"/>
      <c r="E285" s="220"/>
      <c r="F285" s="256" t="s">
        <v>159</v>
      </c>
      <c r="G285" s="220"/>
      <c r="H285" s="220" t="s">
        <v>167</v>
      </c>
      <c r="I285" s="255"/>
      <c r="J285" s="255"/>
      <c r="K285" s="255"/>
      <c r="L285" s="255"/>
      <c r="M285" s="255"/>
      <c r="N285" s="255"/>
      <c r="O285" s="255"/>
      <c r="P285" s="255"/>
      <c r="Q285" s="255"/>
      <c r="R285" s="255"/>
      <c r="S285" s="255"/>
      <c r="T285" s="255"/>
      <c r="U285" s="192"/>
      <c r="V285" s="5"/>
    </row>
    <row r="286" spans="1:22" ht="15.6" x14ac:dyDescent="0.3">
      <c r="A286" s="254"/>
      <c r="B286" s="220" t="s">
        <v>323</v>
      </c>
      <c r="C286" s="220"/>
      <c r="D286" s="220"/>
      <c r="E286" s="220"/>
      <c r="F286" s="256" t="s">
        <v>274</v>
      </c>
      <c r="G286" s="220"/>
      <c r="H286" s="220" t="s">
        <v>275</v>
      </c>
      <c r="I286" s="255"/>
      <c r="J286" s="255"/>
      <c r="K286" s="255"/>
      <c r="L286" s="255"/>
      <c r="M286" s="255"/>
      <c r="N286" s="255"/>
      <c r="O286" s="255"/>
      <c r="P286" s="255"/>
      <c r="Q286" s="255"/>
      <c r="R286" s="255"/>
      <c r="S286" s="255"/>
      <c r="T286" s="255"/>
      <c r="U286" s="192"/>
      <c r="V286" s="5"/>
    </row>
    <row r="287" spans="1:22" ht="15.6" x14ac:dyDescent="0.3">
      <c r="A287" s="254"/>
      <c r="B287" s="220" t="s">
        <v>324</v>
      </c>
      <c r="C287" s="220"/>
      <c r="D287" s="220"/>
      <c r="E287" s="220"/>
      <c r="F287" s="256" t="s">
        <v>158</v>
      </c>
      <c r="G287" s="220"/>
      <c r="H287" s="220" t="s">
        <v>168</v>
      </c>
      <c r="I287" s="255"/>
      <c r="J287" s="255"/>
      <c r="K287" s="255"/>
      <c r="L287" s="255"/>
      <c r="M287" s="255"/>
      <c r="N287" s="255"/>
      <c r="O287" s="255"/>
      <c r="P287" s="255"/>
      <c r="Q287" s="255"/>
      <c r="R287" s="255"/>
      <c r="S287" s="255"/>
      <c r="T287" s="255"/>
      <c r="U287" s="192"/>
      <c r="V287" s="5"/>
    </row>
    <row r="288" spans="1:22" ht="15.6" x14ac:dyDescent="0.3">
      <c r="A288" s="254"/>
      <c r="B288" s="220"/>
      <c r="C288" s="220"/>
      <c r="D288" s="220"/>
      <c r="E288" s="220"/>
      <c r="F288" s="220"/>
      <c r="G288" s="257"/>
      <c r="H288" s="255"/>
      <c r="I288" s="255"/>
      <c r="J288" s="255"/>
      <c r="K288" s="255"/>
      <c r="L288" s="255"/>
      <c r="M288" s="255"/>
      <c r="N288" s="255"/>
      <c r="O288" s="255"/>
      <c r="P288" s="255"/>
      <c r="Q288" s="255"/>
      <c r="R288" s="255"/>
      <c r="S288" s="255"/>
      <c r="T288" s="255"/>
      <c r="U288" s="192"/>
      <c r="V288" s="5"/>
    </row>
    <row r="289" spans="1:22" ht="15.6" x14ac:dyDescent="0.3">
      <c r="A289" s="216"/>
      <c r="B289" s="185"/>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ht="18" thickBot="1" x14ac:dyDescent="0.35">
      <c r="A290" s="216"/>
      <c r="B290" s="267" t="str">
        <f>B195</f>
        <v>PM9 INVESTOR REPORT QUARTER ENDING OCTOBER 2015</v>
      </c>
      <c r="C290" s="185"/>
      <c r="D290" s="185"/>
      <c r="E290" s="185"/>
      <c r="F290" s="185"/>
      <c r="G290" s="217"/>
      <c r="H290" s="192"/>
      <c r="I290" s="192"/>
      <c r="J290" s="192"/>
      <c r="K290" s="192"/>
      <c r="L290" s="192"/>
      <c r="M290" s="192"/>
      <c r="N290" s="192"/>
      <c r="O290" s="192"/>
      <c r="P290" s="192"/>
      <c r="Q290" s="192"/>
      <c r="R290" s="192"/>
      <c r="S290" s="192"/>
      <c r="T290" s="192"/>
      <c r="U290" s="192"/>
      <c r="V290" s="5"/>
    </row>
    <row r="291" spans="1:22" x14ac:dyDescent="0.25">
      <c r="A291" s="101"/>
      <c r="B291" s="101"/>
      <c r="C291" s="101"/>
      <c r="D291" s="101"/>
      <c r="E291" s="101"/>
      <c r="F291" s="101"/>
      <c r="G291" s="101"/>
      <c r="H291" s="101"/>
      <c r="I291" s="101"/>
      <c r="J291" s="101"/>
      <c r="K291" s="101"/>
      <c r="L291" s="101"/>
      <c r="M291" s="101"/>
      <c r="N291" s="101"/>
      <c r="O291" s="101"/>
      <c r="P291" s="101"/>
      <c r="Q291" s="101"/>
      <c r="R291" s="101"/>
      <c r="S291" s="101"/>
      <c r="T291" s="101"/>
      <c r="U291" s="101"/>
    </row>
  </sheetData>
  <hyperlinks>
    <hyperlink ref="J9" r:id="rId1" xr:uid="{00000000-0004-0000-2800-000000000000}"/>
    <hyperlink ref="N230" r:id="rId2" xr:uid="{00000000-0004-0000-28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0" man="1"/>
    <brk id="134" max="20" man="1"/>
    <brk id="195" max="20" man="1"/>
  </rowBreaks>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2D2926"/>
  </sheetPr>
  <dimension ref="A1:W291"/>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0.73170000000000002</v>
      </c>
      <c r="R16" s="225" t="s">
        <v>149</v>
      </c>
      <c r="S16" s="224">
        <v>0.26829999999999998</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42419</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329</v>
      </c>
      <c r="E25" s="398"/>
      <c r="F25" s="398" t="s">
        <v>329</v>
      </c>
      <c r="G25" s="398"/>
      <c r="H25" s="398" t="s">
        <v>329</v>
      </c>
      <c r="I25" s="398"/>
      <c r="J25" s="398" t="s">
        <v>330</v>
      </c>
      <c r="K25" s="398"/>
      <c r="L25" s="398" t="s">
        <v>330</v>
      </c>
      <c r="M25" s="398"/>
      <c r="N25" s="398" t="s">
        <v>340</v>
      </c>
      <c r="O25" s="398"/>
      <c r="P25" s="398" t="s">
        <v>340</v>
      </c>
      <c r="Q25" s="398"/>
      <c r="R25" s="273"/>
      <c r="S25" s="274"/>
      <c r="T25" s="274"/>
      <c r="U25" s="275"/>
      <c r="V25" s="5"/>
    </row>
    <row r="26" spans="1:22" ht="15.6" x14ac:dyDescent="0.3">
      <c r="A26" s="276"/>
      <c r="B26" s="277" t="s">
        <v>10</v>
      </c>
      <c r="C26" s="398"/>
      <c r="D26" s="398" t="s">
        <v>339</v>
      </c>
      <c r="E26" s="398"/>
      <c r="F26" s="398" t="s">
        <v>339</v>
      </c>
      <c r="G26" s="398"/>
      <c r="H26" s="398" t="s">
        <v>339</v>
      </c>
      <c r="I26" s="398"/>
      <c r="J26" s="398" t="s">
        <v>339</v>
      </c>
      <c r="K26" s="398"/>
      <c r="L26" s="398" t="s">
        <v>339</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116002.24360000002</v>
      </c>
      <c r="E30" s="280"/>
      <c r="F30" s="282">
        <f>F29*F36</f>
        <v>119019.64300000001</v>
      </c>
      <c r="G30" s="281"/>
      <c r="H30" s="283">
        <f>H29*H36</f>
        <v>20115.882000000001</v>
      </c>
      <c r="I30" s="281"/>
      <c r="J30" s="281">
        <f>J29*J36</f>
        <v>5340.2972</v>
      </c>
      <c r="K30" s="281"/>
      <c r="L30" s="282">
        <f>L29*L36</f>
        <v>22505.538199999999</v>
      </c>
      <c r="M30" s="281"/>
      <c r="N30" s="284">
        <f>N29*N36</f>
        <v>2288.6988000000001</v>
      </c>
      <c r="O30" s="281"/>
      <c r="P30" s="282">
        <f>P29*P36</f>
        <v>50351.373599999999</v>
      </c>
      <c r="Q30" s="281"/>
      <c r="R30" s="281"/>
      <c r="S30" s="285"/>
      <c r="T30" s="281"/>
      <c r="U30" s="286"/>
      <c r="V30" s="5"/>
    </row>
    <row r="31" spans="1:22" ht="15.6" x14ac:dyDescent="0.3">
      <c r="A31" s="276"/>
      <c r="B31" s="277" t="s">
        <v>143</v>
      </c>
      <c r="C31" s="287"/>
      <c r="D31" s="288">
        <f>D35*D29</f>
        <v>114683.91439999999</v>
      </c>
      <c r="E31" s="287"/>
      <c r="F31" s="289">
        <f>F35*F29</f>
        <v>117667.022</v>
      </c>
      <c r="G31" s="288"/>
      <c r="H31" s="290">
        <f>H35*H29</f>
        <v>19887.27</v>
      </c>
      <c r="I31" s="288"/>
      <c r="J31" s="288">
        <f>J35*J29</f>
        <v>5279.6058000000003</v>
      </c>
      <c r="K31" s="288"/>
      <c r="L31" s="289">
        <f>L35*L29</f>
        <v>22249.767300000003</v>
      </c>
      <c r="M31" s="288"/>
      <c r="N31" s="291">
        <f>N35*N29</f>
        <v>2262.6882000000001</v>
      </c>
      <c r="O31" s="288"/>
      <c r="P31" s="289">
        <f>P35*P29</f>
        <v>49779.140400000004</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116002.24360000002</v>
      </c>
      <c r="E33" s="280"/>
      <c r="F33" s="281">
        <f>F32*F36</f>
        <v>81972.683700000009</v>
      </c>
      <c r="G33" s="281"/>
      <c r="H33" s="281">
        <f>H32*H36</f>
        <v>11365.473330000001</v>
      </c>
      <c r="I33" s="281"/>
      <c r="J33" s="281">
        <f>J32*J36</f>
        <v>5340.2972</v>
      </c>
      <c r="K33" s="281"/>
      <c r="L33" s="281">
        <f>L32*L36</f>
        <v>15486.86188</v>
      </c>
      <c r="M33" s="281"/>
      <c r="N33" s="281">
        <f>N32*N36</f>
        <v>2288.6988000000001</v>
      </c>
      <c r="O33" s="281"/>
      <c r="P33" s="281">
        <f>P32*P36</f>
        <v>34559.351880000002</v>
      </c>
      <c r="Q33" s="281"/>
      <c r="R33" s="281"/>
      <c r="S33" s="285"/>
      <c r="T33" s="281">
        <f>SUM(C33:P33)</f>
        <v>267015.61039000005</v>
      </c>
      <c r="U33" s="286"/>
      <c r="V33" s="5"/>
    </row>
    <row r="34" spans="1:22" ht="15.6" x14ac:dyDescent="0.3">
      <c r="A34" s="276"/>
      <c r="B34" s="277" t="s">
        <v>291</v>
      </c>
      <c r="C34" s="287"/>
      <c r="D34" s="288">
        <f>D35*D32</f>
        <v>114683.91439999999</v>
      </c>
      <c r="E34" s="287"/>
      <c r="F34" s="288">
        <f>F35*F32</f>
        <v>81041.089800000002</v>
      </c>
      <c r="G34" s="288"/>
      <c r="H34" s="288">
        <f>H35*H32</f>
        <v>11236.30755</v>
      </c>
      <c r="I34" s="288"/>
      <c r="J34" s="288">
        <f>J35*J32</f>
        <v>5279.6058000000003</v>
      </c>
      <c r="K34" s="288"/>
      <c r="L34" s="288">
        <f>L35*L32</f>
        <v>15310.856820000001</v>
      </c>
      <c r="M34" s="288"/>
      <c r="N34" s="288">
        <f>N35*N32</f>
        <v>2262.6882000000001</v>
      </c>
      <c r="O34" s="288"/>
      <c r="P34" s="288">
        <f>P35*P32</f>
        <v>34166.591820000001</v>
      </c>
      <c r="Q34" s="288"/>
      <c r="R34" s="288"/>
      <c r="S34" s="292"/>
      <c r="T34" s="288">
        <f>SUM(C34:P34)</f>
        <v>263981.05439</v>
      </c>
      <c r="U34" s="286"/>
      <c r="V34" s="5"/>
    </row>
    <row r="35" spans="1:22" ht="15.6" x14ac:dyDescent="0.3">
      <c r="A35" s="276"/>
      <c r="B35" s="293" t="s">
        <v>139</v>
      </c>
      <c r="C35" s="294"/>
      <c r="D35" s="295">
        <v>0.33145639999999998</v>
      </c>
      <c r="E35" s="296"/>
      <c r="F35" s="295">
        <v>0.33145639999999998</v>
      </c>
      <c r="G35" s="295"/>
      <c r="H35" s="295">
        <v>0.33145449999999999</v>
      </c>
      <c r="I35" s="297"/>
      <c r="J35" s="295">
        <v>0.75422940000000005</v>
      </c>
      <c r="K35" s="297"/>
      <c r="L35" s="295">
        <v>0.75422940000000005</v>
      </c>
      <c r="M35" s="297"/>
      <c r="N35" s="295">
        <v>0.75422940000000005</v>
      </c>
      <c r="O35" s="297"/>
      <c r="P35" s="295">
        <v>0.75422940000000005</v>
      </c>
      <c r="Q35" s="298"/>
      <c r="R35" s="298"/>
      <c r="S35" s="299"/>
      <c r="T35" s="298"/>
      <c r="U35" s="300"/>
      <c r="V35" s="5"/>
    </row>
    <row r="36" spans="1:22" ht="15.6" x14ac:dyDescent="0.3">
      <c r="A36" s="276"/>
      <c r="B36" s="293" t="s">
        <v>140</v>
      </c>
      <c r="C36" s="294"/>
      <c r="D36" s="295">
        <v>0.33526660000000003</v>
      </c>
      <c r="E36" s="296"/>
      <c r="F36" s="295">
        <v>0.33526660000000003</v>
      </c>
      <c r="G36" s="295"/>
      <c r="H36" s="295">
        <v>0.33526470000000003</v>
      </c>
      <c r="I36" s="297"/>
      <c r="J36" s="295">
        <v>0.76289960000000001</v>
      </c>
      <c r="K36" s="297"/>
      <c r="L36" s="295">
        <v>0.76289960000000001</v>
      </c>
      <c r="M36" s="297"/>
      <c r="N36" s="295">
        <v>0.76289960000000001</v>
      </c>
      <c r="O36" s="297"/>
      <c r="P36" s="295">
        <v>0.76289960000000001</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9.3313000000000007E-3</v>
      </c>
      <c r="E38" s="272"/>
      <c r="F38" s="303">
        <v>2.7899999999999999E-3</v>
      </c>
      <c r="G38" s="304"/>
      <c r="H38" s="303">
        <v>7.2160000000000002E-3</v>
      </c>
      <c r="I38" s="304"/>
      <c r="J38" s="303">
        <v>1.15313E-2</v>
      </c>
      <c r="K38" s="304"/>
      <c r="L38" s="303">
        <v>4.9899999999999996E-3</v>
      </c>
      <c r="M38" s="304"/>
      <c r="N38" s="303">
        <v>1.6131300000000001E-2</v>
      </c>
      <c r="O38" s="304"/>
      <c r="P38" s="303">
        <v>9.5899999999999996E-3</v>
      </c>
      <c r="Q38" s="304"/>
      <c r="R38" s="303"/>
      <c r="S38" s="274"/>
      <c r="T38" s="304"/>
      <c r="U38" s="275"/>
      <c r="V38" s="5"/>
    </row>
    <row r="39" spans="1:22" ht="15.6" x14ac:dyDescent="0.3">
      <c r="A39" s="302"/>
      <c r="B39" s="272" t="s">
        <v>14</v>
      </c>
      <c r="C39" s="272"/>
      <c r="D39" s="303">
        <v>9.4563000000000008E-3</v>
      </c>
      <c r="E39" s="272"/>
      <c r="F39" s="303">
        <v>3.3600000000000001E-3</v>
      </c>
      <c r="G39" s="304"/>
      <c r="H39" s="303">
        <v>6.8050000000000003E-3</v>
      </c>
      <c r="I39" s="304"/>
      <c r="J39" s="303">
        <v>1.16563E-2</v>
      </c>
      <c r="K39" s="304"/>
      <c r="L39" s="303">
        <v>5.5599999999999998E-3</v>
      </c>
      <c r="M39" s="304"/>
      <c r="N39" s="303">
        <v>1.6256300000000001E-2</v>
      </c>
      <c r="O39" s="304"/>
      <c r="P39" s="303">
        <v>1.0160000000000001E-2</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9.3313000000000007E-3</v>
      </c>
      <c r="E41" s="272"/>
      <c r="F41" s="303">
        <v>9.5312999999999995E-3</v>
      </c>
      <c r="G41" s="304"/>
      <c r="H41" s="303">
        <v>9.7912999999999993E-3</v>
      </c>
      <c r="I41" s="304"/>
      <c r="J41" s="303">
        <f>+J38</f>
        <v>1.15313E-2</v>
      </c>
      <c r="K41" s="304"/>
      <c r="L41" s="303">
        <v>1.21213E-2</v>
      </c>
      <c r="M41" s="304"/>
      <c r="N41" s="303">
        <f>+N38</f>
        <v>1.6131300000000001E-2</v>
      </c>
      <c r="O41" s="304"/>
      <c r="P41" s="303">
        <v>1.70113E-2</v>
      </c>
      <c r="Q41" s="304"/>
      <c r="R41" s="303"/>
      <c r="S41" s="274"/>
      <c r="T41" s="304">
        <f>SUMPRODUCT(D41:P41,D33:P33)/T33</f>
        <v>1.0670392597294793E-2</v>
      </c>
      <c r="U41" s="275"/>
      <c r="V41" s="5"/>
    </row>
    <row r="42" spans="1:22" ht="15.6" x14ac:dyDescent="0.3">
      <c r="A42" s="302"/>
      <c r="B42" s="272" t="s">
        <v>294</v>
      </c>
      <c r="C42" s="272"/>
      <c r="D42" s="303">
        <f>+D39</f>
        <v>9.4563000000000008E-3</v>
      </c>
      <c r="E42" s="272"/>
      <c r="F42" s="303">
        <v>9.6562999999999996E-3</v>
      </c>
      <c r="G42" s="304"/>
      <c r="H42" s="303">
        <v>9.9162999999999994E-3</v>
      </c>
      <c r="I42" s="304"/>
      <c r="J42" s="303">
        <f>+J39</f>
        <v>1.16563E-2</v>
      </c>
      <c r="K42" s="304"/>
      <c r="L42" s="303">
        <v>1.22463E-2</v>
      </c>
      <c r="M42" s="304"/>
      <c r="N42" s="303">
        <f>+N39</f>
        <v>1.6256300000000001E-2</v>
      </c>
      <c r="O42" s="304"/>
      <c r="P42" s="303">
        <v>1.71363E-2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0.27550918651345474</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42416</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91</v>
      </c>
      <c r="Q54" s="272"/>
      <c r="R54" s="312">
        <v>42233</v>
      </c>
      <c r="S54" s="313"/>
      <c r="T54" s="312">
        <v>42323</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92</v>
      </c>
      <c r="Q55" s="272"/>
      <c r="R55" s="312">
        <v>42324</v>
      </c>
      <c r="S55" s="313"/>
      <c r="T55" s="312">
        <v>42415</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42401</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342</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267016</v>
      </c>
      <c r="M65" s="317"/>
      <c r="N65" s="317">
        <f>3035+254</f>
        <v>3289</v>
      </c>
      <c r="O65" s="317"/>
      <c r="P65" s="317">
        <v>254</v>
      </c>
      <c r="Q65" s="317"/>
      <c r="R65" s="317">
        <v>0</v>
      </c>
      <c r="S65" s="317"/>
      <c r="T65" s="318">
        <f>+L65-N65+P65-R65</f>
        <v>263981</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267016</v>
      </c>
      <c r="M68" s="317"/>
      <c r="N68" s="317">
        <f>SUM(N65:N67)</f>
        <v>3289</v>
      </c>
      <c r="O68" s="317"/>
      <c r="P68" s="317">
        <f>SUM(P65:P67)</f>
        <v>254</v>
      </c>
      <c r="Q68" s="317"/>
      <c r="R68" s="317">
        <f>SUM(R65:R67)</f>
        <v>0</v>
      </c>
      <c r="S68" s="317"/>
      <c r="T68" s="317">
        <f>SUM(T65:T67)</f>
        <v>263981</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267016</v>
      </c>
      <c r="M81" s="317"/>
      <c r="N81" s="317"/>
      <c r="O81" s="317"/>
      <c r="P81" s="317"/>
      <c r="Q81" s="317"/>
      <c r="R81" s="317"/>
      <c r="S81" s="317"/>
      <c r="T81" s="317">
        <f>SUM(T68:T80)</f>
        <v>263981</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42398</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3289-236</f>
        <v>3053</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1414+577-324-139</f>
        <v>1528</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110+60</f>
        <v>170</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22</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0</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3053</v>
      </c>
      <c r="S93" s="272"/>
      <c r="T93" s="317">
        <f>SUM(T85:T92)</f>
        <v>1720</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-48</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3053</v>
      </c>
      <c r="S97" s="272"/>
      <c r="T97" s="317">
        <f>T93+T95+T94+T96</f>
        <v>1672</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-103-66-4</f>
        <v>-173</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0</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-273</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-197</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-28</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-16</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-47</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-9</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-148</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236</v>
      </c>
      <c r="S113" s="272"/>
      <c r="T113" s="318">
        <v>-236</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-103</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-434</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-254</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-1318</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-932</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-129</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-61</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-176</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-26</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-393</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-3289</v>
      </c>
      <c r="S130" s="317"/>
      <c r="T130" s="317">
        <f>SUM(T98:T128)</f>
        <v>-1672</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JANUARY 2016</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400" t="s">
        <v>327</v>
      </c>
      <c r="C153" s="272"/>
      <c r="D153" s="272"/>
      <c r="E153" s="272"/>
      <c r="F153" s="272"/>
      <c r="G153" s="272"/>
      <c r="H153" s="272"/>
      <c r="I153" s="272"/>
      <c r="J153" s="272"/>
      <c r="K153" s="272"/>
      <c r="L153" s="272"/>
      <c r="M153" s="272"/>
      <c r="N153" s="272"/>
      <c r="O153" s="272"/>
      <c r="P153" s="272"/>
      <c r="Q153" s="272"/>
      <c r="R153" s="272"/>
      <c r="S153" s="272"/>
      <c r="T153" s="318">
        <v>0</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236</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236</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-236</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f>-T96</f>
        <v>48</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263981</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263981</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+'Oct 15'!Q181</f>
        <v>48091</v>
      </c>
      <c r="R179" s="318">
        <f>+'Oct 15'!R181</f>
        <v>2435</v>
      </c>
      <c r="S179" s="272"/>
      <c r="T179" s="318">
        <f>Q179+R179</f>
        <v>50526</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254</v>
      </c>
      <c r="R180" s="317">
        <v>0</v>
      </c>
      <c r="S180" s="272"/>
      <c r="T180" s="318">
        <f>Q180+R180</f>
        <v>254</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48345</v>
      </c>
      <c r="R181" s="318">
        <f>R180+R179</f>
        <v>2435</v>
      </c>
      <c r="S181" s="272"/>
      <c r="T181" s="318">
        <f>Q181+R181</f>
        <v>50780</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61220</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3.0060240963855422</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1.66</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15.857142857142858</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9.25</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5.9617834394904454</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4.13</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JANUARY 2016</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42398</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2.341E-2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1.0670392597294793E-2</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1.2739607402705208E-2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6.2617970458699107E-3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11.32</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1.2317613925757257E-2</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9.69E-2</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0</v>
      </c>
      <c r="R214" s="248">
        <v>0</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42</v>
      </c>
      <c r="R215" s="360">
        <f>+R266</f>
        <v>6074</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236</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'Oct 15'!R221+'Jan 16'!R220</f>
        <v>4029</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5</v>
      </c>
      <c r="R227" s="360">
        <v>593</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26.43</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2155</v>
      </c>
      <c r="Q233" s="388">
        <f t="shared" ref="Q233:Q240" si="2">P233/$P$242</f>
        <v>0.99676225716928768</v>
      </c>
      <c r="R233" s="318">
        <f t="shared" ref="R233:R240" si="3">+R245+R257+R269</f>
        <v>262919</v>
      </c>
      <c r="S233" s="388">
        <f t="shared" ref="S233:S240" si="4">R233/$R$242</f>
        <v>0.99597698319197214</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1</v>
      </c>
      <c r="Q234" s="388">
        <f t="shared" si="2"/>
        <v>4.6253469010175765E-4</v>
      </c>
      <c r="R234" s="318">
        <f t="shared" si="3"/>
        <v>77</v>
      </c>
      <c r="S234" s="388">
        <f t="shared" si="4"/>
        <v>2.9168765933911911E-4</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0</v>
      </c>
      <c r="Q235" s="388">
        <f t="shared" si="2"/>
        <v>0</v>
      </c>
      <c r="R235" s="318">
        <f t="shared" si="3"/>
        <v>0</v>
      </c>
      <c r="S235" s="388">
        <f t="shared" si="4"/>
        <v>0</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1</v>
      </c>
      <c r="Q236" s="388">
        <f t="shared" si="2"/>
        <v>4.6253469010175765E-4</v>
      </c>
      <c r="R236" s="318">
        <f t="shared" si="3"/>
        <v>76</v>
      </c>
      <c r="S236" s="388">
        <f t="shared" si="4"/>
        <v>2.8789950791913052E-4</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1</v>
      </c>
      <c r="Q237" s="388">
        <f t="shared" si="2"/>
        <v>4.6253469010175765E-4</v>
      </c>
      <c r="R237" s="318">
        <f t="shared" si="3"/>
        <v>120</v>
      </c>
      <c r="S237" s="388">
        <f t="shared" si="4"/>
        <v>4.545781703986272E-4</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0</v>
      </c>
      <c r="Q238" s="388">
        <f t="shared" si="2"/>
        <v>0</v>
      </c>
      <c r="R238" s="318">
        <f t="shared" si="3"/>
        <v>0</v>
      </c>
      <c r="S238" s="388">
        <f t="shared" si="4"/>
        <v>0</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1</v>
      </c>
      <c r="Q239" s="388">
        <f t="shared" si="2"/>
        <v>4.6253469010175765E-4</v>
      </c>
      <c r="R239" s="318">
        <f t="shared" si="3"/>
        <v>115</v>
      </c>
      <c r="S239" s="388">
        <f t="shared" si="4"/>
        <v>4.356374132986844E-4</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3</v>
      </c>
      <c r="Q240" s="388">
        <f t="shared" si="2"/>
        <v>1.3876040703052729E-3</v>
      </c>
      <c r="R240" s="318">
        <f t="shared" si="3"/>
        <v>674</v>
      </c>
      <c r="S240" s="388">
        <f t="shared" si="4"/>
        <v>2.5532140570722894E-3</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2162</v>
      </c>
      <c r="Q242" s="388">
        <f>SUM(Q233:Q241)</f>
        <v>0.99999999999999978</v>
      </c>
      <c r="R242" s="318">
        <f>SUM(R233:R241)</f>
        <v>263981</v>
      </c>
      <c r="S242" s="388">
        <f>SUM(S233:S241)</f>
        <v>0.99999999999999989</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2120</v>
      </c>
      <c r="Q245" s="250">
        <f t="shared" ref="Q245:Q252" si="5">P245/$P$254</f>
        <v>1</v>
      </c>
      <c r="R245" s="242">
        <v>257907</v>
      </c>
      <c r="S245" s="250">
        <f t="shared" ref="S245:S252" si="6">R245/$R$254</f>
        <v>1</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0</v>
      </c>
      <c r="Q246" s="388">
        <f t="shared" si="5"/>
        <v>0</v>
      </c>
      <c r="R246" s="318">
        <v>0</v>
      </c>
      <c r="S246" s="388">
        <f t="shared" si="6"/>
        <v>0</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2120</v>
      </c>
      <c r="Q254" s="388">
        <f>SUM(Q245:Q253)</f>
        <v>1</v>
      </c>
      <c r="R254" s="318">
        <f>SUM(R245:R253)</f>
        <v>257907</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35</v>
      </c>
      <c r="Q257" s="250">
        <f t="shared" ref="Q257:Q264" si="7">P257/$P$266</f>
        <v>0.83333333333333337</v>
      </c>
      <c r="R257" s="242">
        <v>5012</v>
      </c>
      <c r="S257" s="250">
        <f t="shared" ref="S257:S264" si="8">R257/$R$266</f>
        <v>0.82515640434639448</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1</v>
      </c>
      <c r="Q258" s="388">
        <f t="shared" si="7"/>
        <v>2.3809523809523808E-2</v>
      </c>
      <c r="R258" s="318">
        <v>77</v>
      </c>
      <c r="S258" s="388">
        <f t="shared" si="8"/>
        <v>1.2676983865656898E-2</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0</v>
      </c>
      <c r="Q259" s="388">
        <f t="shared" si="7"/>
        <v>0</v>
      </c>
      <c r="R259" s="318">
        <v>0</v>
      </c>
      <c r="S259" s="388">
        <f t="shared" si="8"/>
        <v>0</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1</v>
      </c>
      <c r="Q260" s="388">
        <f t="shared" si="7"/>
        <v>2.3809523809523808E-2</v>
      </c>
      <c r="R260" s="318">
        <v>76</v>
      </c>
      <c r="S260" s="388">
        <f t="shared" si="8"/>
        <v>1.2512347711557459E-2</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1</v>
      </c>
      <c r="Q261" s="388">
        <f t="shared" si="7"/>
        <v>2.3809523809523808E-2</v>
      </c>
      <c r="R261" s="318">
        <v>120</v>
      </c>
      <c r="S261" s="388">
        <f t="shared" si="8"/>
        <v>1.975633849193283E-2</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0</v>
      </c>
      <c r="Q262" s="388">
        <f t="shared" si="7"/>
        <v>0</v>
      </c>
      <c r="R262" s="318">
        <v>0</v>
      </c>
      <c r="S262" s="388">
        <f t="shared" si="8"/>
        <v>0</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1</v>
      </c>
      <c r="Q263" s="388">
        <f t="shared" si="7"/>
        <v>2.3809523809523808E-2</v>
      </c>
      <c r="R263" s="318">
        <v>115</v>
      </c>
      <c r="S263" s="388">
        <f t="shared" si="8"/>
        <v>1.8933157721435626E-2</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3</v>
      </c>
      <c r="Q264" s="388">
        <f t="shared" si="7"/>
        <v>7.1428571428571425E-2</v>
      </c>
      <c r="R264" s="318">
        <v>674</v>
      </c>
      <c r="S264" s="388">
        <f t="shared" si="8"/>
        <v>0.11096476786302271</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42</v>
      </c>
      <c r="Q266" s="388">
        <f>SUM(Q257:Q265)</f>
        <v>1.0000000000000002</v>
      </c>
      <c r="R266" s="318">
        <f>SUM(R257:R265)</f>
        <v>6074</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2162</v>
      </c>
      <c r="Q280" s="388"/>
      <c r="R280" s="396">
        <f>+R278+R266+R254</f>
        <v>263981</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322</v>
      </c>
      <c r="C285" s="220"/>
      <c r="D285" s="220"/>
      <c r="E285" s="220"/>
      <c r="F285" s="256" t="s">
        <v>159</v>
      </c>
      <c r="G285" s="220"/>
      <c r="H285" s="220" t="s">
        <v>167</v>
      </c>
      <c r="I285" s="255"/>
      <c r="J285" s="255"/>
      <c r="K285" s="255"/>
      <c r="L285" s="255"/>
      <c r="M285" s="255"/>
      <c r="N285" s="255"/>
      <c r="O285" s="255"/>
      <c r="P285" s="255"/>
      <c r="Q285" s="255"/>
      <c r="R285" s="255"/>
      <c r="S285" s="255"/>
      <c r="T285" s="255"/>
      <c r="U285" s="192"/>
      <c r="V285" s="5"/>
    </row>
    <row r="286" spans="1:22" ht="15.6" x14ac:dyDescent="0.3">
      <c r="A286" s="254"/>
      <c r="B286" s="220" t="s">
        <v>323</v>
      </c>
      <c r="C286" s="220"/>
      <c r="D286" s="220"/>
      <c r="E286" s="220"/>
      <c r="F286" s="256" t="s">
        <v>274</v>
      </c>
      <c r="G286" s="220"/>
      <c r="H286" s="220" t="s">
        <v>275</v>
      </c>
      <c r="I286" s="255"/>
      <c r="J286" s="255"/>
      <c r="K286" s="255"/>
      <c r="L286" s="255"/>
      <c r="M286" s="255"/>
      <c r="N286" s="255"/>
      <c r="O286" s="255"/>
      <c r="P286" s="255"/>
      <c r="Q286" s="255"/>
      <c r="R286" s="255"/>
      <c r="S286" s="255"/>
      <c r="T286" s="255"/>
      <c r="U286" s="192"/>
      <c r="V286" s="5"/>
    </row>
    <row r="287" spans="1:22" ht="15.6" x14ac:dyDescent="0.3">
      <c r="A287" s="254"/>
      <c r="B287" s="220" t="s">
        <v>324</v>
      </c>
      <c r="C287" s="220"/>
      <c r="D287" s="220"/>
      <c r="E287" s="220"/>
      <c r="F287" s="256" t="s">
        <v>158</v>
      </c>
      <c r="G287" s="220"/>
      <c r="H287" s="220" t="s">
        <v>168</v>
      </c>
      <c r="I287" s="255"/>
      <c r="J287" s="255"/>
      <c r="K287" s="255"/>
      <c r="L287" s="255"/>
      <c r="M287" s="255"/>
      <c r="N287" s="255"/>
      <c r="O287" s="255"/>
      <c r="P287" s="255"/>
      <c r="Q287" s="255"/>
      <c r="R287" s="255"/>
      <c r="S287" s="255"/>
      <c r="T287" s="255"/>
      <c r="U287" s="192"/>
      <c r="V287" s="5"/>
    </row>
    <row r="288" spans="1:22" ht="15.6" x14ac:dyDescent="0.3">
      <c r="A288" s="254"/>
      <c r="B288" s="220"/>
      <c r="C288" s="220"/>
      <c r="D288" s="220"/>
      <c r="E288" s="220"/>
      <c r="F288" s="220"/>
      <c r="G288" s="257"/>
      <c r="H288" s="255"/>
      <c r="I288" s="255"/>
      <c r="J288" s="255"/>
      <c r="K288" s="255"/>
      <c r="L288" s="255"/>
      <c r="M288" s="255"/>
      <c r="N288" s="255"/>
      <c r="O288" s="255"/>
      <c r="P288" s="255"/>
      <c r="Q288" s="255"/>
      <c r="R288" s="255"/>
      <c r="S288" s="255"/>
      <c r="T288" s="255"/>
      <c r="U288" s="192"/>
      <c r="V288" s="5"/>
    </row>
    <row r="289" spans="1:22" ht="15.6" x14ac:dyDescent="0.3">
      <c r="A289" s="216"/>
      <c r="B289" s="185"/>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ht="18" thickBot="1" x14ac:dyDescent="0.35">
      <c r="A290" s="216"/>
      <c r="B290" s="267" t="str">
        <f>B195</f>
        <v>PM9 INVESTOR REPORT QUARTER ENDING JANUARY 2016</v>
      </c>
      <c r="C290" s="185"/>
      <c r="D290" s="185"/>
      <c r="E290" s="185"/>
      <c r="F290" s="185"/>
      <c r="G290" s="217"/>
      <c r="H290" s="192"/>
      <c r="I290" s="192"/>
      <c r="J290" s="192"/>
      <c r="K290" s="192"/>
      <c r="L290" s="192"/>
      <c r="M290" s="192"/>
      <c r="N290" s="192"/>
      <c r="O290" s="192"/>
      <c r="P290" s="192"/>
      <c r="Q290" s="192"/>
      <c r="R290" s="192"/>
      <c r="S290" s="192"/>
      <c r="T290" s="192"/>
      <c r="U290" s="192"/>
      <c r="V290" s="5"/>
    </row>
    <row r="291" spans="1:22" x14ac:dyDescent="0.25">
      <c r="A291" s="101"/>
      <c r="B291" s="101"/>
      <c r="C291" s="101"/>
      <c r="D291" s="101"/>
      <c r="E291" s="101"/>
      <c r="F291" s="101"/>
      <c r="G291" s="101"/>
      <c r="H291" s="101"/>
      <c r="I291" s="101"/>
      <c r="J291" s="101"/>
      <c r="K291" s="101"/>
      <c r="L291" s="101"/>
      <c r="M291" s="101"/>
      <c r="N291" s="101"/>
      <c r="O291" s="101"/>
      <c r="P291" s="101"/>
      <c r="Q291" s="101"/>
      <c r="R291" s="101"/>
      <c r="S291" s="101"/>
      <c r="T291" s="101"/>
      <c r="U291" s="101"/>
    </row>
  </sheetData>
  <hyperlinks>
    <hyperlink ref="J9" r:id="rId1" xr:uid="{00000000-0004-0000-2900-000000000000}"/>
    <hyperlink ref="N230" r:id="rId2" xr:uid="{00000000-0004-0000-29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20" man="1"/>
    <brk id="134" max="20" man="1"/>
    <brk id="195" max="20" man="1"/>
  </rowBreaks>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89CB31"/>
  </sheetPr>
  <dimension ref="A1:W291"/>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0.72840000000000005</v>
      </c>
      <c r="R16" s="225" t="s">
        <v>149</v>
      </c>
      <c r="S16" s="224">
        <v>0.27160000000000001</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42510</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329</v>
      </c>
      <c r="E25" s="398"/>
      <c r="F25" s="398" t="s">
        <v>329</v>
      </c>
      <c r="G25" s="398"/>
      <c r="H25" s="398" t="s">
        <v>329</v>
      </c>
      <c r="I25" s="398"/>
      <c r="J25" s="398" t="s">
        <v>330</v>
      </c>
      <c r="K25" s="398"/>
      <c r="L25" s="398" t="s">
        <v>330</v>
      </c>
      <c r="M25" s="398"/>
      <c r="N25" s="398" t="s">
        <v>340</v>
      </c>
      <c r="O25" s="398"/>
      <c r="P25" s="398" t="s">
        <v>340</v>
      </c>
      <c r="Q25" s="398"/>
      <c r="R25" s="273"/>
      <c r="S25" s="274"/>
      <c r="T25" s="274"/>
      <c r="U25" s="275"/>
      <c r="V25" s="5"/>
    </row>
    <row r="26" spans="1:22" ht="15.6" x14ac:dyDescent="0.3">
      <c r="A26" s="276"/>
      <c r="B26" s="277" t="s">
        <v>10</v>
      </c>
      <c r="C26" s="398"/>
      <c r="D26" s="398" t="s">
        <v>339</v>
      </c>
      <c r="E26" s="398"/>
      <c r="F26" s="398" t="s">
        <v>339</v>
      </c>
      <c r="G26" s="398"/>
      <c r="H26" s="398" t="s">
        <v>339</v>
      </c>
      <c r="I26" s="398"/>
      <c r="J26" s="398" t="s">
        <v>339</v>
      </c>
      <c r="K26" s="398"/>
      <c r="L26" s="398" t="s">
        <v>339</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114683.91439999999</v>
      </c>
      <c r="E30" s="280"/>
      <c r="F30" s="282">
        <f>F29*F36</f>
        <v>117667.022</v>
      </c>
      <c r="G30" s="281"/>
      <c r="H30" s="283">
        <f>H29*H36</f>
        <v>19887.27</v>
      </c>
      <c r="I30" s="281"/>
      <c r="J30" s="281">
        <f>J29*J36</f>
        <v>5279.6058000000003</v>
      </c>
      <c r="K30" s="281"/>
      <c r="L30" s="282">
        <f>L29*L36</f>
        <v>22249.767300000003</v>
      </c>
      <c r="M30" s="281"/>
      <c r="N30" s="284">
        <f>N29*N36</f>
        <v>2262.6882000000001</v>
      </c>
      <c r="O30" s="281"/>
      <c r="P30" s="282">
        <f>P29*P36</f>
        <v>49779.140400000004</v>
      </c>
      <c r="Q30" s="281"/>
      <c r="R30" s="281"/>
      <c r="S30" s="285"/>
      <c r="T30" s="281"/>
      <c r="U30" s="286"/>
      <c r="V30" s="5"/>
    </row>
    <row r="31" spans="1:22" ht="15.6" x14ac:dyDescent="0.3">
      <c r="A31" s="276"/>
      <c r="B31" s="277" t="s">
        <v>143</v>
      </c>
      <c r="C31" s="287"/>
      <c r="D31" s="288">
        <f>D35*D29</f>
        <v>111283.8416</v>
      </c>
      <c r="E31" s="287"/>
      <c r="F31" s="289">
        <f>F35*F29</f>
        <v>114178.508</v>
      </c>
      <c r="G31" s="288"/>
      <c r="H31" s="290">
        <f>H35*H29</f>
        <v>19297.655999999999</v>
      </c>
      <c r="I31" s="288"/>
      <c r="J31" s="288">
        <f>J35*J29</f>
        <v>5123.0774000000001</v>
      </c>
      <c r="K31" s="288"/>
      <c r="L31" s="289">
        <f>L35*L29</f>
        <v>21590.1119</v>
      </c>
      <c r="M31" s="288"/>
      <c r="N31" s="291">
        <f>N35*N29</f>
        <v>2195.6046000000001</v>
      </c>
      <c r="O31" s="288"/>
      <c r="P31" s="289">
        <f>P35*P29</f>
        <v>48303.301199999994</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114683.91439999999</v>
      </c>
      <c r="E33" s="280"/>
      <c r="F33" s="281">
        <f>F32*F36</f>
        <v>81041.089800000002</v>
      </c>
      <c r="G33" s="281"/>
      <c r="H33" s="281">
        <f>H32*H36</f>
        <v>11236.30755</v>
      </c>
      <c r="I33" s="281"/>
      <c r="J33" s="281">
        <f>J32*J36</f>
        <v>5279.6058000000003</v>
      </c>
      <c r="K33" s="281"/>
      <c r="L33" s="281">
        <f>L32*L36</f>
        <v>15310.856820000001</v>
      </c>
      <c r="M33" s="281"/>
      <c r="N33" s="281">
        <f>N32*N36</f>
        <v>2262.6882000000001</v>
      </c>
      <c r="O33" s="281"/>
      <c r="P33" s="281">
        <f>P32*P36</f>
        <v>34166.591820000001</v>
      </c>
      <c r="Q33" s="281"/>
      <c r="R33" s="281"/>
      <c r="S33" s="285"/>
      <c r="T33" s="281">
        <f>SUM(C33:P33)</f>
        <v>263981.05439</v>
      </c>
      <c r="U33" s="286"/>
      <c r="V33" s="5"/>
    </row>
    <row r="34" spans="1:22" ht="15.6" x14ac:dyDescent="0.3">
      <c r="A34" s="276"/>
      <c r="B34" s="277" t="s">
        <v>291</v>
      </c>
      <c r="C34" s="287"/>
      <c r="D34" s="288">
        <f>D35*D32</f>
        <v>111283.8416</v>
      </c>
      <c r="E34" s="287"/>
      <c r="F34" s="288">
        <f>F35*F32</f>
        <v>78638.4372</v>
      </c>
      <c r="G34" s="288"/>
      <c r="H34" s="288">
        <f>H35*H32</f>
        <v>10903.175640000001</v>
      </c>
      <c r="I34" s="288"/>
      <c r="J34" s="288">
        <f>J35*J32</f>
        <v>5123.0774000000001</v>
      </c>
      <c r="K34" s="288"/>
      <c r="L34" s="288">
        <f>L35*L32</f>
        <v>14856.92446</v>
      </c>
      <c r="M34" s="288"/>
      <c r="N34" s="288">
        <f>N35*N32</f>
        <v>2195.6046000000001</v>
      </c>
      <c r="O34" s="288"/>
      <c r="P34" s="288">
        <f>P35*P32</f>
        <v>33153.629459999996</v>
      </c>
      <c r="Q34" s="288"/>
      <c r="R34" s="288"/>
      <c r="S34" s="292"/>
      <c r="T34" s="288">
        <f>SUM(C34:P34)</f>
        <v>256154.69036000001</v>
      </c>
      <c r="U34" s="286"/>
      <c r="V34" s="5"/>
    </row>
    <row r="35" spans="1:22" ht="15.6" x14ac:dyDescent="0.3">
      <c r="A35" s="276"/>
      <c r="B35" s="293" t="s">
        <v>139</v>
      </c>
      <c r="C35" s="294"/>
      <c r="D35" s="295">
        <v>0.32162960000000002</v>
      </c>
      <c r="E35" s="296"/>
      <c r="F35" s="295">
        <v>0.32162960000000002</v>
      </c>
      <c r="G35" s="295"/>
      <c r="H35" s="295">
        <v>0.32162760000000001</v>
      </c>
      <c r="I35" s="297"/>
      <c r="J35" s="295">
        <v>0.73186819999999997</v>
      </c>
      <c r="K35" s="297"/>
      <c r="L35" s="295">
        <v>0.73186819999999997</v>
      </c>
      <c r="M35" s="297"/>
      <c r="N35" s="295">
        <v>0.73186819999999997</v>
      </c>
      <c r="O35" s="297"/>
      <c r="P35" s="295">
        <v>0.73186819999999997</v>
      </c>
      <c r="Q35" s="298"/>
      <c r="R35" s="298"/>
      <c r="S35" s="299"/>
      <c r="T35" s="298"/>
      <c r="U35" s="300"/>
      <c r="V35" s="5"/>
    </row>
    <row r="36" spans="1:22" ht="15.6" x14ac:dyDescent="0.3">
      <c r="A36" s="276"/>
      <c r="B36" s="293" t="s">
        <v>140</v>
      </c>
      <c r="C36" s="294"/>
      <c r="D36" s="295">
        <v>0.33145639999999998</v>
      </c>
      <c r="E36" s="296"/>
      <c r="F36" s="295">
        <v>0.33145639999999998</v>
      </c>
      <c r="G36" s="295"/>
      <c r="H36" s="295">
        <v>0.33145449999999999</v>
      </c>
      <c r="I36" s="297"/>
      <c r="J36" s="295">
        <v>0.75422940000000005</v>
      </c>
      <c r="K36" s="297"/>
      <c r="L36" s="295">
        <v>0.75422940000000005</v>
      </c>
      <c r="M36" s="297"/>
      <c r="N36" s="295">
        <v>0.75422940000000005</v>
      </c>
      <c r="O36" s="297"/>
      <c r="P36" s="295">
        <v>0.75422940000000005</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9.5288000000000005E-3</v>
      </c>
      <c r="E38" s="272"/>
      <c r="F38" s="303">
        <v>1.7700000000000001E-3</v>
      </c>
      <c r="G38" s="304"/>
      <c r="H38" s="303">
        <v>9.7820000000000008E-3</v>
      </c>
      <c r="I38" s="304"/>
      <c r="J38" s="303">
        <v>1.1728799999999999E-2</v>
      </c>
      <c r="K38" s="304"/>
      <c r="L38" s="303">
        <v>3.9699999999999996E-3</v>
      </c>
      <c r="M38" s="304"/>
      <c r="N38" s="303">
        <v>1.6328800000000001E-2</v>
      </c>
      <c r="O38" s="304"/>
      <c r="P38" s="303">
        <v>8.5699999999999995E-3</v>
      </c>
      <c r="Q38" s="304"/>
      <c r="R38" s="303"/>
      <c r="S38" s="274"/>
      <c r="T38" s="304"/>
      <c r="U38" s="275"/>
      <c r="V38" s="5"/>
    </row>
    <row r="39" spans="1:22" ht="15.6" x14ac:dyDescent="0.3">
      <c r="A39" s="302"/>
      <c r="B39" s="272" t="s">
        <v>14</v>
      </c>
      <c r="C39" s="272"/>
      <c r="D39" s="303">
        <v>9.3313000000000007E-3</v>
      </c>
      <c r="E39" s="272"/>
      <c r="F39" s="303">
        <v>2.7899999999999999E-3</v>
      </c>
      <c r="G39" s="304"/>
      <c r="H39" s="303">
        <v>7.2160000000000002E-3</v>
      </c>
      <c r="I39" s="304"/>
      <c r="J39" s="303">
        <v>1.15313E-2</v>
      </c>
      <c r="K39" s="304"/>
      <c r="L39" s="303">
        <v>4.9899999999999996E-3</v>
      </c>
      <c r="M39" s="304"/>
      <c r="N39" s="303">
        <v>1.6131300000000001E-2</v>
      </c>
      <c r="O39" s="304"/>
      <c r="P39" s="303">
        <v>9.5899999999999996E-3</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9.5288000000000005E-3</v>
      </c>
      <c r="E41" s="272"/>
      <c r="F41" s="303">
        <v>9.7287999999999993E-3</v>
      </c>
      <c r="G41" s="304"/>
      <c r="H41" s="303">
        <v>9.9888000000000008E-3</v>
      </c>
      <c r="I41" s="304"/>
      <c r="J41" s="303">
        <f>+J38</f>
        <v>1.1728799999999999E-2</v>
      </c>
      <c r="K41" s="304"/>
      <c r="L41" s="303">
        <v>1.23188E-2</v>
      </c>
      <c r="M41" s="304"/>
      <c r="N41" s="303">
        <f>+N38</f>
        <v>1.6328800000000001E-2</v>
      </c>
      <c r="O41" s="304"/>
      <c r="P41" s="303">
        <v>1.72088E-2</v>
      </c>
      <c r="Q41" s="304"/>
      <c r="R41" s="303"/>
      <c r="S41" s="274"/>
      <c r="T41" s="304">
        <f>SUMPRODUCT(D41:P41,D33:P33)/T33</f>
        <v>1.0867892490842747E-2</v>
      </c>
      <c r="U41" s="275"/>
      <c r="V41" s="5"/>
    </row>
    <row r="42" spans="1:22" ht="15.6" x14ac:dyDescent="0.3">
      <c r="A42" s="302"/>
      <c r="B42" s="272" t="s">
        <v>294</v>
      </c>
      <c r="C42" s="272"/>
      <c r="D42" s="303">
        <f>+D39</f>
        <v>9.3313000000000007E-3</v>
      </c>
      <c r="E42" s="272"/>
      <c r="F42" s="303">
        <v>9.5312999999999995E-3</v>
      </c>
      <c r="G42" s="304"/>
      <c r="H42" s="303">
        <v>9.7912999999999993E-3</v>
      </c>
      <c r="I42" s="304"/>
      <c r="J42" s="303">
        <f>+J39</f>
        <v>1.15313E-2</v>
      </c>
      <c r="K42" s="304"/>
      <c r="L42" s="303">
        <v>1.21213E-2</v>
      </c>
      <c r="M42" s="304"/>
      <c r="N42" s="303">
        <f>+N39</f>
        <v>1.6131300000000001E-2</v>
      </c>
      <c r="O42" s="304"/>
      <c r="P42" s="303">
        <v>1.70113E-2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0.27550907863888607</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42506</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92</v>
      </c>
      <c r="Q54" s="272"/>
      <c r="R54" s="312">
        <v>42324</v>
      </c>
      <c r="S54" s="313"/>
      <c r="T54" s="312">
        <v>42415</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90</v>
      </c>
      <c r="Q55" s="272"/>
      <c r="R55" s="312">
        <v>42416</v>
      </c>
      <c r="S55" s="313"/>
      <c r="T55" s="312">
        <v>42505</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42493</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343</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263981</v>
      </c>
      <c r="M65" s="317"/>
      <c r="N65" s="317">
        <f>7826</f>
        <v>7826</v>
      </c>
      <c r="O65" s="317"/>
      <c r="P65" s="317">
        <v>0</v>
      </c>
      <c r="Q65" s="317"/>
      <c r="R65" s="317">
        <v>0</v>
      </c>
      <c r="S65" s="317"/>
      <c r="T65" s="318">
        <f>+L65-N65+P65-R65</f>
        <v>256155</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263981</v>
      </c>
      <c r="M68" s="317"/>
      <c r="N68" s="317">
        <f>SUM(N65:N67)</f>
        <v>7826</v>
      </c>
      <c r="O68" s="317"/>
      <c r="P68" s="317">
        <f>SUM(P65:P67)</f>
        <v>0</v>
      </c>
      <c r="Q68" s="317"/>
      <c r="R68" s="317">
        <f>SUM(R65:R67)</f>
        <v>0</v>
      </c>
      <c r="S68" s="317"/>
      <c r="T68" s="317">
        <f>SUM(T65:T67)</f>
        <v>256155</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263981</v>
      </c>
      <c r="M81" s="317"/>
      <c r="N81" s="317"/>
      <c r="O81" s="317"/>
      <c r="P81" s="317"/>
      <c r="Q81" s="317"/>
      <c r="R81" s="317"/>
      <c r="S81" s="317"/>
      <c r="T81" s="317">
        <f>SUM(T68:T80)</f>
        <v>256155</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42489</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7826-236</f>
        <v>7590</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1502+583-394-152</f>
        <v>1539</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115+6</f>
        <v>121</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23</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15</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7590</v>
      </c>
      <c r="S93" s="272"/>
      <c r="T93" s="317">
        <f>SUM(T85:T92)</f>
        <v>1698</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122</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7590</v>
      </c>
      <c r="S97" s="272"/>
      <c r="T97" s="317">
        <f>T93+T95+T94+T96</f>
        <v>1820</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-100-60-4</f>
        <v>-164</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0</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-269</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-194</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-28</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-15</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-47</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-9</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-145</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236</v>
      </c>
      <c r="S113" s="272"/>
      <c r="T113" s="318">
        <v>-236</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-99</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-606</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0</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-3400</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-2403</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-333</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-156</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-454</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-67</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-1013</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-7826</v>
      </c>
      <c r="S130" s="317"/>
      <c r="T130" s="317">
        <f>SUM(T98:T128)</f>
        <v>-1820</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APRIL 2016</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400" t="s">
        <v>327</v>
      </c>
      <c r="C153" s="272"/>
      <c r="D153" s="272"/>
      <c r="E153" s="272"/>
      <c r="F153" s="272"/>
      <c r="G153" s="272"/>
      <c r="H153" s="272"/>
      <c r="I153" s="272"/>
      <c r="J153" s="272"/>
      <c r="K153" s="272"/>
      <c r="L153" s="272"/>
      <c r="M153" s="272"/>
      <c r="N153" s="272"/>
      <c r="O153" s="272"/>
      <c r="P153" s="272"/>
      <c r="Q153" s="272"/>
      <c r="R153" s="272"/>
      <c r="S153" s="272"/>
      <c r="T153" s="318">
        <v>0</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236</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236</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-236</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v>0</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256155</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256155</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+'Jan 16'!Q181</f>
        <v>48345</v>
      </c>
      <c r="R179" s="318">
        <f>+'Jan 16'!R181</f>
        <v>2435</v>
      </c>
      <c r="S179" s="272"/>
      <c r="T179" s="318">
        <f>Q179+R179</f>
        <v>50780</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0</v>
      </c>
      <c r="R180" s="317">
        <v>0</v>
      </c>
      <c r="S180" s="272"/>
      <c r="T180" s="318">
        <f>Q180+R180</f>
        <v>0</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48345</v>
      </c>
      <c r="R181" s="318">
        <f>R180+R179</f>
        <v>2435</v>
      </c>
      <c r="S181" s="272"/>
      <c r="T181" s="318">
        <f>Q181+R181</f>
        <v>50780</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61220</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3.3686354378818737</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1.67</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18.758064516129032</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9.33</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7.1493506493506498</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4.16</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APRIL 2016</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42489</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2.3449999999999999E-2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1.0867892490842747E-2</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1.2582107509157251E-2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6.8944355843791787E-3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11.13</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2.9646073012830468E-2</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9.7299999999999998E-2</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1</v>
      </c>
      <c r="R214" s="248">
        <v>77</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40</v>
      </c>
      <c r="R215" s="360">
        <f>+R266</f>
        <v>5569</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236</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'Jan 16'!R221+'April 16'!R220</f>
        <v>4265</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2</v>
      </c>
      <c r="R227" s="360">
        <v>474</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15.98</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2100</v>
      </c>
      <c r="Q233" s="388">
        <f t="shared" ref="Q233:Q240" si="2">P233/$P$242</f>
        <v>0.99762470308788598</v>
      </c>
      <c r="R233" s="318">
        <f t="shared" ref="R233:R240" si="3">+R245+R257+R269</f>
        <v>255460</v>
      </c>
      <c r="S233" s="388">
        <f t="shared" ref="S233:S240" si="4">R233/$R$242</f>
        <v>0.99728679900841288</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1</v>
      </c>
      <c r="Q234" s="388">
        <f t="shared" si="2"/>
        <v>4.7505938242280285E-4</v>
      </c>
      <c r="R234" s="318">
        <f t="shared" si="3"/>
        <v>77</v>
      </c>
      <c r="S234" s="388">
        <f t="shared" si="4"/>
        <v>3.0059924654994048E-4</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1</v>
      </c>
      <c r="Q235" s="388">
        <f t="shared" si="2"/>
        <v>4.7505938242280285E-4</v>
      </c>
      <c r="R235" s="318">
        <f t="shared" si="3"/>
        <v>101</v>
      </c>
      <c r="S235" s="388">
        <f t="shared" si="4"/>
        <v>3.9429251820186995E-4</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0</v>
      </c>
      <c r="Q238" s="388">
        <f t="shared" si="2"/>
        <v>0</v>
      </c>
      <c r="R238" s="318">
        <f t="shared" si="3"/>
        <v>0</v>
      </c>
      <c r="S238" s="388">
        <f t="shared" si="4"/>
        <v>0</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1</v>
      </c>
      <c r="Q239" s="388">
        <f t="shared" si="2"/>
        <v>4.7505938242280285E-4</v>
      </c>
      <c r="R239" s="318">
        <f t="shared" si="3"/>
        <v>173</v>
      </c>
      <c r="S239" s="388">
        <f t="shared" si="4"/>
        <v>6.753723331576584E-4</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2</v>
      </c>
      <c r="Q240" s="388">
        <f t="shared" si="2"/>
        <v>9.501187648456057E-4</v>
      </c>
      <c r="R240" s="318">
        <f t="shared" si="3"/>
        <v>344</v>
      </c>
      <c r="S240" s="388">
        <f t="shared" si="4"/>
        <v>1.3429368936776561E-3</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2105</v>
      </c>
      <c r="Q242" s="388">
        <f>SUM(Q233:Q241)</f>
        <v>0.99999999999999989</v>
      </c>
      <c r="R242" s="318">
        <f>SUM(R233:R241)</f>
        <v>256155</v>
      </c>
      <c r="S242" s="388">
        <f>SUM(S233:S241)</f>
        <v>1</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2064</v>
      </c>
      <c r="Q245" s="250">
        <f t="shared" ref="Q245:Q252" si="5">P245/$P$254</f>
        <v>0.99951573849878939</v>
      </c>
      <c r="R245" s="242">
        <v>250485</v>
      </c>
      <c r="S245" s="250">
        <f t="shared" ref="S245:S252" si="6">R245/$R$254</f>
        <v>0.99959694476147909</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0</v>
      </c>
      <c r="Q246" s="388">
        <f t="shared" si="5"/>
        <v>0</v>
      </c>
      <c r="R246" s="318">
        <v>0</v>
      </c>
      <c r="S246" s="388">
        <f t="shared" si="6"/>
        <v>0</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1</v>
      </c>
      <c r="Q247" s="388">
        <f t="shared" si="5"/>
        <v>4.8426150121065375E-4</v>
      </c>
      <c r="R247" s="318">
        <v>101</v>
      </c>
      <c r="S247" s="388">
        <f t="shared" si="6"/>
        <v>4.03055238520907E-4</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2065</v>
      </c>
      <c r="Q254" s="388">
        <f>SUM(Q245:Q253)</f>
        <v>1</v>
      </c>
      <c r="R254" s="318">
        <f>SUM(R245:R253)</f>
        <v>250586</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36</v>
      </c>
      <c r="Q257" s="250">
        <f t="shared" ref="Q257:Q264" si="7">P257/$P$266</f>
        <v>0.9</v>
      </c>
      <c r="R257" s="242">
        <v>4975</v>
      </c>
      <c r="S257" s="250">
        <f t="shared" ref="S257:S264" si="8">R257/$R$266</f>
        <v>0.89333812174537619</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1</v>
      </c>
      <c r="Q258" s="388">
        <f t="shared" si="7"/>
        <v>2.5000000000000001E-2</v>
      </c>
      <c r="R258" s="318">
        <v>77</v>
      </c>
      <c r="S258" s="388">
        <f t="shared" si="8"/>
        <v>1.382653977374753E-2</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0</v>
      </c>
      <c r="Q259" s="388">
        <f t="shared" si="7"/>
        <v>0</v>
      </c>
      <c r="R259" s="318">
        <v>0</v>
      </c>
      <c r="S259" s="388">
        <f t="shared" si="8"/>
        <v>0</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0</v>
      </c>
      <c r="Q262" s="388">
        <f t="shared" si="7"/>
        <v>0</v>
      </c>
      <c r="R262" s="318">
        <v>0</v>
      </c>
      <c r="S262" s="388">
        <f t="shared" si="8"/>
        <v>0</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1</v>
      </c>
      <c r="Q263" s="388">
        <f t="shared" si="7"/>
        <v>2.5000000000000001E-2</v>
      </c>
      <c r="R263" s="318">
        <v>173</v>
      </c>
      <c r="S263" s="388">
        <f t="shared" si="8"/>
        <v>3.1064823128030168E-2</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2</v>
      </c>
      <c r="Q264" s="388">
        <f t="shared" si="7"/>
        <v>0.05</v>
      </c>
      <c r="R264" s="318">
        <v>344</v>
      </c>
      <c r="S264" s="388">
        <f t="shared" si="8"/>
        <v>6.1770515352846112E-2</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40</v>
      </c>
      <c r="Q266" s="388">
        <f>SUM(Q257:Q265)</f>
        <v>1</v>
      </c>
      <c r="R266" s="318">
        <f>SUM(R257:R265)</f>
        <v>5569</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2105</v>
      </c>
      <c r="Q280" s="388"/>
      <c r="R280" s="396">
        <f>+R278+R266+R254</f>
        <v>256155</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322</v>
      </c>
      <c r="C285" s="220"/>
      <c r="D285" s="220"/>
      <c r="E285" s="220"/>
      <c r="F285" s="256" t="s">
        <v>159</v>
      </c>
      <c r="G285" s="220"/>
      <c r="H285" s="220" t="s">
        <v>167</v>
      </c>
      <c r="I285" s="255"/>
      <c r="J285" s="255"/>
      <c r="K285" s="255"/>
      <c r="L285" s="255"/>
      <c r="M285" s="255"/>
      <c r="N285" s="255"/>
      <c r="O285" s="255"/>
      <c r="P285" s="255"/>
      <c r="Q285" s="255"/>
      <c r="R285" s="255"/>
      <c r="S285" s="255"/>
      <c r="T285" s="255"/>
      <c r="U285" s="192"/>
      <c r="V285" s="5"/>
    </row>
    <row r="286" spans="1:22" ht="15.6" x14ac:dyDescent="0.3">
      <c r="A286" s="254"/>
      <c r="B286" s="220" t="s">
        <v>323</v>
      </c>
      <c r="C286" s="220"/>
      <c r="D286" s="220"/>
      <c r="E286" s="220"/>
      <c r="F286" s="256" t="s">
        <v>274</v>
      </c>
      <c r="G286" s="220"/>
      <c r="H286" s="220" t="s">
        <v>275</v>
      </c>
      <c r="I286" s="255"/>
      <c r="J286" s="255"/>
      <c r="K286" s="255"/>
      <c r="L286" s="255"/>
      <c r="M286" s="255"/>
      <c r="N286" s="255"/>
      <c r="O286" s="255"/>
      <c r="P286" s="255"/>
      <c r="Q286" s="255"/>
      <c r="R286" s="255"/>
      <c r="S286" s="255"/>
      <c r="T286" s="255"/>
      <c r="U286" s="192"/>
      <c r="V286" s="5"/>
    </row>
    <row r="287" spans="1:22" ht="15.6" x14ac:dyDescent="0.3">
      <c r="A287" s="254"/>
      <c r="B287" s="220" t="s">
        <v>324</v>
      </c>
      <c r="C287" s="220"/>
      <c r="D287" s="220"/>
      <c r="E287" s="220"/>
      <c r="F287" s="256" t="s">
        <v>158</v>
      </c>
      <c r="G287" s="220"/>
      <c r="H287" s="220" t="s">
        <v>168</v>
      </c>
      <c r="I287" s="255"/>
      <c r="J287" s="255"/>
      <c r="K287" s="255"/>
      <c r="L287" s="255"/>
      <c r="M287" s="255"/>
      <c r="N287" s="255"/>
      <c r="O287" s="255"/>
      <c r="P287" s="255"/>
      <c r="Q287" s="255"/>
      <c r="R287" s="255"/>
      <c r="S287" s="255"/>
      <c r="T287" s="255"/>
      <c r="U287" s="192"/>
      <c r="V287" s="5"/>
    </row>
    <row r="288" spans="1:22" ht="15.6" x14ac:dyDescent="0.3">
      <c r="A288" s="254"/>
      <c r="B288" s="220"/>
      <c r="C288" s="220"/>
      <c r="D288" s="220"/>
      <c r="E288" s="220"/>
      <c r="F288" s="220"/>
      <c r="G288" s="257"/>
      <c r="H288" s="255"/>
      <c r="I288" s="255"/>
      <c r="J288" s="255"/>
      <c r="K288" s="255"/>
      <c r="L288" s="255"/>
      <c r="M288" s="255"/>
      <c r="N288" s="255"/>
      <c r="O288" s="255"/>
      <c r="P288" s="255"/>
      <c r="Q288" s="255"/>
      <c r="R288" s="255"/>
      <c r="S288" s="255"/>
      <c r="T288" s="255"/>
      <c r="U288" s="192"/>
      <c r="V288" s="5"/>
    </row>
    <row r="289" spans="1:22" ht="15.6" x14ac:dyDescent="0.3">
      <c r="A289" s="216"/>
      <c r="B289" s="185"/>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ht="18" thickBot="1" x14ac:dyDescent="0.35">
      <c r="A290" s="216"/>
      <c r="B290" s="267" t="str">
        <f>B195</f>
        <v>PM9 INVESTOR REPORT QUARTER ENDING APRIL 2016</v>
      </c>
      <c r="C290" s="185"/>
      <c r="D290" s="185"/>
      <c r="E290" s="185"/>
      <c r="F290" s="185"/>
      <c r="G290" s="217"/>
      <c r="H290" s="192"/>
      <c r="I290" s="192"/>
      <c r="J290" s="192"/>
      <c r="K290" s="192"/>
      <c r="L290" s="192"/>
      <c r="M290" s="192"/>
      <c r="N290" s="192"/>
      <c r="O290" s="192"/>
      <c r="P290" s="192"/>
      <c r="Q290" s="192"/>
      <c r="R290" s="192"/>
      <c r="S290" s="192"/>
      <c r="T290" s="192"/>
      <c r="U290" s="192"/>
      <c r="V290" s="5"/>
    </row>
    <row r="291" spans="1:22" x14ac:dyDescent="0.25">
      <c r="A291" s="101"/>
      <c r="B291" s="101"/>
      <c r="C291" s="101"/>
      <c r="D291" s="101"/>
      <c r="E291" s="101"/>
      <c r="F291" s="101"/>
      <c r="G291" s="101"/>
      <c r="H291" s="101"/>
      <c r="I291" s="101"/>
      <c r="J291" s="101"/>
      <c r="K291" s="101"/>
      <c r="L291" s="101"/>
      <c r="M291" s="101"/>
      <c r="N291" s="101"/>
      <c r="O291" s="101"/>
      <c r="P291" s="101"/>
      <c r="Q291" s="101"/>
      <c r="R291" s="101"/>
      <c r="S291" s="101"/>
      <c r="T291" s="101"/>
      <c r="U291" s="101"/>
    </row>
  </sheetData>
  <hyperlinks>
    <hyperlink ref="J9" r:id="rId1" xr:uid="{00000000-0004-0000-2A00-000000000000}"/>
    <hyperlink ref="N230" r:id="rId2" xr:uid="{00000000-0004-0000-2A00-000001000000}"/>
  </hyperlinks>
  <printOptions horizontalCentered="1" verticalCentered="1"/>
  <pageMargins left="0.19685039370078741" right="0.19685039370078741" top="0.27559055118110237" bottom="0.27559055118110237" header="0" footer="0"/>
  <pageSetup scale="41" orientation="landscape" r:id="rId3"/>
  <headerFooter alignWithMargins="0"/>
  <rowBreaks count="3" manualBreakCount="3">
    <brk id="61" max="20" man="1"/>
    <brk id="134" max="20" man="1"/>
    <brk id="195" max="20" man="1"/>
  </rowBreaks>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2D2926"/>
  </sheetPr>
  <dimension ref="A1:W291"/>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0.72909999999999997</v>
      </c>
      <c r="R16" s="225" t="s">
        <v>149</v>
      </c>
      <c r="S16" s="224">
        <v>0.27089999999999997</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42600</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329</v>
      </c>
      <c r="E25" s="398"/>
      <c r="F25" s="398" t="s">
        <v>329</v>
      </c>
      <c r="G25" s="398"/>
      <c r="H25" s="398" t="s">
        <v>329</v>
      </c>
      <c r="I25" s="398"/>
      <c r="J25" s="398" t="s">
        <v>330</v>
      </c>
      <c r="K25" s="398"/>
      <c r="L25" s="398" t="s">
        <v>330</v>
      </c>
      <c r="M25" s="398"/>
      <c r="N25" s="398" t="s">
        <v>340</v>
      </c>
      <c r="O25" s="398"/>
      <c r="P25" s="398" t="s">
        <v>340</v>
      </c>
      <c r="Q25" s="398"/>
      <c r="R25" s="273"/>
      <c r="S25" s="274"/>
      <c r="T25" s="274"/>
      <c r="U25" s="275"/>
      <c r="V25" s="5"/>
    </row>
    <row r="26" spans="1:22" ht="15.6" x14ac:dyDescent="0.3">
      <c r="A26" s="276"/>
      <c r="B26" s="277" t="s">
        <v>10</v>
      </c>
      <c r="C26" s="398"/>
      <c r="D26" s="398" t="s">
        <v>339</v>
      </c>
      <c r="E26" s="398"/>
      <c r="F26" s="398" t="s">
        <v>339</v>
      </c>
      <c r="G26" s="398"/>
      <c r="H26" s="398" t="s">
        <v>339</v>
      </c>
      <c r="I26" s="398"/>
      <c r="J26" s="398" t="s">
        <v>339</v>
      </c>
      <c r="K26" s="398"/>
      <c r="L26" s="398" t="s">
        <v>339</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111283.8416</v>
      </c>
      <c r="E30" s="280"/>
      <c r="F30" s="282">
        <f>F29*F36</f>
        <v>114178.508</v>
      </c>
      <c r="G30" s="281"/>
      <c r="H30" s="283">
        <f>H29*H36</f>
        <v>19297.655999999999</v>
      </c>
      <c r="I30" s="281"/>
      <c r="J30" s="281">
        <f>J29*J36</f>
        <v>5123.0774000000001</v>
      </c>
      <c r="K30" s="281"/>
      <c r="L30" s="282">
        <f>L29*L36</f>
        <v>21590.1119</v>
      </c>
      <c r="M30" s="281"/>
      <c r="N30" s="284">
        <f>N29*N36</f>
        <v>2195.6046000000001</v>
      </c>
      <c r="O30" s="281"/>
      <c r="P30" s="282">
        <f>P29*P36</f>
        <v>48303.301199999994</v>
      </c>
      <c r="Q30" s="281"/>
      <c r="R30" s="281"/>
      <c r="S30" s="285"/>
      <c r="T30" s="281"/>
      <c r="U30" s="286"/>
      <c r="V30" s="5"/>
    </row>
    <row r="31" spans="1:22" ht="15.6" x14ac:dyDescent="0.3">
      <c r="A31" s="276"/>
      <c r="B31" s="277" t="s">
        <v>143</v>
      </c>
      <c r="C31" s="287"/>
      <c r="D31" s="288">
        <f>D35*D29</f>
        <v>110110.41720000001</v>
      </c>
      <c r="E31" s="287"/>
      <c r="F31" s="289">
        <f>F35*F29</f>
        <v>112974.56100000002</v>
      </c>
      <c r="G31" s="288"/>
      <c r="H31" s="290">
        <f>H35*H29</f>
        <v>19094.172000000002</v>
      </c>
      <c r="I31" s="288"/>
      <c r="J31" s="288">
        <f>J35*J29</f>
        <v>5069.0569999999998</v>
      </c>
      <c r="K31" s="288"/>
      <c r="L31" s="289">
        <f>L35*L29</f>
        <v>21362.4545</v>
      </c>
      <c r="M31" s="288"/>
      <c r="N31" s="291">
        <f>N35*N29</f>
        <v>2172.453</v>
      </c>
      <c r="O31" s="288"/>
      <c r="P31" s="289">
        <f>P35*P29</f>
        <v>47793.966</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111283.8416</v>
      </c>
      <c r="E33" s="280"/>
      <c r="F33" s="281">
        <f>F32*F36</f>
        <v>78638.4372</v>
      </c>
      <c r="G33" s="281"/>
      <c r="H33" s="281">
        <f>H32*H36</f>
        <v>10903.175640000001</v>
      </c>
      <c r="I33" s="281"/>
      <c r="J33" s="281">
        <f>J32*J36</f>
        <v>5123.0774000000001</v>
      </c>
      <c r="K33" s="281"/>
      <c r="L33" s="281">
        <f>L32*L36</f>
        <v>14856.92446</v>
      </c>
      <c r="M33" s="281"/>
      <c r="N33" s="281">
        <f>N32*N36</f>
        <v>2195.6046000000001</v>
      </c>
      <c r="O33" s="281"/>
      <c r="P33" s="281">
        <f>P32*P36</f>
        <v>33153.629459999996</v>
      </c>
      <c r="Q33" s="281"/>
      <c r="R33" s="281"/>
      <c r="S33" s="285"/>
      <c r="T33" s="281">
        <f>SUM(C33:P33)</f>
        <v>256154.69036000001</v>
      </c>
      <c r="U33" s="286"/>
      <c r="V33" s="5"/>
    </row>
    <row r="34" spans="1:22" ht="15.6" x14ac:dyDescent="0.3">
      <c r="A34" s="276"/>
      <c r="B34" s="277" t="s">
        <v>291</v>
      </c>
      <c r="C34" s="287"/>
      <c r="D34" s="288">
        <f>D35*D32</f>
        <v>110110.41720000001</v>
      </c>
      <c r="E34" s="287"/>
      <c r="F34" s="288">
        <f>F35*F32</f>
        <v>77809.2399</v>
      </c>
      <c r="G34" s="288"/>
      <c r="H34" s="288">
        <f>H35*H32</f>
        <v>10788.207180000001</v>
      </c>
      <c r="I34" s="288"/>
      <c r="J34" s="288">
        <f>J35*J32</f>
        <v>5069.0569999999998</v>
      </c>
      <c r="K34" s="288"/>
      <c r="L34" s="288">
        <f>L35*L32</f>
        <v>14700.265299999999</v>
      </c>
      <c r="M34" s="288"/>
      <c r="N34" s="288">
        <f>N35*N32</f>
        <v>2172.453</v>
      </c>
      <c r="O34" s="288"/>
      <c r="P34" s="288">
        <f>P35*P32</f>
        <v>32804.040300000001</v>
      </c>
      <c r="Q34" s="288"/>
      <c r="R34" s="288"/>
      <c r="S34" s="292"/>
      <c r="T34" s="288">
        <f>SUM(C34:P34)</f>
        <v>253453.67988000001</v>
      </c>
      <c r="U34" s="286"/>
      <c r="V34" s="5"/>
    </row>
    <row r="35" spans="1:22" ht="15.6" x14ac:dyDescent="0.3">
      <c r="A35" s="276"/>
      <c r="B35" s="293" t="s">
        <v>139</v>
      </c>
      <c r="C35" s="294"/>
      <c r="D35" s="295">
        <v>0.31823820000000003</v>
      </c>
      <c r="E35" s="296"/>
      <c r="F35" s="295">
        <v>0.31823820000000003</v>
      </c>
      <c r="G35" s="295"/>
      <c r="H35" s="295">
        <v>0.31823620000000002</v>
      </c>
      <c r="I35" s="297"/>
      <c r="J35" s="295">
        <v>0.72415099999999999</v>
      </c>
      <c r="K35" s="297"/>
      <c r="L35" s="295">
        <v>0.72415099999999999</v>
      </c>
      <c r="M35" s="297"/>
      <c r="N35" s="295">
        <v>0.72415099999999999</v>
      </c>
      <c r="O35" s="297"/>
      <c r="P35" s="295">
        <v>0.72415099999999999</v>
      </c>
      <c r="Q35" s="298"/>
      <c r="R35" s="298"/>
      <c r="S35" s="299"/>
      <c r="T35" s="298"/>
      <c r="U35" s="300"/>
      <c r="V35" s="5"/>
    </row>
    <row r="36" spans="1:22" ht="15.6" x14ac:dyDescent="0.3">
      <c r="A36" s="276"/>
      <c r="B36" s="293" t="s">
        <v>140</v>
      </c>
      <c r="C36" s="294"/>
      <c r="D36" s="295">
        <v>0.32162960000000002</v>
      </c>
      <c r="E36" s="296"/>
      <c r="F36" s="295">
        <v>0.32162960000000002</v>
      </c>
      <c r="G36" s="295"/>
      <c r="H36" s="295">
        <v>0.32162760000000001</v>
      </c>
      <c r="I36" s="297"/>
      <c r="J36" s="295">
        <v>0.73186819999999997</v>
      </c>
      <c r="K36" s="297"/>
      <c r="L36" s="295">
        <v>0.73186819999999997</v>
      </c>
      <c r="M36" s="297"/>
      <c r="N36" s="295">
        <v>0.73186819999999997</v>
      </c>
      <c r="O36" s="297"/>
      <c r="P36" s="295">
        <v>0.73186819999999997</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9.5075000000000003E-3</v>
      </c>
      <c r="E38" s="272"/>
      <c r="F38" s="303">
        <v>1.0200000000000001E-3</v>
      </c>
      <c r="G38" s="304"/>
      <c r="H38" s="303">
        <v>9.861E-3</v>
      </c>
      <c r="I38" s="304"/>
      <c r="J38" s="303">
        <v>1.1707499999999999E-2</v>
      </c>
      <c r="K38" s="304"/>
      <c r="L38" s="303">
        <v>3.2200000000000002E-3</v>
      </c>
      <c r="M38" s="304"/>
      <c r="N38" s="303">
        <v>1.6307499999999999E-2</v>
      </c>
      <c r="O38" s="304"/>
      <c r="P38" s="303">
        <v>7.8200000000000006E-3</v>
      </c>
      <c r="Q38" s="304"/>
      <c r="R38" s="303"/>
      <c r="S38" s="274"/>
      <c r="T38" s="304"/>
      <c r="U38" s="275"/>
      <c r="V38" s="5"/>
    </row>
    <row r="39" spans="1:22" ht="15.6" x14ac:dyDescent="0.3">
      <c r="A39" s="302"/>
      <c r="B39" s="272" t="s">
        <v>14</v>
      </c>
      <c r="C39" s="272"/>
      <c r="D39" s="303">
        <v>9.5288000000000005E-3</v>
      </c>
      <c r="E39" s="272"/>
      <c r="F39" s="303">
        <v>1.7700000000000001E-3</v>
      </c>
      <c r="G39" s="304"/>
      <c r="H39" s="303">
        <v>9.7820000000000008E-3</v>
      </c>
      <c r="I39" s="304"/>
      <c r="J39" s="303">
        <v>1.1728799999999999E-2</v>
      </c>
      <c r="K39" s="304"/>
      <c r="L39" s="303">
        <v>3.9699999999999996E-3</v>
      </c>
      <c r="M39" s="304"/>
      <c r="N39" s="303">
        <v>1.6328800000000001E-2</v>
      </c>
      <c r="O39" s="304"/>
      <c r="P39" s="303">
        <v>8.5699999999999995E-3</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9.5075000000000003E-3</v>
      </c>
      <c r="E41" s="272"/>
      <c r="F41" s="303">
        <v>9.7075000000000009E-3</v>
      </c>
      <c r="G41" s="304"/>
      <c r="H41" s="303">
        <v>9.9675000000000007E-3</v>
      </c>
      <c r="I41" s="304"/>
      <c r="J41" s="303">
        <f>+J38</f>
        <v>1.1707499999999999E-2</v>
      </c>
      <c r="K41" s="304"/>
      <c r="L41" s="303">
        <v>1.2297499999999999E-2</v>
      </c>
      <c r="M41" s="304"/>
      <c r="N41" s="303">
        <f>+N38</f>
        <v>1.6307499999999999E-2</v>
      </c>
      <c r="O41" s="304"/>
      <c r="P41" s="303">
        <v>1.7187500000000001E-2</v>
      </c>
      <c r="Q41" s="304"/>
      <c r="R41" s="303"/>
      <c r="S41" s="274"/>
      <c r="T41" s="304">
        <f>SUMPRODUCT(D41:P41,D33:P33)/T33</f>
        <v>1.0846592104105246E-2</v>
      </c>
      <c r="U41" s="275"/>
      <c r="V41" s="5"/>
    </row>
    <row r="42" spans="1:22" ht="15.6" x14ac:dyDescent="0.3">
      <c r="A42" s="302"/>
      <c r="B42" s="272" t="s">
        <v>294</v>
      </c>
      <c r="C42" s="272"/>
      <c r="D42" s="303">
        <f>+D39</f>
        <v>9.5288000000000005E-3</v>
      </c>
      <c r="E42" s="272"/>
      <c r="F42" s="303">
        <v>9.7287999999999993E-3</v>
      </c>
      <c r="G42" s="304"/>
      <c r="H42" s="303">
        <v>9.9888000000000008E-3</v>
      </c>
      <c r="I42" s="304"/>
      <c r="J42" s="303">
        <f>+J39</f>
        <v>1.1728799999999999E-2</v>
      </c>
      <c r="K42" s="304"/>
      <c r="L42" s="303">
        <v>1.23188E-2</v>
      </c>
      <c r="M42" s="304"/>
      <c r="N42" s="303">
        <f>+N39</f>
        <v>1.6328800000000001E-2</v>
      </c>
      <c r="O42" s="304"/>
      <c r="P42" s="303">
        <v>1.72088E-2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0.27550905344570292</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42597</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90</v>
      </c>
      <c r="Q54" s="272"/>
      <c r="R54" s="312">
        <v>42416</v>
      </c>
      <c r="S54" s="313"/>
      <c r="T54" s="312">
        <v>42505</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91</v>
      </c>
      <c r="Q55" s="272"/>
      <c r="R55" s="312">
        <v>42506</v>
      </c>
      <c r="S55" s="313"/>
      <c r="T55" s="312">
        <v>42596</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42583</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344</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256155</v>
      </c>
      <c r="M65" s="317"/>
      <c r="N65" s="317">
        <f>2701+32</f>
        <v>2733</v>
      </c>
      <c r="O65" s="317"/>
      <c r="P65" s="317">
        <v>32</v>
      </c>
      <c r="Q65" s="317"/>
      <c r="R65" s="317">
        <v>0</v>
      </c>
      <c r="S65" s="317"/>
      <c r="T65" s="318">
        <f>+L65-N65+P65-R65</f>
        <v>253454</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256155</v>
      </c>
      <c r="M68" s="317"/>
      <c r="N68" s="317">
        <f>SUM(N65:N67)</f>
        <v>2733</v>
      </c>
      <c r="O68" s="317"/>
      <c r="P68" s="317">
        <f>SUM(P65:P67)</f>
        <v>32</v>
      </c>
      <c r="Q68" s="317"/>
      <c r="R68" s="317">
        <f>SUM(R65:R67)</f>
        <v>0</v>
      </c>
      <c r="S68" s="317"/>
      <c r="T68" s="317">
        <f>SUM(T65:T67)</f>
        <v>253454</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256155</v>
      </c>
      <c r="M81" s="317"/>
      <c r="N81" s="317"/>
      <c r="O81" s="317"/>
      <c r="P81" s="317"/>
      <c r="Q81" s="317"/>
      <c r="R81" s="317"/>
      <c r="S81" s="317"/>
      <c r="T81" s="317">
        <f>SUM(T68:T80)</f>
        <v>253454</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42580</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2733-36</f>
        <v>2697</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1442+582-487-153+24</f>
        <v>1408</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108+3</f>
        <v>111</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21</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28</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2697</v>
      </c>
      <c r="S93" s="272"/>
      <c r="T93" s="317">
        <f>SUM(T85:T92)</f>
        <v>1568</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-30</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2697</v>
      </c>
      <c r="S97" s="272"/>
      <c r="T97" s="317">
        <f>T93+T95+T94+T96</f>
        <v>1538</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-99-78-4</f>
        <v>-181</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0</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-264</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-190</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-27</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-15</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-46</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-9</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-142</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36</v>
      </c>
      <c r="S113" s="272"/>
      <c r="T113" s="318">
        <v>-36</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-99</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-521</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-32</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-1173</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-829</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-115</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-54</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-157</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-23</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-350</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-2733</v>
      </c>
      <c r="S130" s="317"/>
      <c r="T130" s="317">
        <f>SUM(T98:T128)</f>
        <v>-1538</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JULY 2016</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400" t="s">
        <v>327</v>
      </c>
      <c r="C153" s="272"/>
      <c r="D153" s="272"/>
      <c r="E153" s="272"/>
      <c r="F153" s="272"/>
      <c r="G153" s="272"/>
      <c r="H153" s="272"/>
      <c r="I153" s="272"/>
      <c r="J153" s="272"/>
      <c r="K153" s="272"/>
      <c r="L153" s="272"/>
      <c r="M153" s="272"/>
      <c r="N153" s="272"/>
      <c r="O153" s="272"/>
      <c r="P153" s="272"/>
      <c r="Q153" s="272"/>
      <c r="R153" s="272"/>
      <c r="S153" s="272"/>
      <c r="T153" s="318">
        <v>0</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36</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36</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-36</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f>-T96</f>
        <v>30</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253454</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253454</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+'April 16'!Q181</f>
        <v>48345</v>
      </c>
      <c r="R179" s="318">
        <f>+'April 16'!R181</f>
        <v>2435</v>
      </c>
      <c r="S179" s="272"/>
      <c r="T179" s="318">
        <f>Q179+R179</f>
        <v>50780</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32</v>
      </c>
      <c r="R180" s="317">
        <v>0</v>
      </c>
      <c r="S180" s="272"/>
      <c r="T180" s="318">
        <f>Q180+R180</f>
        <v>32</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48377</v>
      </c>
      <c r="R181" s="318">
        <f>R180+R179</f>
        <v>2435</v>
      </c>
      <c r="S181" s="272"/>
      <c r="T181" s="318">
        <f>Q181+R181</f>
        <v>50812</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61188</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2.817047817047817</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1.67</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14.327868852459016</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9.3699999999999992</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5.3841059602649004</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4.17</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JULY 2016</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42580</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2.3390000000000001E-2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1.0846592104105246E-2</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1.2543407895894755E-2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6.0041771583611483E-3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10.92</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1.0669321309363471E-2</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9.6100000000000005E-2</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1</v>
      </c>
      <c r="R214" s="248">
        <v>77</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40</v>
      </c>
      <c r="R215" s="360">
        <f>+R266</f>
        <v>5478</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36</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'April 16'!R221+'July 16'!R220</f>
        <v>4301</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1</v>
      </c>
      <c r="R227" s="360">
        <v>115</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15.08</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2069</v>
      </c>
      <c r="Q233" s="388">
        <f t="shared" ref="Q233:Q240" si="2">P233/$P$242</f>
        <v>0.99614829080404432</v>
      </c>
      <c r="R233" s="318">
        <f t="shared" ref="R233:R240" si="3">+R245+R257+R269</f>
        <v>252537</v>
      </c>
      <c r="S233" s="388">
        <f t="shared" ref="S233:S240" si="4">R233/$R$242</f>
        <v>0.99638198647486331</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4</v>
      </c>
      <c r="Q234" s="388">
        <f t="shared" si="2"/>
        <v>1.9258545979778526E-3</v>
      </c>
      <c r="R234" s="318">
        <f t="shared" si="3"/>
        <v>371</v>
      </c>
      <c r="S234" s="388">
        <f t="shared" si="4"/>
        <v>1.4637764643682877E-3</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1</v>
      </c>
      <c r="Q235" s="388">
        <f t="shared" si="2"/>
        <v>4.8146364949446316E-4</v>
      </c>
      <c r="R235" s="318">
        <f t="shared" si="3"/>
        <v>24</v>
      </c>
      <c r="S235" s="388">
        <f t="shared" si="4"/>
        <v>9.469173893487575E-5</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1</v>
      </c>
      <c r="Q236" s="388">
        <f t="shared" si="2"/>
        <v>4.8146364949446316E-4</v>
      </c>
      <c r="R236" s="318">
        <f t="shared" si="3"/>
        <v>120</v>
      </c>
      <c r="S236" s="388">
        <f t="shared" si="4"/>
        <v>4.7345869467437879E-4</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0</v>
      </c>
      <c r="Q238" s="388">
        <f t="shared" si="2"/>
        <v>0</v>
      </c>
      <c r="R238" s="318">
        <f t="shared" si="3"/>
        <v>0</v>
      </c>
      <c r="S238" s="388">
        <f t="shared" si="4"/>
        <v>0</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1</v>
      </c>
      <c r="Q239" s="388">
        <f t="shared" si="2"/>
        <v>4.8146364949446316E-4</v>
      </c>
      <c r="R239" s="318">
        <f t="shared" si="3"/>
        <v>173</v>
      </c>
      <c r="S239" s="388">
        <f t="shared" si="4"/>
        <v>6.8256961815556271E-4</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1</v>
      </c>
      <c r="Q240" s="388">
        <f t="shared" si="2"/>
        <v>4.8146364949446316E-4</v>
      </c>
      <c r="R240" s="318">
        <f t="shared" si="3"/>
        <v>229</v>
      </c>
      <c r="S240" s="388">
        <f t="shared" si="4"/>
        <v>9.0351700900360619E-4</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2077</v>
      </c>
      <c r="Q242" s="388">
        <f>SUM(Q233:Q241)</f>
        <v>0.99999999999999989</v>
      </c>
      <c r="R242" s="318">
        <f>SUM(R233:R241)</f>
        <v>253454</v>
      </c>
      <c r="S242" s="388">
        <f>SUM(S233:S241)</f>
        <v>1</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2034</v>
      </c>
      <c r="Q245" s="250">
        <f t="shared" ref="Q245:Q252" si="5">P245/$P$254</f>
        <v>0.99852724594992637</v>
      </c>
      <c r="R245" s="242">
        <v>247682</v>
      </c>
      <c r="S245" s="250">
        <f t="shared" ref="S245:S252" si="6">R245/$R$254</f>
        <v>0.99881440139368327</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3</v>
      </c>
      <c r="Q246" s="388">
        <f t="shared" si="5"/>
        <v>1.4727540500736377E-3</v>
      </c>
      <c r="R246" s="318">
        <v>294</v>
      </c>
      <c r="S246" s="388">
        <f t="shared" si="6"/>
        <v>1.1855986063167403E-3</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2037</v>
      </c>
      <c r="Q254" s="388">
        <f>SUM(Q245:Q253)</f>
        <v>1</v>
      </c>
      <c r="R254" s="318">
        <f>SUM(R245:R253)</f>
        <v>247976</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35</v>
      </c>
      <c r="Q257" s="250">
        <f t="shared" ref="Q257:Q264" si="7">P257/$P$266</f>
        <v>0.875</v>
      </c>
      <c r="R257" s="242">
        <v>4855</v>
      </c>
      <c r="S257" s="250">
        <f t="shared" ref="S257:S264" si="8">R257/$R$266</f>
        <v>0.8862723621759766</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1</v>
      </c>
      <c r="Q258" s="388">
        <f t="shared" si="7"/>
        <v>2.5000000000000001E-2</v>
      </c>
      <c r="R258" s="318">
        <v>77</v>
      </c>
      <c r="S258" s="388">
        <f t="shared" si="8"/>
        <v>1.4056224899598393E-2</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1</v>
      </c>
      <c r="Q259" s="388">
        <f t="shared" si="7"/>
        <v>2.5000000000000001E-2</v>
      </c>
      <c r="R259" s="318">
        <v>24</v>
      </c>
      <c r="S259" s="388">
        <f t="shared" si="8"/>
        <v>4.3811610076670317E-3</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1</v>
      </c>
      <c r="Q260" s="388">
        <f t="shared" si="7"/>
        <v>2.5000000000000001E-2</v>
      </c>
      <c r="R260" s="318">
        <v>120</v>
      </c>
      <c r="S260" s="388">
        <f t="shared" si="8"/>
        <v>2.1905805038335158E-2</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0</v>
      </c>
      <c r="Q262" s="388">
        <f t="shared" si="7"/>
        <v>0</v>
      </c>
      <c r="R262" s="318">
        <v>0</v>
      </c>
      <c r="S262" s="388">
        <f t="shared" si="8"/>
        <v>0</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1</v>
      </c>
      <c r="Q263" s="388">
        <f t="shared" si="7"/>
        <v>2.5000000000000001E-2</v>
      </c>
      <c r="R263" s="318">
        <v>173</v>
      </c>
      <c r="S263" s="388">
        <f t="shared" si="8"/>
        <v>3.1580868930266522E-2</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1</v>
      </c>
      <c r="Q264" s="388">
        <f t="shared" si="7"/>
        <v>2.5000000000000001E-2</v>
      </c>
      <c r="R264" s="318">
        <v>229</v>
      </c>
      <c r="S264" s="388">
        <f t="shared" si="8"/>
        <v>4.1803577948156263E-2</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40</v>
      </c>
      <c r="Q266" s="388">
        <f>SUM(Q257:Q265)</f>
        <v>1</v>
      </c>
      <c r="R266" s="318">
        <f>SUM(R257:R265)</f>
        <v>5478</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2077</v>
      </c>
      <c r="Q280" s="388"/>
      <c r="R280" s="396">
        <f>+R278+R266+R254</f>
        <v>253454</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322</v>
      </c>
      <c r="C285" s="220"/>
      <c r="D285" s="220"/>
      <c r="E285" s="220"/>
      <c r="F285" s="256" t="s">
        <v>159</v>
      </c>
      <c r="G285" s="220"/>
      <c r="H285" s="220" t="s">
        <v>167</v>
      </c>
      <c r="I285" s="255"/>
      <c r="J285" s="255"/>
      <c r="K285" s="255"/>
      <c r="L285" s="255"/>
      <c r="M285" s="255"/>
      <c r="N285" s="255"/>
      <c r="O285" s="255"/>
      <c r="P285" s="255"/>
      <c r="Q285" s="255"/>
      <c r="R285" s="255"/>
      <c r="S285" s="255"/>
      <c r="T285" s="255"/>
      <c r="U285" s="192"/>
      <c r="V285" s="5"/>
    </row>
    <row r="286" spans="1:22" ht="15.6" x14ac:dyDescent="0.3">
      <c r="A286" s="254"/>
      <c r="B286" s="220" t="s">
        <v>323</v>
      </c>
      <c r="C286" s="220"/>
      <c r="D286" s="220"/>
      <c r="E286" s="220"/>
      <c r="F286" s="256" t="s">
        <v>274</v>
      </c>
      <c r="G286" s="220"/>
      <c r="H286" s="220" t="s">
        <v>275</v>
      </c>
      <c r="I286" s="255"/>
      <c r="J286" s="255"/>
      <c r="K286" s="255"/>
      <c r="L286" s="255"/>
      <c r="M286" s="255"/>
      <c r="N286" s="255"/>
      <c r="O286" s="255"/>
      <c r="P286" s="255"/>
      <c r="Q286" s="255"/>
      <c r="R286" s="255"/>
      <c r="S286" s="255"/>
      <c r="T286" s="255"/>
      <c r="U286" s="192"/>
      <c r="V286" s="5"/>
    </row>
    <row r="287" spans="1:22" ht="15.6" x14ac:dyDescent="0.3">
      <c r="A287" s="254"/>
      <c r="B287" s="220" t="s">
        <v>324</v>
      </c>
      <c r="C287" s="220"/>
      <c r="D287" s="220"/>
      <c r="E287" s="220"/>
      <c r="F287" s="256" t="s">
        <v>158</v>
      </c>
      <c r="G287" s="220"/>
      <c r="H287" s="220" t="s">
        <v>168</v>
      </c>
      <c r="I287" s="255"/>
      <c r="J287" s="255"/>
      <c r="K287" s="255"/>
      <c r="L287" s="255"/>
      <c r="M287" s="255"/>
      <c r="N287" s="255"/>
      <c r="O287" s="255"/>
      <c r="P287" s="255"/>
      <c r="Q287" s="255"/>
      <c r="R287" s="255"/>
      <c r="S287" s="255"/>
      <c r="T287" s="255"/>
      <c r="U287" s="192"/>
      <c r="V287" s="5"/>
    </row>
    <row r="288" spans="1:22" ht="15.6" x14ac:dyDescent="0.3">
      <c r="A288" s="254"/>
      <c r="B288" s="220"/>
      <c r="C288" s="220"/>
      <c r="D288" s="220"/>
      <c r="E288" s="220"/>
      <c r="F288" s="220"/>
      <c r="G288" s="257"/>
      <c r="H288" s="255"/>
      <c r="I288" s="255"/>
      <c r="J288" s="255"/>
      <c r="K288" s="255"/>
      <c r="L288" s="255"/>
      <c r="M288" s="255"/>
      <c r="N288" s="255"/>
      <c r="O288" s="255"/>
      <c r="P288" s="255"/>
      <c r="Q288" s="255"/>
      <c r="R288" s="255"/>
      <c r="S288" s="255"/>
      <c r="T288" s="255"/>
      <c r="U288" s="192"/>
      <c r="V288" s="5"/>
    </row>
    <row r="289" spans="1:22" ht="15.6" x14ac:dyDescent="0.3">
      <c r="A289" s="216"/>
      <c r="B289" s="185"/>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ht="18" thickBot="1" x14ac:dyDescent="0.35">
      <c r="A290" s="216"/>
      <c r="B290" s="267" t="str">
        <f>B195</f>
        <v>PM9 INVESTOR REPORT QUARTER ENDING JULY 2016</v>
      </c>
      <c r="C290" s="185"/>
      <c r="D290" s="185"/>
      <c r="E290" s="185"/>
      <c r="F290" s="185"/>
      <c r="G290" s="217"/>
      <c r="H290" s="192"/>
      <c r="I290" s="192"/>
      <c r="J290" s="192"/>
      <c r="K290" s="192"/>
      <c r="L290" s="192"/>
      <c r="M290" s="192"/>
      <c r="N290" s="192"/>
      <c r="O290" s="192"/>
      <c r="P290" s="192"/>
      <c r="Q290" s="192"/>
      <c r="R290" s="192"/>
      <c r="S290" s="192"/>
      <c r="T290" s="192"/>
      <c r="U290" s="192"/>
      <c r="V290" s="5"/>
    </row>
    <row r="291" spans="1:22" x14ac:dyDescent="0.25">
      <c r="A291" s="101"/>
      <c r="B291" s="101"/>
      <c r="C291" s="101"/>
      <c r="D291" s="101"/>
      <c r="E291" s="101"/>
      <c r="F291" s="101"/>
      <c r="G291" s="101"/>
      <c r="H291" s="101"/>
      <c r="I291" s="101"/>
      <c r="J291" s="101"/>
      <c r="K291" s="101"/>
      <c r="L291" s="101"/>
      <c r="M291" s="101"/>
      <c r="N291" s="101"/>
      <c r="O291" s="101"/>
      <c r="P291" s="101"/>
      <c r="Q291" s="101"/>
      <c r="R291" s="101"/>
      <c r="S291" s="101"/>
      <c r="T291" s="101"/>
      <c r="U291" s="101"/>
    </row>
  </sheetData>
  <hyperlinks>
    <hyperlink ref="J9" r:id="rId1" xr:uid="{00000000-0004-0000-2B00-000000000000}"/>
    <hyperlink ref="N230" r:id="rId2" xr:uid="{00000000-0004-0000-2B00-000001000000}"/>
  </hyperlinks>
  <printOptions horizontalCentered="1" verticalCentered="1"/>
  <pageMargins left="0.19685039370078741" right="0.19685039370078741" top="0.27559055118110237" bottom="0.27559055118110237" header="0" footer="0"/>
  <pageSetup scale="41" orientation="landscape" r:id="rId3"/>
  <headerFooter alignWithMargins="0"/>
  <rowBreaks count="3" manualBreakCount="3">
    <brk id="61" max="20" man="1"/>
    <brk id="134" max="20" man="1"/>
    <brk id="195" max="20" man="1"/>
  </rowBreaks>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89CB31"/>
  </sheetPr>
  <dimension ref="A1:W291"/>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0.72870000000000001</v>
      </c>
      <c r="R16" s="225" t="s">
        <v>149</v>
      </c>
      <c r="S16" s="224">
        <v>0.27129999999999999</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42691</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329</v>
      </c>
      <c r="E25" s="398"/>
      <c r="F25" s="398" t="s">
        <v>329</v>
      </c>
      <c r="G25" s="398"/>
      <c r="H25" s="398" t="s">
        <v>329</v>
      </c>
      <c r="I25" s="398"/>
      <c r="J25" s="398" t="s">
        <v>330</v>
      </c>
      <c r="K25" s="398"/>
      <c r="L25" s="398" t="s">
        <v>330</v>
      </c>
      <c r="M25" s="398"/>
      <c r="N25" s="398" t="s">
        <v>340</v>
      </c>
      <c r="O25" s="398"/>
      <c r="P25" s="398" t="s">
        <v>340</v>
      </c>
      <c r="Q25" s="398"/>
      <c r="R25" s="273"/>
      <c r="S25" s="274"/>
      <c r="T25" s="274"/>
      <c r="U25" s="275"/>
      <c r="V25" s="5"/>
    </row>
    <row r="26" spans="1:22" ht="15.6" x14ac:dyDescent="0.3">
      <c r="A26" s="276"/>
      <c r="B26" s="277" t="s">
        <v>10</v>
      </c>
      <c r="C26" s="398"/>
      <c r="D26" s="398" t="s">
        <v>339</v>
      </c>
      <c r="E26" s="398"/>
      <c r="F26" s="398" t="s">
        <v>339</v>
      </c>
      <c r="G26" s="398"/>
      <c r="H26" s="398" t="s">
        <v>339</v>
      </c>
      <c r="I26" s="398"/>
      <c r="J26" s="398" t="s">
        <v>339</v>
      </c>
      <c r="K26" s="398"/>
      <c r="L26" s="398" t="s">
        <v>339</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110110.41720000001</v>
      </c>
      <c r="E30" s="280"/>
      <c r="F30" s="282">
        <f>F29*F36</f>
        <v>112974.56100000002</v>
      </c>
      <c r="G30" s="281"/>
      <c r="H30" s="283">
        <f>H29*H36</f>
        <v>19094.172000000002</v>
      </c>
      <c r="I30" s="281"/>
      <c r="J30" s="281">
        <f>J29*J36</f>
        <v>5069.0569999999998</v>
      </c>
      <c r="K30" s="281"/>
      <c r="L30" s="282">
        <f>L29*L36</f>
        <v>21362.4545</v>
      </c>
      <c r="M30" s="281"/>
      <c r="N30" s="284">
        <f>N29*N36</f>
        <v>2172.453</v>
      </c>
      <c r="O30" s="281"/>
      <c r="P30" s="282">
        <f>P29*P36</f>
        <v>47793.966</v>
      </c>
      <c r="Q30" s="281"/>
      <c r="R30" s="281"/>
      <c r="S30" s="285"/>
      <c r="T30" s="281"/>
      <c r="U30" s="286"/>
      <c r="V30" s="5"/>
    </row>
    <row r="31" spans="1:22" ht="15.6" x14ac:dyDescent="0.3">
      <c r="A31" s="276"/>
      <c r="B31" s="277" t="s">
        <v>143</v>
      </c>
      <c r="C31" s="287"/>
      <c r="D31" s="288">
        <f>D35*D29</f>
        <v>108770.91280000001</v>
      </c>
      <c r="E31" s="287"/>
      <c r="F31" s="289">
        <f>F35*F29</f>
        <v>111600.21400000001</v>
      </c>
      <c r="G31" s="288"/>
      <c r="H31" s="290">
        <f>H35*H29</f>
        <v>18861.887999999999</v>
      </c>
      <c r="I31" s="288"/>
      <c r="J31" s="288">
        <f>J35*J29</f>
        <v>5007.3912</v>
      </c>
      <c r="K31" s="288"/>
      <c r="L31" s="289">
        <f>L35*L29</f>
        <v>21102.5772</v>
      </c>
      <c r="M31" s="288"/>
      <c r="N31" s="291">
        <f>N35*N29</f>
        <v>2146.0248000000001</v>
      </c>
      <c r="O31" s="288"/>
      <c r="P31" s="289">
        <f>P35*P29</f>
        <v>47212.545600000005</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110110.41720000001</v>
      </c>
      <c r="E33" s="280"/>
      <c r="F33" s="281">
        <f>F32*F36</f>
        <v>77809.2399</v>
      </c>
      <c r="G33" s="281"/>
      <c r="H33" s="281">
        <f>H32*H36</f>
        <v>10788.207180000001</v>
      </c>
      <c r="I33" s="281"/>
      <c r="J33" s="281">
        <f>J32*J36</f>
        <v>5069.0569999999998</v>
      </c>
      <c r="K33" s="281"/>
      <c r="L33" s="281">
        <f>L32*L36</f>
        <v>14700.265299999999</v>
      </c>
      <c r="M33" s="281"/>
      <c r="N33" s="281">
        <f>N32*N36</f>
        <v>2172.453</v>
      </c>
      <c r="O33" s="281"/>
      <c r="P33" s="281">
        <f>P32*P36</f>
        <v>32804.040300000001</v>
      </c>
      <c r="Q33" s="281"/>
      <c r="R33" s="281"/>
      <c r="S33" s="285"/>
      <c r="T33" s="281">
        <f>SUM(C33:P33)</f>
        <v>253453.67988000001</v>
      </c>
      <c r="U33" s="286"/>
      <c r="V33" s="5"/>
    </row>
    <row r="34" spans="1:22" ht="15.6" x14ac:dyDescent="0.3">
      <c r="A34" s="276"/>
      <c r="B34" s="277" t="s">
        <v>291</v>
      </c>
      <c r="C34" s="287"/>
      <c r="D34" s="288">
        <f>D35*D32</f>
        <v>108770.91280000001</v>
      </c>
      <c r="E34" s="287"/>
      <c r="F34" s="288">
        <f>F35*F32</f>
        <v>76862.6826</v>
      </c>
      <c r="G34" s="288"/>
      <c r="H34" s="288">
        <f>H35*H32</f>
        <v>10656.96672</v>
      </c>
      <c r="I34" s="288"/>
      <c r="J34" s="288">
        <f>J35*J32</f>
        <v>5007.3912</v>
      </c>
      <c r="K34" s="288"/>
      <c r="L34" s="288">
        <f>L35*L32</f>
        <v>14521.43448</v>
      </c>
      <c r="M34" s="288"/>
      <c r="N34" s="288">
        <f>N35*N32</f>
        <v>2146.0248000000001</v>
      </c>
      <c r="O34" s="288"/>
      <c r="P34" s="288">
        <f>P35*P32</f>
        <v>32404.974480000001</v>
      </c>
      <c r="Q34" s="288"/>
      <c r="R34" s="288"/>
      <c r="S34" s="292"/>
      <c r="T34" s="288">
        <f>SUM(C34:P34)</f>
        <v>250370.38708000001</v>
      </c>
      <c r="U34" s="286"/>
      <c r="V34" s="5"/>
    </row>
    <row r="35" spans="1:22" ht="15.6" x14ac:dyDescent="0.3">
      <c r="A35" s="276"/>
      <c r="B35" s="293" t="s">
        <v>139</v>
      </c>
      <c r="C35" s="294"/>
      <c r="D35" s="295">
        <v>0.3143668</v>
      </c>
      <c r="E35" s="296"/>
      <c r="F35" s="295">
        <v>0.3143668</v>
      </c>
      <c r="G35" s="295"/>
      <c r="H35" s="295">
        <v>0.3143648</v>
      </c>
      <c r="I35" s="297"/>
      <c r="J35" s="295">
        <v>0.71534160000000002</v>
      </c>
      <c r="K35" s="295"/>
      <c r="L35" s="295">
        <v>0.71534160000000002</v>
      </c>
      <c r="M35" s="297"/>
      <c r="N35" s="295">
        <v>0.71534160000000002</v>
      </c>
      <c r="O35" s="297"/>
      <c r="P35" s="295">
        <v>0.71534160000000002</v>
      </c>
      <c r="Q35" s="298"/>
      <c r="R35" s="298"/>
      <c r="S35" s="299"/>
      <c r="T35" s="298"/>
      <c r="U35" s="300"/>
      <c r="V35" s="5"/>
    </row>
    <row r="36" spans="1:22" ht="15.6" x14ac:dyDescent="0.3">
      <c r="A36" s="276"/>
      <c r="B36" s="293" t="s">
        <v>140</v>
      </c>
      <c r="C36" s="294"/>
      <c r="D36" s="295">
        <v>0.31823820000000003</v>
      </c>
      <c r="E36" s="296"/>
      <c r="F36" s="295">
        <v>0.31823820000000003</v>
      </c>
      <c r="G36" s="295"/>
      <c r="H36" s="295">
        <v>0.31823620000000002</v>
      </c>
      <c r="I36" s="297"/>
      <c r="J36" s="295">
        <v>0.72415099999999999</v>
      </c>
      <c r="K36" s="297"/>
      <c r="L36" s="295">
        <v>0.72415099999999999</v>
      </c>
      <c r="M36" s="297"/>
      <c r="N36" s="295">
        <v>0.72415099999999999</v>
      </c>
      <c r="O36" s="297"/>
      <c r="P36" s="295">
        <v>0.72415099999999999</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7.4562999999999999E-3</v>
      </c>
      <c r="E38" s="272"/>
      <c r="F38" s="303">
        <v>6.0999999999999997E-4</v>
      </c>
      <c r="G38" s="304"/>
      <c r="H38" s="303">
        <v>1.1769999999999999E-2</v>
      </c>
      <c r="I38" s="304"/>
      <c r="J38" s="303">
        <v>9.6562999999999996E-3</v>
      </c>
      <c r="K38" s="304"/>
      <c r="L38" s="303">
        <v>2.81E-3</v>
      </c>
      <c r="M38" s="304"/>
      <c r="N38" s="303">
        <v>1.42563E-2</v>
      </c>
      <c r="O38" s="304"/>
      <c r="P38" s="303">
        <v>7.4099999999999999E-3</v>
      </c>
      <c r="Q38" s="304"/>
      <c r="R38" s="303"/>
      <c r="S38" s="274"/>
      <c r="T38" s="304"/>
      <c r="U38" s="275"/>
      <c r="V38" s="5"/>
    </row>
    <row r="39" spans="1:22" ht="15.6" x14ac:dyDescent="0.3">
      <c r="A39" s="302"/>
      <c r="B39" s="272" t="s">
        <v>14</v>
      </c>
      <c r="C39" s="272"/>
      <c r="D39" s="303">
        <v>9.5075000000000003E-3</v>
      </c>
      <c r="E39" s="272"/>
      <c r="F39" s="303">
        <v>1.0200000000000001E-3</v>
      </c>
      <c r="G39" s="304"/>
      <c r="H39" s="303">
        <v>9.861E-3</v>
      </c>
      <c r="I39" s="304"/>
      <c r="J39" s="303">
        <v>1.1707499999999999E-2</v>
      </c>
      <c r="K39" s="304"/>
      <c r="L39" s="303">
        <v>3.2200000000000002E-3</v>
      </c>
      <c r="M39" s="304"/>
      <c r="N39" s="303">
        <v>1.6307499999999999E-2</v>
      </c>
      <c r="O39" s="304"/>
      <c r="P39" s="303">
        <v>7.8200000000000006E-3</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7.4562999999999999E-3</v>
      </c>
      <c r="E41" s="272"/>
      <c r="F41" s="303">
        <v>7.6563000000000004E-3</v>
      </c>
      <c r="G41" s="304"/>
      <c r="H41" s="303">
        <v>7.9162999999999994E-3</v>
      </c>
      <c r="I41" s="304"/>
      <c r="J41" s="303">
        <f>+J38</f>
        <v>9.6562999999999996E-3</v>
      </c>
      <c r="K41" s="304"/>
      <c r="L41" s="303">
        <v>1.02463E-2</v>
      </c>
      <c r="M41" s="304"/>
      <c r="N41" s="303">
        <f>+N38</f>
        <v>1.42563E-2</v>
      </c>
      <c r="O41" s="304"/>
      <c r="P41" s="303">
        <v>1.51363E-2</v>
      </c>
      <c r="Q41" s="304"/>
      <c r="R41" s="303"/>
      <c r="S41" s="274"/>
      <c r="T41" s="304">
        <f>SUMPRODUCT(D41:P41,D33:P33)/T33</f>
        <v>8.7953920145033646E-3</v>
      </c>
      <c r="U41" s="275"/>
      <c r="V41" s="5"/>
    </row>
    <row r="42" spans="1:22" ht="15.6" x14ac:dyDescent="0.3">
      <c r="A42" s="302"/>
      <c r="B42" s="272" t="s">
        <v>294</v>
      </c>
      <c r="C42" s="272"/>
      <c r="D42" s="303">
        <f>+D39</f>
        <v>9.5075000000000003E-3</v>
      </c>
      <c r="E42" s="272"/>
      <c r="F42" s="303">
        <v>9.7075000000000009E-3</v>
      </c>
      <c r="G42" s="304"/>
      <c r="H42" s="303">
        <v>9.9675000000000007E-3</v>
      </c>
      <c r="I42" s="304"/>
      <c r="J42" s="303">
        <f>+J39</f>
        <v>1.1707499999999999E-2</v>
      </c>
      <c r="K42" s="304"/>
      <c r="L42" s="303">
        <v>1.2297499999999999E-2</v>
      </c>
      <c r="M42" s="304"/>
      <c r="N42" s="303">
        <f>+N39</f>
        <v>1.6307499999999999E-2</v>
      </c>
      <c r="O42" s="304"/>
      <c r="P42" s="303">
        <v>1.7187500000000001E-2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0.27550904320574982</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42689</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91</v>
      </c>
      <c r="Q54" s="272"/>
      <c r="R54" s="312">
        <v>42506</v>
      </c>
      <c r="S54" s="313"/>
      <c r="T54" s="312">
        <v>42596</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92</v>
      </c>
      <c r="Q55" s="272"/>
      <c r="R55" s="312">
        <v>42597</v>
      </c>
      <c r="S55" s="313"/>
      <c r="T55" s="312">
        <v>42688</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42675</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345</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253454</v>
      </c>
      <c r="M65" s="317"/>
      <c r="N65" s="317">
        <f>3083+1</f>
        <v>3084</v>
      </c>
      <c r="O65" s="317"/>
      <c r="P65" s="317">
        <v>0</v>
      </c>
      <c r="Q65" s="317"/>
      <c r="R65" s="317">
        <v>0</v>
      </c>
      <c r="S65" s="317"/>
      <c r="T65" s="318">
        <f>+L65-N65+P65-R65</f>
        <v>250370</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253454</v>
      </c>
      <c r="M68" s="317"/>
      <c r="N68" s="317">
        <f>SUM(N65:N67)</f>
        <v>3084</v>
      </c>
      <c r="O68" s="317"/>
      <c r="P68" s="317">
        <f>SUM(P65:P67)</f>
        <v>0</v>
      </c>
      <c r="Q68" s="317"/>
      <c r="R68" s="317">
        <f>SUM(R65:R67)</f>
        <v>0</v>
      </c>
      <c r="S68" s="317"/>
      <c r="T68" s="317">
        <f>SUM(T65:T67)</f>
        <v>250370</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253454</v>
      </c>
      <c r="M81" s="317"/>
      <c r="N81" s="317"/>
      <c r="O81" s="317"/>
      <c r="P81" s="317"/>
      <c r="Q81" s="317"/>
      <c r="R81" s="317"/>
      <c r="S81" s="317"/>
      <c r="T81" s="317">
        <f>SUM(T68:T80)</f>
        <v>250370</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42674</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3084-12</f>
        <v>3072</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1643+585-516-188</f>
        <v>1524</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16+30</f>
        <v>46</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18</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18</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3072</v>
      </c>
      <c r="S93" s="272"/>
      <c r="T93" s="317">
        <f>SUM(T85:T92)</f>
        <v>1606</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25</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3072</v>
      </c>
      <c r="S97" s="272"/>
      <c r="T97" s="317">
        <f>T93+T95+T94+T96</f>
        <v>1631</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-98-29-4</f>
        <v>-131</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0</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-207</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-150</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-22</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-12</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-38</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-8</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-125</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12</v>
      </c>
      <c r="S113" s="272"/>
      <c r="T113" s="318">
        <v>-12</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-98</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-820</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0</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-1340</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-947</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-131</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-62</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-179</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-26</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-399</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-3084</v>
      </c>
      <c r="S130" s="317"/>
      <c r="T130" s="317">
        <f>SUM(T98:T128)</f>
        <v>-1631</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OCTOBER 2016</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400" t="s">
        <v>327</v>
      </c>
      <c r="C153" s="272"/>
      <c r="D153" s="272"/>
      <c r="E153" s="272"/>
      <c r="F153" s="272"/>
      <c r="G153" s="272"/>
      <c r="H153" s="272"/>
      <c r="I153" s="272"/>
      <c r="J153" s="272"/>
      <c r="K153" s="272"/>
      <c r="L153" s="272"/>
      <c r="M153" s="272"/>
      <c r="N153" s="272"/>
      <c r="O153" s="272"/>
      <c r="P153" s="272"/>
      <c r="Q153" s="272"/>
      <c r="R153" s="272"/>
      <c r="S153" s="272"/>
      <c r="T153" s="318">
        <v>0</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12</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12</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-12</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v>0</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250370</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250370</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+'July 16'!Q181</f>
        <v>48377</v>
      </c>
      <c r="R179" s="318">
        <f>+'July 16'!R181</f>
        <v>2435</v>
      </c>
      <c r="S179" s="272"/>
      <c r="T179" s="318">
        <f>Q179+R179</f>
        <v>50812</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0</v>
      </c>
      <c r="R180" s="317">
        <v>0</v>
      </c>
      <c r="S180" s="272"/>
      <c r="T180" s="318">
        <f>Q180+R180</f>
        <v>0</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48377</v>
      </c>
      <c r="R181" s="318">
        <f>R180+R179</f>
        <v>2435</v>
      </c>
      <c r="S181" s="272"/>
      <c r="T181" s="318">
        <f>Q181+R181</f>
        <v>50812</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61188</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3.9525065963060686</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1.68</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22.38</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9.4499999999999993</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8.0375939849624061</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4.2</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OCTOBER 2016</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42674</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2.1479999999999999E-2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8.7953920145033646E-3</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1.2684607985496634E-2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6.4350927584492651E-3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10.73</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1.2167888453131534E-2</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9.5100000000000004E-2</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1</v>
      </c>
      <c r="R214" s="248">
        <v>77</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37</v>
      </c>
      <c r="R215" s="360">
        <f>+R266</f>
        <v>5035</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12</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'July 16'!R221+'Oct 16'!R220</f>
        <v>4313</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3</v>
      </c>
      <c r="R227" s="360">
        <v>314</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1.33</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2034</v>
      </c>
      <c r="Q233" s="388">
        <f t="shared" ref="Q233:Q240" si="2">P233/$P$242</f>
        <v>0.99705882352941178</v>
      </c>
      <c r="R233" s="318">
        <f t="shared" ref="R233:R240" si="3">+R245+R257+R269</f>
        <v>249469</v>
      </c>
      <c r="S233" s="388">
        <f t="shared" ref="S233:S240" si="4">R233/$R$242</f>
        <v>0.99640132603746456</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4</v>
      </c>
      <c r="Q234" s="388">
        <f t="shared" si="2"/>
        <v>1.9607843137254902E-3</v>
      </c>
      <c r="R234" s="318">
        <f t="shared" si="3"/>
        <v>500</v>
      </c>
      <c r="S234" s="388">
        <f t="shared" si="4"/>
        <v>1.9970443743259976E-3</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0</v>
      </c>
      <c r="Q235" s="388">
        <f t="shared" si="2"/>
        <v>0</v>
      </c>
      <c r="R235" s="318">
        <f t="shared" si="3"/>
        <v>0</v>
      </c>
      <c r="S235" s="388">
        <f t="shared" si="4"/>
        <v>0</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0</v>
      </c>
      <c r="Q238" s="388">
        <f t="shared" si="2"/>
        <v>0</v>
      </c>
      <c r="R238" s="318">
        <f t="shared" si="3"/>
        <v>0</v>
      </c>
      <c r="S238" s="388">
        <f t="shared" si="4"/>
        <v>0</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0</v>
      </c>
      <c r="Q239" s="388">
        <f t="shared" si="2"/>
        <v>0</v>
      </c>
      <c r="R239" s="318">
        <f t="shared" si="3"/>
        <v>0</v>
      </c>
      <c r="S239" s="388">
        <f t="shared" si="4"/>
        <v>0</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2</v>
      </c>
      <c r="Q240" s="388">
        <f t="shared" si="2"/>
        <v>9.8039215686274508E-4</v>
      </c>
      <c r="R240" s="318">
        <f t="shared" si="3"/>
        <v>401</v>
      </c>
      <c r="S240" s="388">
        <f t="shared" si="4"/>
        <v>1.6016295882094499E-3</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2040</v>
      </c>
      <c r="Q242" s="388">
        <f>SUM(Q233:Q241)</f>
        <v>1</v>
      </c>
      <c r="R242" s="318">
        <f>SUM(R233:R241)</f>
        <v>250370</v>
      </c>
      <c r="S242" s="388">
        <f>SUM(S233:S241)</f>
        <v>1</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2002</v>
      </c>
      <c r="Q245" s="250">
        <f t="shared" ref="Q245:Q252" si="5">P245/$P$254</f>
        <v>0.99950074887668494</v>
      </c>
      <c r="R245" s="242">
        <v>245152</v>
      </c>
      <c r="S245" s="250">
        <f t="shared" ref="S245:S252" si="6">R245/$R$254</f>
        <v>0.99925408115434</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1</v>
      </c>
      <c r="Q246" s="388">
        <f t="shared" si="5"/>
        <v>4.992511233150275E-4</v>
      </c>
      <c r="R246" s="318">
        <v>183</v>
      </c>
      <c r="S246" s="388">
        <f t="shared" si="6"/>
        <v>7.459188456600159E-4</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2003</v>
      </c>
      <c r="Q254" s="388">
        <f>SUM(Q245:Q253)</f>
        <v>1</v>
      </c>
      <c r="R254" s="318">
        <f>SUM(R245:R253)</f>
        <v>245335</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32</v>
      </c>
      <c r="Q257" s="250">
        <f t="shared" ref="Q257:Q264" si="7">P257/$P$266</f>
        <v>0.86486486486486491</v>
      </c>
      <c r="R257" s="242">
        <v>4317</v>
      </c>
      <c r="S257" s="250">
        <f t="shared" ref="S257:S264" si="8">R257/$R$266</f>
        <v>0.8573982125124131</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3</v>
      </c>
      <c r="Q258" s="388">
        <f t="shared" si="7"/>
        <v>8.1081081081081086E-2</v>
      </c>
      <c r="R258" s="318">
        <v>317</v>
      </c>
      <c r="S258" s="388">
        <f t="shared" si="8"/>
        <v>6.295928500496524E-2</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0</v>
      </c>
      <c r="Q259" s="388">
        <f t="shared" si="7"/>
        <v>0</v>
      </c>
      <c r="R259" s="318">
        <v>0</v>
      </c>
      <c r="S259" s="388">
        <f t="shared" si="8"/>
        <v>0</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0</v>
      </c>
      <c r="Q262" s="388">
        <f t="shared" si="7"/>
        <v>0</v>
      </c>
      <c r="R262" s="318">
        <v>0</v>
      </c>
      <c r="S262" s="388">
        <f t="shared" si="8"/>
        <v>0</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0</v>
      </c>
      <c r="Q263" s="388">
        <f t="shared" si="7"/>
        <v>0</v>
      </c>
      <c r="R263" s="318">
        <v>0</v>
      </c>
      <c r="S263" s="388">
        <f t="shared" si="8"/>
        <v>0</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2</v>
      </c>
      <c r="Q264" s="388">
        <f t="shared" si="7"/>
        <v>5.4054054054054057E-2</v>
      </c>
      <c r="R264" s="318">
        <v>401</v>
      </c>
      <c r="S264" s="388">
        <f t="shared" si="8"/>
        <v>7.9642502482621655E-2</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37</v>
      </c>
      <c r="Q266" s="388">
        <f>SUM(Q257:Q265)</f>
        <v>1</v>
      </c>
      <c r="R266" s="318">
        <f>SUM(R257:R265)</f>
        <v>5035</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2040</v>
      </c>
      <c r="Q280" s="388"/>
      <c r="R280" s="396">
        <f>+R278+R266+R254</f>
        <v>250370</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322</v>
      </c>
      <c r="C285" s="220"/>
      <c r="D285" s="220"/>
      <c r="E285" s="220"/>
      <c r="F285" s="256" t="s">
        <v>159</v>
      </c>
      <c r="G285" s="220"/>
      <c r="H285" s="220" t="s">
        <v>167</v>
      </c>
      <c r="I285" s="255"/>
      <c r="J285" s="255"/>
      <c r="K285" s="255"/>
      <c r="L285" s="255"/>
      <c r="M285" s="255"/>
      <c r="N285" s="255"/>
      <c r="O285" s="255"/>
      <c r="P285" s="255"/>
      <c r="Q285" s="255"/>
      <c r="R285" s="255"/>
      <c r="S285" s="255"/>
      <c r="T285" s="255"/>
      <c r="U285" s="192"/>
      <c r="V285" s="5"/>
    </row>
    <row r="286" spans="1:22" ht="15.6" x14ac:dyDescent="0.3">
      <c r="A286" s="254"/>
      <c r="B286" s="220" t="s">
        <v>323</v>
      </c>
      <c r="C286" s="220"/>
      <c r="D286" s="220"/>
      <c r="E286" s="220"/>
      <c r="F286" s="256" t="s">
        <v>274</v>
      </c>
      <c r="G286" s="220"/>
      <c r="H286" s="220" t="s">
        <v>275</v>
      </c>
      <c r="I286" s="255"/>
      <c r="J286" s="255"/>
      <c r="K286" s="255"/>
      <c r="L286" s="255"/>
      <c r="M286" s="255"/>
      <c r="N286" s="255"/>
      <c r="O286" s="255"/>
      <c r="P286" s="255"/>
      <c r="Q286" s="255"/>
      <c r="R286" s="255"/>
      <c r="S286" s="255"/>
      <c r="T286" s="255"/>
      <c r="U286" s="192"/>
      <c r="V286" s="5"/>
    </row>
    <row r="287" spans="1:22" ht="15.6" x14ac:dyDescent="0.3">
      <c r="A287" s="254"/>
      <c r="B287" s="220" t="s">
        <v>324</v>
      </c>
      <c r="C287" s="220"/>
      <c r="D287" s="220"/>
      <c r="E287" s="220"/>
      <c r="F287" s="256" t="s">
        <v>158</v>
      </c>
      <c r="G287" s="220"/>
      <c r="H287" s="220" t="s">
        <v>168</v>
      </c>
      <c r="I287" s="255"/>
      <c r="J287" s="255"/>
      <c r="K287" s="255"/>
      <c r="L287" s="255"/>
      <c r="M287" s="255"/>
      <c r="N287" s="255"/>
      <c r="O287" s="255"/>
      <c r="P287" s="255"/>
      <c r="Q287" s="255"/>
      <c r="R287" s="255"/>
      <c r="S287" s="255"/>
      <c r="T287" s="255"/>
      <c r="U287" s="192"/>
      <c r="V287" s="5"/>
    </row>
    <row r="288" spans="1:22" ht="15.6" x14ac:dyDescent="0.3">
      <c r="A288" s="254"/>
      <c r="B288" s="220"/>
      <c r="C288" s="220"/>
      <c r="D288" s="220"/>
      <c r="E288" s="220"/>
      <c r="F288" s="220"/>
      <c r="G288" s="257"/>
      <c r="H288" s="255"/>
      <c r="I288" s="255"/>
      <c r="J288" s="255"/>
      <c r="K288" s="255"/>
      <c r="L288" s="255"/>
      <c r="M288" s="255"/>
      <c r="N288" s="255"/>
      <c r="O288" s="255"/>
      <c r="P288" s="255"/>
      <c r="Q288" s="255"/>
      <c r="R288" s="255"/>
      <c r="S288" s="255"/>
      <c r="T288" s="255"/>
      <c r="U288" s="192"/>
      <c r="V288" s="5"/>
    </row>
    <row r="289" spans="1:22" ht="15.6" x14ac:dyDescent="0.3">
      <c r="A289" s="216"/>
      <c r="B289" s="185"/>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ht="18" thickBot="1" x14ac:dyDescent="0.35">
      <c r="A290" s="216"/>
      <c r="B290" s="267" t="str">
        <f>B195</f>
        <v>PM9 INVESTOR REPORT QUARTER ENDING OCTOBER 2016</v>
      </c>
      <c r="C290" s="185"/>
      <c r="D290" s="185"/>
      <c r="E290" s="185"/>
      <c r="F290" s="185"/>
      <c r="G290" s="217"/>
      <c r="H290" s="192"/>
      <c r="I290" s="192"/>
      <c r="J290" s="192"/>
      <c r="K290" s="192"/>
      <c r="L290" s="192"/>
      <c r="M290" s="192"/>
      <c r="N290" s="192"/>
      <c r="O290" s="192"/>
      <c r="P290" s="192"/>
      <c r="Q290" s="192"/>
      <c r="R290" s="192"/>
      <c r="S290" s="192"/>
      <c r="T290" s="192"/>
      <c r="U290" s="192"/>
      <c r="V290" s="5"/>
    </row>
    <row r="291" spans="1:22" x14ac:dyDescent="0.25">
      <c r="A291" s="101"/>
      <c r="B291" s="101"/>
      <c r="C291" s="101"/>
      <c r="D291" s="101"/>
      <c r="E291" s="101"/>
      <c r="F291" s="101"/>
      <c r="G291" s="101"/>
      <c r="H291" s="101"/>
      <c r="I291" s="101"/>
      <c r="J291" s="101"/>
      <c r="K291" s="101"/>
      <c r="L291" s="101"/>
      <c r="M291" s="101"/>
      <c r="N291" s="101"/>
      <c r="O291" s="101"/>
      <c r="P291" s="101"/>
      <c r="Q291" s="101"/>
      <c r="R291" s="101"/>
      <c r="S291" s="101"/>
      <c r="T291" s="101"/>
      <c r="U291" s="101"/>
    </row>
  </sheetData>
  <hyperlinks>
    <hyperlink ref="J9" r:id="rId1" xr:uid="{00000000-0004-0000-2C00-000000000000}"/>
    <hyperlink ref="N230" r:id="rId2" xr:uid="{00000000-0004-0000-2C00-000001000000}"/>
  </hyperlinks>
  <printOptions horizontalCentered="1" verticalCentered="1"/>
  <pageMargins left="0.19685039370078741" right="0.19685039370078741" top="0.27559055118110237" bottom="0.27559055118110237" header="0" footer="0"/>
  <pageSetup scale="41" orientation="landscape" r:id="rId3"/>
  <headerFooter alignWithMargins="0"/>
  <rowBreaks count="3" manualBreakCount="3">
    <brk id="61" max="20" man="1"/>
    <brk id="134" max="20" man="1"/>
    <brk id="195" max="20" man="1"/>
  </rowBreaks>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2D2926"/>
  </sheetPr>
  <dimension ref="A1:W290"/>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0.72699999999999998</v>
      </c>
      <c r="R16" s="225" t="s">
        <v>149</v>
      </c>
      <c r="S16" s="224">
        <v>0.27300000000000002</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42782</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329</v>
      </c>
      <c r="E25" s="398"/>
      <c r="F25" s="398" t="s">
        <v>329</v>
      </c>
      <c r="G25" s="398"/>
      <c r="H25" s="398" t="s">
        <v>329</v>
      </c>
      <c r="I25" s="398"/>
      <c r="J25" s="398" t="s">
        <v>330</v>
      </c>
      <c r="K25" s="398"/>
      <c r="L25" s="398" t="s">
        <v>330</v>
      </c>
      <c r="M25" s="398"/>
      <c r="N25" s="398" t="s">
        <v>340</v>
      </c>
      <c r="O25" s="398"/>
      <c r="P25" s="398" t="s">
        <v>340</v>
      </c>
      <c r="Q25" s="398"/>
      <c r="R25" s="273"/>
      <c r="S25" s="274"/>
      <c r="T25" s="274"/>
      <c r="U25" s="275"/>
      <c r="V25" s="5"/>
    </row>
    <row r="26" spans="1:22" ht="15.6" x14ac:dyDescent="0.3">
      <c r="A26" s="276"/>
      <c r="B26" s="277" t="s">
        <v>10</v>
      </c>
      <c r="C26" s="398"/>
      <c r="D26" s="398" t="s">
        <v>339</v>
      </c>
      <c r="E26" s="398"/>
      <c r="F26" s="398" t="s">
        <v>339</v>
      </c>
      <c r="G26" s="398"/>
      <c r="H26" s="398" t="s">
        <v>339</v>
      </c>
      <c r="I26" s="398"/>
      <c r="J26" s="398" t="s">
        <v>339</v>
      </c>
      <c r="K26" s="398"/>
      <c r="L26" s="398" t="s">
        <v>339</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108770.91280000001</v>
      </c>
      <c r="E30" s="280"/>
      <c r="F30" s="282">
        <f>F29*F36</f>
        <v>111600.21400000001</v>
      </c>
      <c r="G30" s="281"/>
      <c r="H30" s="283">
        <f>H29*H36</f>
        <v>18861.887999999999</v>
      </c>
      <c r="I30" s="281"/>
      <c r="J30" s="281">
        <f>J29*J36</f>
        <v>5007.3912</v>
      </c>
      <c r="K30" s="281"/>
      <c r="L30" s="282">
        <f>L29*L36</f>
        <v>21102.5772</v>
      </c>
      <c r="M30" s="281"/>
      <c r="N30" s="284">
        <f>N29*N36</f>
        <v>2146.0248000000001</v>
      </c>
      <c r="O30" s="281"/>
      <c r="P30" s="282">
        <f>P29*P36</f>
        <v>47212.545600000005</v>
      </c>
      <c r="Q30" s="281"/>
      <c r="R30" s="281"/>
      <c r="S30" s="285"/>
      <c r="T30" s="281"/>
      <c r="U30" s="286"/>
      <c r="V30" s="5"/>
    </row>
    <row r="31" spans="1:22" ht="15.6" x14ac:dyDescent="0.3">
      <c r="A31" s="276"/>
      <c r="B31" s="277" t="s">
        <v>143</v>
      </c>
      <c r="C31" s="287"/>
      <c r="D31" s="288">
        <f>D35*D29</f>
        <v>106892.202</v>
      </c>
      <c r="E31" s="287"/>
      <c r="F31" s="289">
        <f>F35*F29</f>
        <v>109672.63500000001</v>
      </c>
      <c r="G31" s="288"/>
      <c r="H31" s="290">
        <f>H35*H29</f>
        <v>18536.094000000001</v>
      </c>
      <c r="I31" s="288"/>
      <c r="J31" s="288">
        <f>J35*J29</f>
        <v>4920.9005999999999</v>
      </c>
      <c r="K31" s="288"/>
      <c r="L31" s="289">
        <f>L35*L29</f>
        <v>20738.081099999999</v>
      </c>
      <c r="M31" s="288"/>
      <c r="N31" s="291">
        <f>N35*N29</f>
        <v>2108.9573999999998</v>
      </c>
      <c r="O31" s="288"/>
      <c r="P31" s="289">
        <f>P35*P29</f>
        <v>46397.0628</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108770.91280000001</v>
      </c>
      <c r="E33" s="280"/>
      <c r="F33" s="281">
        <f>F32*F36</f>
        <v>76862.6826</v>
      </c>
      <c r="G33" s="281"/>
      <c r="H33" s="281">
        <f>H32*H36</f>
        <v>10656.96672</v>
      </c>
      <c r="I33" s="281"/>
      <c r="J33" s="281">
        <f>J32*J36</f>
        <v>5007.3912</v>
      </c>
      <c r="K33" s="281"/>
      <c r="L33" s="281">
        <f>L32*L36</f>
        <v>14521.43448</v>
      </c>
      <c r="M33" s="281"/>
      <c r="N33" s="281">
        <f>N32*N36</f>
        <v>2146.0248000000001</v>
      </c>
      <c r="O33" s="281"/>
      <c r="P33" s="281">
        <f>P32*P36</f>
        <v>32404.974480000001</v>
      </c>
      <c r="Q33" s="281"/>
      <c r="R33" s="281"/>
      <c r="S33" s="285"/>
      <c r="T33" s="281">
        <f>SUM(C33:P33)</f>
        <v>250370.38708000001</v>
      </c>
      <c r="U33" s="286"/>
      <c r="V33" s="5"/>
    </row>
    <row r="34" spans="1:22" ht="15.6" x14ac:dyDescent="0.3">
      <c r="A34" s="276"/>
      <c r="B34" s="277" t="s">
        <v>291</v>
      </c>
      <c r="C34" s="287"/>
      <c r="D34" s="288">
        <f>D35*D32</f>
        <v>106892.202</v>
      </c>
      <c r="E34" s="287"/>
      <c r="F34" s="288">
        <f>F35*F32</f>
        <v>75535.0965</v>
      </c>
      <c r="G34" s="288"/>
      <c r="H34" s="288">
        <f>H35*H32</f>
        <v>10472.893110000001</v>
      </c>
      <c r="I34" s="288"/>
      <c r="J34" s="288">
        <f>J35*J32</f>
        <v>4920.9005999999999</v>
      </c>
      <c r="K34" s="288"/>
      <c r="L34" s="288">
        <f>L35*L32</f>
        <v>14270.61174</v>
      </c>
      <c r="M34" s="288"/>
      <c r="N34" s="288">
        <f>N35*N32</f>
        <v>2108.9573999999998</v>
      </c>
      <c r="O34" s="288"/>
      <c r="P34" s="288">
        <f>P35*P32</f>
        <v>31845.256740000001</v>
      </c>
      <c r="Q34" s="288"/>
      <c r="R34" s="288"/>
      <c r="S34" s="292"/>
      <c r="T34" s="288">
        <f>SUM(C34:P34)</f>
        <v>246045.91809000002</v>
      </c>
      <c r="U34" s="286"/>
      <c r="V34" s="5"/>
    </row>
    <row r="35" spans="1:22" ht="15.6" x14ac:dyDescent="0.3">
      <c r="A35" s="276"/>
      <c r="B35" s="293" t="s">
        <v>139</v>
      </c>
      <c r="C35" s="294"/>
      <c r="D35" s="295">
        <v>0.30893700000000002</v>
      </c>
      <c r="E35" s="296"/>
      <c r="F35" s="295">
        <v>0.30893700000000002</v>
      </c>
      <c r="G35" s="295"/>
      <c r="H35" s="295">
        <v>0.30893490000000001</v>
      </c>
      <c r="I35" s="297"/>
      <c r="J35" s="295">
        <v>0.70298579999999999</v>
      </c>
      <c r="K35" s="295"/>
      <c r="L35" s="295">
        <v>0.70298579999999999</v>
      </c>
      <c r="M35" s="297"/>
      <c r="N35" s="295">
        <v>0.70298579999999999</v>
      </c>
      <c r="O35" s="295"/>
      <c r="P35" s="295">
        <v>0.70298579999999999</v>
      </c>
      <c r="Q35" s="298"/>
      <c r="R35" s="298"/>
      <c r="S35" s="299"/>
      <c r="T35" s="298"/>
      <c r="U35" s="300"/>
      <c r="V35" s="5"/>
    </row>
    <row r="36" spans="1:22" ht="15.6" x14ac:dyDescent="0.3">
      <c r="A36" s="276"/>
      <c r="B36" s="293" t="s">
        <v>140</v>
      </c>
      <c r="C36" s="294"/>
      <c r="D36" s="295">
        <v>0.3143668</v>
      </c>
      <c r="E36" s="296"/>
      <c r="F36" s="295">
        <v>0.3143668</v>
      </c>
      <c r="G36" s="295"/>
      <c r="H36" s="295">
        <v>0.3143648</v>
      </c>
      <c r="I36" s="297"/>
      <c r="J36" s="295">
        <v>0.71534160000000002</v>
      </c>
      <c r="K36" s="295"/>
      <c r="L36" s="295">
        <v>0.71534160000000002</v>
      </c>
      <c r="M36" s="297"/>
      <c r="N36" s="295">
        <v>0.71534160000000002</v>
      </c>
      <c r="O36" s="297"/>
      <c r="P36" s="295">
        <v>0.71534160000000002</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7.5775E-3</v>
      </c>
      <c r="E38" s="272"/>
      <c r="F38" s="303">
        <v>4.8000000000000001E-4</v>
      </c>
      <c r="G38" s="304"/>
      <c r="H38" s="303">
        <v>1.26567E-2</v>
      </c>
      <c r="I38" s="304"/>
      <c r="J38" s="303">
        <v>9.7774999999999997E-3</v>
      </c>
      <c r="K38" s="304"/>
      <c r="L38" s="303">
        <v>2.6800000000000001E-3</v>
      </c>
      <c r="M38" s="304"/>
      <c r="N38" s="303">
        <v>1.43775E-2</v>
      </c>
      <c r="O38" s="304"/>
      <c r="P38" s="303">
        <v>7.28E-3</v>
      </c>
      <c r="Q38" s="304"/>
      <c r="R38" s="303"/>
      <c r="S38" s="274"/>
      <c r="T38" s="304"/>
      <c r="U38" s="275"/>
      <c r="V38" s="5"/>
    </row>
    <row r="39" spans="1:22" ht="15.6" x14ac:dyDescent="0.3">
      <c r="A39" s="302"/>
      <c r="B39" s="272" t="s">
        <v>14</v>
      </c>
      <c r="C39" s="272"/>
      <c r="D39" s="303">
        <v>7.4562999999999999E-3</v>
      </c>
      <c r="E39" s="272"/>
      <c r="F39" s="303">
        <v>6.0999999999999997E-4</v>
      </c>
      <c r="G39" s="304"/>
      <c r="H39" s="303">
        <v>1.1769999999999999E-2</v>
      </c>
      <c r="I39" s="304"/>
      <c r="J39" s="303">
        <v>9.6562999999999996E-3</v>
      </c>
      <c r="K39" s="304"/>
      <c r="L39" s="303">
        <v>2.81E-3</v>
      </c>
      <c r="M39" s="304"/>
      <c r="N39" s="303">
        <v>1.42563E-2</v>
      </c>
      <c r="O39" s="304"/>
      <c r="P39" s="303">
        <v>7.4099999999999999E-3</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7.5775E-3</v>
      </c>
      <c r="E41" s="272"/>
      <c r="F41" s="303">
        <v>7.7774999999999997E-3</v>
      </c>
      <c r="G41" s="304"/>
      <c r="H41" s="303">
        <v>8.0374999999999995E-3</v>
      </c>
      <c r="I41" s="304"/>
      <c r="J41" s="303">
        <f>+J38</f>
        <v>9.7774999999999997E-3</v>
      </c>
      <c r="K41" s="304"/>
      <c r="L41" s="303">
        <v>1.03675E-2</v>
      </c>
      <c r="M41" s="304"/>
      <c r="N41" s="303">
        <f>+N38</f>
        <v>1.43775E-2</v>
      </c>
      <c r="O41" s="304"/>
      <c r="P41" s="303">
        <v>1.52575E-2</v>
      </c>
      <c r="Q41" s="304"/>
      <c r="R41" s="303"/>
      <c r="S41" s="274"/>
      <c r="T41" s="304">
        <f>SUMPRODUCT(D41:P41,D33:P33)/T33</f>
        <v>8.9165919773178792E-3</v>
      </c>
      <c r="U41" s="275"/>
      <c r="V41" s="5"/>
    </row>
    <row r="42" spans="1:22" ht="15.6" x14ac:dyDescent="0.3">
      <c r="A42" s="302"/>
      <c r="B42" s="272" t="s">
        <v>294</v>
      </c>
      <c r="C42" s="272"/>
      <c r="D42" s="303">
        <f>+D39</f>
        <v>7.4562999999999999E-3</v>
      </c>
      <c r="E42" s="272"/>
      <c r="F42" s="303">
        <v>7.6563000000000004E-3</v>
      </c>
      <c r="G42" s="304"/>
      <c r="H42" s="303">
        <v>7.9162999999999994E-3</v>
      </c>
      <c r="I42" s="304"/>
      <c r="J42" s="303">
        <f>+J39</f>
        <v>9.6562999999999996E-3</v>
      </c>
      <c r="K42" s="304"/>
      <c r="L42" s="303">
        <v>1.02463E-2</v>
      </c>
      <c r="M42" s="304"/>
      <c r="N42" s="303">
        <f>+N39</f>
        <v>1.42563E-2</v>
      </c>
      <c r="O42" s="304"/>
      <c r="P42" s="303">
        <v>1.51363E-2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0.27550893566476325</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42781</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92</v>
      </c>
      <c r="Q54" s="272"/>
      <c r="R54" s="312">
        <v>42597</v>
      </c>
      <c r="S54" s="313"/>
      <c r="T54" s="312">
        <v>42688</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92</v>
      </c>
      <c r="Q55" s="272"/>
      <c r="R55" s="312">
        <v>42689</v>
      </c>
      <c r="S55" s="313"/>
      <c r="T55" s="312">
        <v>42780</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42767</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342</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250370</v>
      </c>
      <c r="M65" s="317"/>
      <c r="N65" s="317">
        <f>4325+272-1</f>
        <v>4596</v>
      </c>
      <c r="O65" s="317"/>
      <c r="P65" s="317">
        <v>272</v>
      </c>
      <c r="Q65" s="317"/>
      <c r="R65" s="317">
        <v>0</v>
      </c>
      <c r="S65" s="317"/>
      <c r="T65" s="318">
        <f>+L65-N65+P65-R65</f>
        <v>246046</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250370</v>
      </c>
      <c r="M68" s="317"/>
      <c r="N68" s="317">
        <f>SUM(N65:N67)</f>
        <v>4596</v>
      </c>
      <c r="O68" s="317"/>
      <c r="P68" s="317">
        <f>SUM(P65:P67)</f>
        <v>272</v>
      </c>
      <c r="Q68" s="317"/>
      <c r="R68" s="317">
        <f>SUM(R65:R67)</f>
        <v>0</v>
      </c>
      <c r="S68" s="317"/>
      <c r="T68" s="317">
        <f>SUM(T65:T67)</f>
        <v>246046</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250370</v>
      </c>
      <c r="M81" s="317"/>
      <c r="N81" s="317"/>
      <c r="O81" s="317"/>
      <c r="P81" s="317"/>
      <c r="Q81" s="317"/>
      <c r="R81" s="317"/>
      <c r="S81" s="317"/>
      <c r="T81" s="317">
        <f>SUM(T68:T80)</f>
        <v>246046</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42766</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4596-67</f>
        <v>4529</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1472+492-512-110</f>
        <v>1342</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118+2</f>
        <v>120</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11</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24</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4529</v>
      </c>
      <c r="S93" s="272"/>
      <c r="T93" s="317">
        <f>SUM(T85:T92)</f>
        <v>1497</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37</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4529</v>
      </c>
      <c r="S97" s="272"/>
      <c r="T97" s="317">
        <f>T93+T95+T94+T96</f>
        <v>1534</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-97-45-4</f>
        <v>-146</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0</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-208</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-151</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-21</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-12</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-38</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-8</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-125</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67</v>
      </c>
      <c r="S113" s="272"/>
      <c r="T113" s="318">
        <v>-67</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-97</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-653</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-272</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-1879</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-1327</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-184</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-86</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-251</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-37</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-560</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-4596</v>
      </c>
      <c r="S130" s="317"/>
      <c r="T130" s="317">
        <f>SUM(T98:T128)</f>
        <v>-1534</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JANUARY 2016</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400" t="s">
        <v>327</v>
      </c>
      <c r="C153" s="272"/>
      <c r="D153" s="272"/>
      <c r="E153" s="272"/>
      <c r="F153" s="272"/>
      <c r="G153" s="272"/>
      <c r="H153" s="272"/>
      <c r="I153" s="272"/>
      <c r="J153" s="272"/>
      <c r="K153" s="272"/>
      <c r="L153" s="272"/>
      <c r="M153" s="272"/>
      <c r="N153" s="272"/>
      <c r="O153" s="272"/>
      <c r="P153" s="272"/>
      <c r="Q153" s="272"/>
      <c r="R153" s="272"/>
      <c r="S153" s="272"/>
      <c r="T153" s="318">
        <v>0</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67</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67</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-67</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v>0</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246046</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246046</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+'Oct 16'!Q181</f>
        <v>48377</v>
      </c>
      <c r="R179" s="318">
        <f>+'Oct 16'!R181</f>
        <v>2435</v>
      </c>
      <c r="S179" s="272"/>
      <c r="T179" s="318">
        <f>Q179+R179</f>
        <v>50812</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272</v>
      </c>
      <c r="R180" s="317">
        <v>0</v>
      </c>
      <c r="S180" s="272"/>
      <c r="T180" s="318">
        <f>Q180+R180</f>
        <v>272</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48649</v>
      </c>
      <c r="R181" s="318">
        <f>R180+R179</f>
        <v>2435</v>
      </c>
      <c r="S181" s="272"/>
      <c r="T181" s="318">
        <f>Q181+R181</f>
        <v>51084</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60916</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3.6473684210526316</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1.69</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20.12</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9.52</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7.1879699248120303</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4.22</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JANUARY 2016</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42766</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2.1409999999999998E-2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8.9165919773178792E-3</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1.2493408022682119E-2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6.1269321404321606E-3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10.52</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1.8356831888804569E-2</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9.4600000000000004E-2</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1</v>
      </c>
      <c r="R214" s="248">
        <v>77</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33</v>
      </c>
      <c r="R215" s="360">
        <f>+R266</f>
        <v>4456</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67</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'Oct 16'!R221+'Jan 17'!R220</f>
        <v>4380</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4</v>
      </c>
      <c r="R227" s="360">
        <v>579</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5.86</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2000</v>
      </c>
      <c r="Q233" s="388">
        <f t="shared" ref="Q233:Q240" si="2">P233/$P$242</f>
        <v>0.99651220727453915</v>
      </c>
      <c r="R233" s="318">
        <f t="shared" ref="R233:R240" si="3">+R245+R257+R269</f>
        <v>244923</v>
      </c>
      <c r="S233" s="388">
        <f t="shared" ref="S233:S240" si="4">R233/$R$242</f>
        <v>0.99543581281548976</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5</v>
      </c>
      <c r="Q234" s="388">
        <f t="shared" si="2"/>
        <v>2.4912805181863478E-3</v>
      </c>
      <c r="R234" s="318">
        <f t="shared" si="3"/>
        <v>735</v>
      </c>
      <c r="S234" s="388">
        <f t="shared" si="4"/>
        <v>2.9872462872796144E-3</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0</v>
      </c>
      <c r="Q235" s="388">
        <f t="shared" si="2"/>
        <v>0</v>
      </c>
      <c r="R235" s="318">
        <f t="shared" si="3"/>
        <v>0</v>
      </c>
      <c r="S235" s="388">
        <f t="shared" si="4"/>
        <v>0</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1</v>
      </c>
      <c r="Q237" s="388">
        <f t="shared" si="2"/>
        <v>4.9825610363726954E-4</v>
      </c>
      <c r="R237" s="318">
        <f t="shared" si="3"/>
        <v>216</v>
      </c>
      <c r="S237" s="388">
        <f t="shared" si="4"/>
        <v>8.7788462320053978E-4</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0</v>
      </c>
      <c r="Q238" s="388">
        <f t="shared" si="2"/>
        <v>0</v>
      </c>
      <c r="R238" s="318">
        <f t="shared" si="3"/>
        <v>0</v>
      </c>
      <c r="S238" s="388">
        <f t="shared" si="4"/>
        <v>0</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0</v>
      </c>
      <c r="Q239" s="388">
        <f t="shared" si="2"/>
        <v>0</v>
      </c>
      <c r="R239" s="318">
        <f t="shared" si="3"/>
        <v>0</v>
      </c>
      <c r="S239" s="388">
        <f t="shared" si="4"/>
        <v>0</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1</v>
      </c>
      <c r="Q240" s="388">
        <f t="shared" si="2"/>
        <v>4.9825610363726954E-4</v>
      </c>
      <c r="R240" s="318">
        <f t="shared" si="3"/>
        <v>172</v>
      </c>
      <c r="S240" s="388">
        <f t="shared" si="4"/>
        <v>6.9905627403005937E-4</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2007</v>
      </c>
      <c r="Q242" s="388">
        <f>SUM(Q233:Q241)</f>
        <v>1</v>
      </c>
      <c r="R242" s="318">
        <f>SUM(R233:R241)</f>
        <v>246046</v>
      </c>
      <c r="S242" s="388">
        <f>SUM(S233:S241)</f>
        <v>1</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1972</v>
      </c>
      <c r="Q245" s="250">
        <f t="shared" ref="Q245:Q252" si="5">P245/$P$254</f>
        <v>0.99898682877406286</v>
      </c>
      <c r="R245" s="242">
        <v>241250</v>
      </c>
      <c r="S245" s="250">
        <f t="shared" ref="S245:S252" si="6">R245/$R$254</f>
        <v>0.99859265698083532</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2</v>
      </c>
      <c r="Q246" s="388">
        <f t="shared" si="5"/>
        <v>1.0131712259371835E-3</v>
      </c>
      <c r="R246" s="318">
        <v>340</v>
      </c>
      <c r="S246" s="388">
        <f t="shared" si="6"/>
        <v>1.4073430191647006E-3</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1974</v>
      </c>
      <c r="Q254" s="388">
        <f>SUM(Q245:Q253)</f>
        <v>1</v>
      </c>
      <c r="R254" s="318">
        <f>SUM(R245:R253)</f>
        <v>241590</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28</v>
      </c>
      <c r="Q257" s="250">
        <f t="shared" ref="Q257:Q264" si="7">P257/$P$266</f>
        <v>0.84848484848484851</v>
      </c>
      <c r="R257" s="242">
        <v>3673</v>
      </c>
      <c r="S257" s="250">
        <f t="shared" ref="S257:S264" si="8">R257/$R$266</f>
        <v>0.82428186714542195</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3</v>
      </c>
      <c r="Q258" s="388">
        <f t="shared" si="7"/>
        <v>9.0909090909090912E-2</v>
      </c>
      <c r="R258" s="318">
        <v>395</v>
      </c>
      <c r="S258" s="388">
        <f t="shared" si="8"/>
        <v>8.8644524236983838E-2</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0</v>
      </c>
      <c r="Q259" s="388">
        <f t="shared" si="7"/>
        <v>0</v>
      </c>
      <c r="R259" s="318">
        <v>0</v>
      </c>
      <c r="S259" s="388">
        <f t="shared" si="8"/>
        <v>0</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1</v>
      </c>
      <c r="Q261" s="388">
        <f t="shared" si="7"/>
        <v>3.0303030303030304E-2</v>
      </c>
      <c r="R261" s="318">
        <v>216</v>
      </c>
      <c r="S261" s="388">
        <f t="shared" si="8"/>
        <v>4.8473967684021541E-2</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0</v>
      </c>
      <c r="Q262" s="388">
        <f t="shared" si="7"/>
        <v>0</v>
      </c>
      <c r="R262" s="318">
        <v>0</v>
      </c>
      <c r="S262" s="388">
        <f t="shared" si="8"/>
        <v>0</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0</v>
      </c>
      <c r="Q263" s="388">
        <f t="shared" si="7"/>
        <v>0</v>
      </c>
      <c r="R263" s="318">
        <v>0</v>
      </c>
      <c r="S263" s="388">
        <f t="shared" si="8"/>
        <v>0</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1</v>
      </c>
      <c r="Q264" s="388">
        <f t="shared" si="7"/>
        <v>3.0303030303030304E-2</v>
      </c>
      <c r="R264" s="318">
        <v>172</v>
      </c>
      <c r="S264" s="388">
        <f t="shared" si="8"/>
        <v>3.859964093357271E-2</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33</v>
      </c>
      <c r="Q266" s="388">
        <f>SUM(Q257:Q265)</f>
        <v>1</v>
      </c>
      <c r="R266" s="318">
        <f>SUM(R257:R265)</f>
        <v>4456</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2007</v>
      </c>
      <c r="Q280" s="388"/>
      <c r="R280" s="396">
        <f>+R278+R266+R254</f>
        <v>246046</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323</v>
      </c>
      <c r="C285" s="220"/>
      <c r="D285" s="220"/>
      <c r="E285" s="220"/>
      <c r="F285" s="256" t="s">
        <v>274</v>
      </c>
      <c r="G285" s="220"/>
      <c r="H285" s="220" t="s">
        <v>275</v>
      </c>
      <c r="I285" s="255"/>
      <c r="J285" s="255"/>
      <c r="K285" s="255"/>
      <c r="L285" s="255"/>
      <c r="M285" s="255"/>
      <c r="N285" s="255"/>
      <c r="O285" s="255"/>
      <c r="P285" s="255"/>
      <c r="Q285" s="255"/>
      <c r="R285" s="255"/>
      <c r="S285" s="255"/>
      <c r="T285" s="255"/>
      <c r="U285" s="192"/>
      <c r="V285" s="5"/>
    </row>
    <row r="286" spans="1:22" ht="15.6" x14ac:dyDescent="0.3">
      <c r="A286" s="254"/>
      <c r="B286" s="220" t="s">
        <v>324</v>
      </c>
      <c r="C286" s="220"/>
      <c r="D286" s="220"/>
      <c r="E286" s="220"/>
      <c r="F286" s="256" t="s">
        <v>158</v>
      </c>
      <c r="G286" s="220"/>
      <c r="H286" s="220" t="s">
        <v>168</v>
      </c>
      <c r="I286" s="255"/>
      <c r="J286" s="255"/>
      <c r="K286" s="255"/>
      <c r="L286" s="255"/>
      <c r="M286" s="255"/>
      <c r="N286" s="255"/>
      <c r="O286" s="255"/>
      <c r="P286" s="255"/>
      <c r="Q286" s="255"/>
      <c r="R286" s="255"/>
      <c r="S286" s="255"/>
      <c r="T286" s="255"/>
      <c r="U286" s="192"/>
      <c r="V286" s="5"/>
    </row>
    <row r="287" spans="1:22" ht="15.6" x14ac:dyDescent="0.3">
      <c r="A287" s="254"/>
      <c r="B287" s="220"/>
      <c r="C287" s="220"/>
      <c r="D287" s="220"/>
      <c r="E287" s="220"/>
      <c r="F287" s="220"/>
      <c r="G287" s="257"/>
      <c r="H287" s="255"/>
      <c r="I287" s="255"/>
      <c r="J287" s="255"/>
      <c r="K287" s="255"/>
      <c r="L287" s="255"/>
      <c r="M287" s="255"/>
      <c r="N287" s="255"/>
      <c r="O287" s="255"/>
      <c r="P287" s="255"/>
      <c r="Q287" s="255"/>
      <c r="R287" s="255"/>
      <c r="S287" s="255"/>
      <c r="T287" s="255"/>
      <c r="U287" s="192"/>
      <c r="V287" s="5"/>
    </row>
    <row r="288" spans="1:22" ht="15.6" x14ac:dyDescent="0.3">
      <c r="A288" s="216"/>
      <c r="B288" s="185"/>
      <c r="C288" s="185"/>
      <c r="D288" s="185"/>
      <c r="E288" s="185"/>
      <c r="F288" s="185"/>
      <c r="G288" s="217"/>
      <c r="H288" s="192"/>
      <c r="I288" s="192"/>
      <c r="J288" s="192"/>
      <c r="K288" s="192"/>
      <c r="L288" s="192"/>
      <c r="M288" s="192"/>
      <c r="N288" s="192"/>
      <c r="O288" s="192"/>
      <c r="P288" s="192"/>
      <c r="Q288" s="192"/>
      <c r="R288" s="192"/>
      <c r="S288" s="192"/>
      <c r="T288" s="192"/>
      <c r="U288" s="192"/>
      <c r="V288" s="5"/>
    </row>
    <row r="289" spans="1:22" ht="18" thickBot="1" x14ac:dyDescent="0.35">
      <c r="A289" s="216"/>
      <c r="B289" s="267" t="str">
        <f>B195</f>
        <v>PM9 INVESTOR REPORT QUARTER ENDING JANUARY 2016</v>
      </c>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x14ac:dyDescent="0.25">
      <c r="A290" s="101"/>
      <c r="B290" s="101"/>
      <c r="C290" s="101"/>
      <c r="D290" s="101"/>
      <c r="E290" s="101"/>
      <c r="F290" s="101"/>
      <c r="G290" s="101"/>
      <c r="H290" s="101"/>
      <c r="I290" s="101"/>
      <c r="J290" s="101"/>
      <c r="K290" s="101"/>
      <c r="L290" s="101"/>
      <c r="M290" s="101"/>
      <c r="N290" s="101"/>
      <c r="O290" s="101"/>
      <c r="P290" s="101"/>
      <c r="Q290" s="101"/>
      <c r="R290" s="101"/>
      <c r="S290" s="101"/>
      <c r="T290" s="101"/>
      <c r="U290" s="101"/>
    </row>
  </sheetData>
  <hyperlinks>
    <hyperlink ref="J9" r:id="rId1" xr:uid="{00000000-0004-0000-2D00-000000000000}"/>
    <hyperlink ref="N230" r:id="rId2" xr:uid="{00000000-0004-0000-2D00-000001000000}"/>
  </hyperlinks>
  <printOptions horizontalCentered="1" verticalCentered="1"/>
  <pageMargins left="0.19685039370078741" right="0.19685039370078741" top="0.27559055118110237" bottom="0.27559055118110237" header="0" footer="0"/>
  <pageSetup scale="41" orientation="landscape" r:id="rId3"/>
  <headerFooter alignWithMargins="0"/>
  <rowBreaks count="3" manualBreakCount="3">
    <brk id="61" max="20" man="1"/>
    <brk id="134" max="20" man="1"/>
    <brk id="195" max="20" man="1"/>
  </rowBreaks>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89CB31"/>
  </sheetPr>
  <dimension ref="A1:W290"/>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0.7278</v>
      </c>
      <c r="R16" s="225" t="s">
        <v>149</v>
      </c>
      <c r="S16" s="224">
        <v>0.2722</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42873</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329</v>
      </c>
      <c r="E25" s="398"/>
      <c r="F25" s="398" t="s">
        <v>329</v>
      </c>
      <c r="G25" s="398"/>
      <c r="H25" s="398" t="s">
        <v>329</v>
      </c>
      <c r="I25" s="398"/>
      <c r="J25" s="398" t="s">
        <v>330</v>
      </c>
      <c r="K25" s="398"/>
      <c r="L25" s="398" t="s">
        <v>330</v>
      </c>
      <c r="M25" s="398"/>
      <c r="N25" s="398" t="s">
        <v>340</v>
      </c>
      <c r="O25" s="398"/>
      <c r="P25" s="398" t="s">
        <v>340</v>
      </c>
      <c r="Q25" s="398"/>
      <c r="R25" s="273"/>
      <c r="S25" s="274"/>
      <c r="T25" s="274"/>
      <c r="U25" s="275"/>
      <c r="V25" s="5"/>
    </row>
    <row r="26" spans="1:22" ht="15.6" x14ac:dyDescent="0.3">
      <c r="A26" s="276"/>
      <c r="B26" s="277" t="s">
        <v>10</v>
      </c>
      <c r="C26" s="398"/>
      <c r="D26" s="398" t="s">
        <v>339</v>
      </c>
      <c r="E26" s="398"/>
      <c r="F26" s="398" t="s">
        <v>339</v>
      </c>
      <c r="G26" s="398"/>
      <c r="H26" s="398" t="s">
        <v>339</v>
      </c>
      <c r="I26" s="398"/>
      <c r="J26" s="398" t="s">
        <v>339</v>
      </c>
      <c r="K26" s="398"/>
      <c r="L26" s="398" t="s">
        <v>339</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106892.202</v>
      </c>
      <c r="E30" s="280"/>
      <c r="F30" s="282">
        <f>F29*F36</f>
        <v>109672.63500000001</v>
      </c>
      <c r="G30" s="281"/>
      <c r="H30" s="283">
        <f>H29*H36</f>
        <v>18536.094000000001</v>
      </c>
      <c r="I30" s="281"/>
      <c r="J30" s="281">
        <f>J29*J36</f>
        <v>4920.9005999999999</v>
      </c>
      <c r="K30" s="281"/>
      <c r="L30" s="282">
        <f>L29*L36</f>
        <v>20738.081099999999</v>
      </c>
      <c r="M30" s="281"/>
      <c r="N30" s="284">
        <f>N29*N36</f>
        <v>2108.9573999999998</v>
      </c>
      <c r="O30" s="281"/>
      <c r="P30" s="282">
        <f>P29*P36</f>
        <v>46397.0628</v>
      </c>
      <c r="Q30" s="281"/>
      <c r="R30" s="281"/>
      <c r="S30" s="285"/>
      <c r="T30" s="281"/>
      <c r="U30" s="286"/>
      <c r="V30" s="5"/>
    </row>
    <row r="31" spans="1:22" ht="15.6" x14ac:dyDescent="0.3">
      <c r="A31" s="276"/>
      <c r="B31" s="277" t="s">
        <v>143</v>
      </c>
      <c r="C31" s="287"/>
      <c r="D31" s="288">
        <f>D35*D29</f>
        <v>105363.57399999999</v>
      </c>
      <c r="E31" s="287"/>
      <c r="F31" s="289">
        <f>F35*F29</f>
        <v>108104.245</v>
      </c>
      <c r="G31" s="288"/>
      <c r="H31" s="290">
        <f>H35*H29</f>
        <v>18271.007999999998</v>
      </c>
      <c r="I31" s="288"/>
      <c r="J31" s="288">
        <f>J35*J29</f>
        <v>4850.5267999999996</v>
      </c>
      <c r="K31" s="288"/>
      <c r="L31" s="289">
        <f>L35*L29</f>
        <v>20441.505799999999</v>
      </c>
      <c r="M31" s="288"/>
      <c r="N31" s="291">
        <f>N35*N29</f>
        <v>2078.7972</v>
      </c>
      <c r="O31" s="288"/>
      <c r="P31" s="289">
        <f>P35*P29</f>
        <v>45733.538399999998</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106892.202</v>
      </c>
      <c r="E33" s="280"/>
      <c r="F33" s="281">
        <f>F32*F36</f>
        <v>75535.0965</v>
      </c>
      <c r="G33" s="281"/>
      <c r="H33" s="281">
        <f>H32*H36</f>
        <v>10472.893110000001</v>
      </c>
      <c r="I33" s="281"/>
      <c r="J33" s="281">
        <f>J32*J36</f>
        <v>4920.9005999999999</v>
      </c>
      <c r="K33" s="281"/>
      <c r="L33" s="281">
        <f>L32*L36</f>
        <v>14270.61174</v>
      </c>
      <c r="M33" s="281"/>
      <c r="N33" s="281">
        <f>N32*N36</f>
        <v>2108.9573999999998</v>
      </c>
      <c r="O33" s="281"/>
      <c r="P33" s="281">
        <f>P32*P36</f>
        <v>31845.256740000001</v>
      </c>
      <c r="Q33" s="281"/>
      <c r="R33" s="281"/>
      <c r="S33" s="285"/>
      <c r="T33" s="281">
        <f>SUM(C33:P33)</f>
        <v>246045.91809000002</v>
      </c>
      <c r="U33" s="286"/>
      <c r="V33" s="5"/>
    </row>
    <row r="34" spans="1:22" ht="15.6" x14ac:dyDescent="0.3">
      <c r="A34" s="276"/>
      <c r="B34" s="277" t="s">
        <v>291</v>
      </c>
      <c r="C34" s="287"/>
      <c r="D34" s="288">
        <f>D35*D32</f>
        <v>105363.57399999999</v>
      </c>
      <c r="E34" s="287"/>
      <c r="F34" s="288">
        <f>F35*F32</f>
        <v>74454.895499999999</v>
      </c>
      <c r="G34" s="288"/>
      <c r="H34" s="288">
        <f>H35*H32</f>
        <v>10323.119519999998</v>
      </c>
      <c r="I34" s="288"/>
      <c r="J34" s="288">
        <f>J35*J32</f>
        <v>4850.5267999999996</v>
      </c>
      <c r="K34" s="288"/>
      <c r="L34" s="288">
        <f>L35*L32</f>
        <v>14066.52772</v>
      </c>
      <c r="M34" s="288"/>
      <c r="N34" s="288">
        <f>N35*N32</f>
        <v>2078.7972</v>
      </c>
      <c r="O34" s="288"/>
      <c r="P34" s="288">
        <f>P35*P32</f>
        <v>31389.83772</v>
      </c>
      <c r="Q34" s="288"/>
      <c r="R34" s="288"/>
      <c r="S34" s="292"/>
      <c r="T34" s="288">
        <f>SUM(C34:P34)</f>
        <v>242527.27846000003</v>
      </c>
      <c r="U34" s="286"/>
      <c r="V34" s="5"/>
    </row>
    <row r="35" spans="1:22" ht="15.6" x14ac:dyDescent="0.3">
      <c r="A35" s="276"/>
      <c r="B35" s="293" t="s">
        <v>139</v>
      </c>
      <c r="C35" s="294"/>
      <c r="D35" s="295">
        <v>0.30451899999999998</v>
      </c>
      <c r="E35" s="296"/>
      <c r="F35" s="295">
        <v>0.30451899999999998</v>
      </c>
      <c r="G35" s="295"/>
      <c r="H35" s="295">
        <v>0.30451679999999998</v>
      </c>
      <c r="I35" s="297"/>
      <c r="J35" s="295">
        <v>0.6929324</v>
      </c>
      <c r="K35" s="295"/>
      <c r="L35" s="295">
        <v>0.6929324</v>
      </c>
      <c r="M35" s="297"/>
      <c r="N35" s="295">
        <v>0.6929324</v>
      </c>
      <c r="O35" s="295"/>
      <c r="P35" s="295">
        <v>0.6929324</v>
      </c>
      <c r="Q35" s="298"/>
      <c r="R35" s="298"/>
      <c r="S35" s="299"/>
      <c r="T35" s="298"/>
      <c r="U35" s="300"/>
      <c r="V35" s="5"/>
    </row>
    <row r="36" spans="1:22" ht="15.6" x14ac:dyDescent="0.3">
      <c r="A36" s="276"/>
      <c r="B36" s="293" t="s">
        <v>140</v>
      </c>
      <c r="C36" s="294"/>
      <c r="D36" s="295">
        <v>0.30893700000000002</v>
      </c>
      <c r="E36" s="296"/>
      <c r="F36" s="295">
        <v>0.30893700000000002</v>
      </c>
      <c r="G36" s="295"/>
      <c r="H36" s="295">
        <v>0.30893490000000001</v>
      </c>
      <c r="I36" s="297"/>
      <c r="J36" s="295">
        <v>0.70298579999999999</v>
      </c>
      <c r="K36" s="295"/>
      <c r="L36" s="295">
        <v>0.70298579999999999</v>
      </c>
      <c r="M36" s="297"/>
      <c r="N36" s="295">
        <v>0.70298579999999999</v>
      </c>
      <c r="O36" s="295"/>
      <c r="P36" s="295">
        <v>0.70298579999999999</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7.1805999999999997E-3</v>
      </c>
      <c r="E38" s="272"/>
      <c r="F38" s="303">
        <v>3.1E-4</v>
      </c>
      <c r="G38" s="304"/>
      <c r="H38" s="303">
        <v>1.3990000000000001E-2</v>
      </c>
      <c r="I38" s="304"/>
      <c r="J38" s="303">
        <v>9.3805999999999994E-3</v>
      </c>
      <c r="K38" s="304"/>
      <c r="L38" s="303">
        <v>2.5100000000000001E-3</v>
      </c>
      <c r="M38" s="304"/>
      <c r="N38" s="303">
        <v>1.3980599999999999E-2</v>
      </c>
      <c r="O38" s="304"/>
      <c r="P38" s="303">
        <v>7.11E-3</v>
      </c>
      <c r="Q38" s="304"/>
      <c r="R38" s="303"/>
      <c r="S38" s="274"/>
      <c r="T38" s="304"/>
      <c r="U38" s="275"/>
      <c r="V38" s="5"/>
    </row>
    <row r="39" spans="1:22" ht="15.6" x14ac:dyDescent="0.3">
      <c r="A39" s="302"/>
      <c r="B39" s="272" t="s">
        <v>14</v>
      </c>
      <c r="C39" s="272"/>
      <c r="D39" s="303">
        <v>7.5775E-3</v>
      </c>
      <c r="E39" s="272"/>
      <c r="F39" s="303">
        <v>4.8000000000000001E-4</v>
      </c>
      <c r="G39" s="304"/>
      <c r="H39" s="303">
        <v>1.26567E-2</v>
      </c>
      <c r="I39" s="304"/>
      <c r="J39" s="303">
        <v>9.7774999999999997E-3</v>
      </c>
      <c r="K39" s="304"/>
      <c r="L39" s="303">
        <v>2.6800000000000001E-3</v>
      </c>
      <c r="M39" s="304"/>
      <c r="N39" s="303">
        <v>1.43775E-2</v>
      </c>
      <c r="O39" s="304"/>
      <c r="P39" s="303">
        <v>7.28E-3</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7.1805999999999997E-3</v>
      </c>
      <c r="E41" s="272"/>
      <c r="F41" s="303">
        <v>7.3806000000000002E-3</v>
      </c>
      <c r="G41" s="304"/>
      <c r="H41" s="303">
        <v>7.6406E-3</v>
      </c>
      <c r="I41" s="304"/>
      <c r="J41" s="303">
        <f>+J38</f>
        <v>9.3805999999999994E-3</v>
      </c>
      <c r="K41" s="304"/>
      <c r="L41" s="303">
        <v>9.9705999999999996E-3</v>
      </c>
      <c r="M41" s="304"/>
      <c r="N41" s="303">
        <f>+N38</f>
        <v>1.3980599999999999E-2</v>
      </c>
      <c r="O41" s="304"/>
      <c r="P41" s="303">
        <v>1.48606E-2</v>
      </c>
      <c r="Q41" s="304"/>
      <c r="R41" s="303"/>
      <c r="S41" s="274"/>
      <c r="T41" s="304">
        <f>SUMPRODUCT(D41:P41,D33:P33)/T33</f>
        <v>8.519691592520879E-3</v>
      </c>
      <c r="U41" s="275"/>
      <c r="V41" s="5"/>
    </row>
    <row r="42" spans="1:22" ht="15.6" x14ac:dyDescent="0.3">
      <c r="A42" s="302"/>
      <c r="B42" s="272" t="s">
        <v>294</v>
      </c>
      <c r="C42" s="272"/>
      <c r="D42" s="303">
        <f>+D39</f>
        <v>7.5775E-3</v>
      </c>
      <c r="E42" s="272"/>
      <c r="F42" s="303">
        <v>7.7774999999999997E-3</v>
      </c>
      <c r="G42" s="304"/>
      <c r="H42" s="303">
        <v>8.0374999999999995E-3</v>
      </c>
      <c r="I42" s="304"/>
      <c r="J42" s="303">
        <f>+J39</f>
        <v>9.7774999999999997E-3</v>
      </c>
      <c r="K42" s="304"/>
      <c r="L42" s="303">
        <v>1.03675E-2</v>
      </c>
      <c r="M42" s="304"/>
      <c r="N42" s="303">
        <f>+N39</f>
        <v>1.43775E-2</v>
      </c>
      <c r="O42" s="304"/>
      <c r="P42" s="303">
        <v>1.52575E-2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0.27550884427756528</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42870</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92</v>
      </c>
      <c r="Q54" s="272"/>
      <c r="R54" s="312">
        <v>42689</v>
      </c>
      <c r="S54" s="313"/>
      <c r="T54" s="312">
        <v>42780</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89</v>
      </c>
      <c r="Q55" s="272"/>
      <c r="R55" s="312">
        <v>42781</v>
      </c>
      <c r="S55" s="313"/>
      <c r="T55" s="312">
        <v>42869</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42857</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343</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246046</v>
      </c>
      <c r="M65" s="317"/>
      <c r="N65" s="317">
        <f>3519+294</f>
        <v>3813</v>
      </c>
      <c r="O65" s="317"/>
      <c r="P65" s="317">
        <v>294</v>
      </c>
      <c r="Q65" s="317"/>
      <c r="R65" s="317">
        <v>0</v>
      </c>
      <c r="S65" s="317"/>
      <c r="T65" s="318">
        <f>+L65-N65+P65-R65</f>
        <v>242527</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246046</v>
      </c>
      <c r="M68" s="317"/>
      <c r="N68" s="317">
        <f>SUM(N65:N67)</f>
        <v>3813</v>
      </c>
      <c r="O68" s="317"/>
      <c r="P68" s="317">
        <f>SUM(P65:P67)</f>
        <v>294</v>
      </c>
      <c r="Q68" s="317"/>
      <c r="R68" s="317">
        <f>SUM(R65:R67)</f>
        <v>0</v>
      </c>
      <c r="S68" s="317"/>
      <c r="T68" s="317">
        <f>SUM(T65:T67)</f>
        <v>242527</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246046</v>
      </c>
      <c r="M81" s="317"/>
      <c r="N81" s="317"/>
      <c r="O81" s="317"/>
      <c r="P81" s="317"/>
      <c r="Q81" s="317"/>
      <c r="R81" s="317"/>
      <c r="S81" s="317"/>
      <c r="T81" s="317">
        <f>SUM(T68:T80)</f>
        <v>242527</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42853</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3813-25</f>
        <v>3788</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1308+485-316-118</f>
        <v>1359</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57+8</f>
        <v>65</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11</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53</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3788</v>
      </c>
      <c r="S93" s="272"/>
      <c r="T93" s="317">
        <f>SUM(T85:T92)</f>
        <v>1488</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17</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3788</v>
      </c>
      <c r="S97" s="272"/>
      <c r="T97" s="317">
        <f>T93+T95+T94+T96</f>
        <v>1505</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-92-34-4</f>
        <v>-130</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0</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-187</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-136</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v>-20</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-11</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-35</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-7</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-115</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25</v>
      </c>
      <c r="S113" s="272"/>
      <c r="T113" s="318">
        <v>-25</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-92</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-739</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-294</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-1529</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-1080</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-150</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-70</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-204</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-30</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-456</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-3813</v>
      </c>
      <c r="S130" s="317"/>
      <c r="T130" s="317">
        <f>SUM(T98:T128)</f>
        <v>-1505</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APRIL 2016</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400" t="s">
        <v>327</v>
      </c>
      <c r="C153" s="272"/>
      <c r="D153" s="272"/>
      <c r="E153" s="272"/>
      <c r="F153" s="272"/>
      <c r="G153" s="272"/>
      <c r="H153" s="272"/>
      <c r="I153" s="272"/>
      <c r="J153" s="272"/>
      <c r="K153" s="272"/>
      <c r="L153" s="272"/>
      <c r="M153" s="272"/>
      <c r="N153" s="272"/>
      <c r="O153" s="272"/>
      <c r="P153" s="272"/>
      <c r="Q153" s="272"/>
      <c r="R153" s="272"/>
      <c r="S153" s="272"/>
      <c r="T153" s="318">
        <v>0</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25</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25</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-25</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v>0</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242527</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242527</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+'Jan 17'!Q181</f>
        <v>48649</v>
      </c>
      <c r="R179" s="318">
        <f>+'Jan 17'!R181</f>
        <v>2435</v>
      </c>
      <c r="S179" s="272"/>
      <c r="T179" s="318">
        <f>Q179+R179</f>
        <v>51084</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294</v>
      </c>
      <c r="R180" s="317">
        <v>0</v>
      </c>
      <c r="S180" s="272"/>
      <c r="T180" s="318">
        <f>Q180+R180</f>
        <v>294</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48943</v>
      </c>
      <c r="R181" s="318">
        <f>R180+R179</f>
        <v>2435</v>
      </c>
      <c r="S181" s="272"/>
      <c r="T181" s="318">
        <f>Q181+R181</f>
        <v>51378</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60622</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4.0029154518950438</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1.69</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22.391304347826086</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9.59</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8.0655737704918025</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4.25</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APRIL 2016</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42853</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2.1430000000000001E-2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8.519691592520879E-3</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1.2910308407479122E-2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6.1167423977630201E-3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10.33</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1.5497102167887305E-2</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9.3899999999999997E-2</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1</v>
      </c>
      <c r="R214" s="248">
        <v>77</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30</v>
      </c>
      <c r="R215" s="360">
        <f>+R266</f>
        <v>3984</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25</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'Jan 17'!R221+'April 17'!R220</f>
        <v>4405</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2</v>
      </c>
      <c r="R227" s="360">
        <v>401</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0.59</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1969</v>
      </c>
      <c r="Q233" s="388">
        <f t="shared" ref="Q233:Q240" si="2">P233/$P$242</f>
        <v>0.99797263051191076</v>
      </c>
      <c r="R233" s="318">
        <f t="shared" ref="R233:R240" si="3">+R245+R257+R269</f>
        <v>242005</v>
      </c>
      <c r="S233" s="388">
        <f t="shared" ref="S233:S240" si="4">R233/$R$242</f>
        <v>0.99784766232213318</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3</v>
      </c>
      <c r="Q234" s="388">
        <f t="shared" si="2"/>
        <v>1.5205271160669033E-3</v>
      </c>
      <c r="R234" s="318">
        <f t="shared" si="3"/>
        <v>365</v>
      </c>
      <c r="S234" s="388">
        <f t="shared" si="4"/>
        <v>1.5049870736041761E-3</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1</v>
      </c>
      <c r="Q235" s="388">
        <f t="shared" si="2"/>
        <v>5.0684237202230106E-4</v>
      </c>
      <c r="R235" s="318">
        <f t="shared" si="3"/>
        <v>157</v>
      </c>
      <c r="S235" s="388">
        <f t="shared" si="4"/>
        <v>6.4735060426261823E-4</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0</v>
      </c>
      <c r="Q238" s="388">
        <f t="shared" si="2"/>
        <v>0</v>
      </c>
      <c r="R238" s="318">
        <f t="shared" si="3"/>
        <v>0</v>
      </c>
      <c r="S238" s="388">
        <f t="shared" si="4"/>
        <v>0</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0</v>
      </c>
      <c r="Q239" s="388">
        <f t="shared" si="2"/>
        <v>0</v>
      </c>
      <c r="R239" s="318">
        <f t="shared" si="3"/>
        <v>0</v>
      </c>
      <c r="S239" s="388">
        <f t="shared" si="4"/>
        <v>0</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0</v>
      </c>
      <c r="Q240" s="388">
        <f t="shared" si="2"/>
        <v>0</v>
      </c>
      <c r="R240" s="318">
        <f t="shared" si="3"/>
        <v>0</v>
      </c>
      <c r="S240" s="388">
        <f t="shared" si="4"/>
        <v>0</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1973</v>
      </c>
      <c r="Q242" s="388">
        <f>SUM(Q233:Q241)</f>
        <v>0.99999999999999989</v>
      </c>
      <c r="R242" s="318">
        <f>SUM(R233:R241)</f>
        <v>242527</v>
      </c>
      <c r="S242" s="388">
        <f>SUM(S233:S241)</f>
        <v>0.99999999999999989</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1940</v>
      </c>
      <c r="Q245" s="250">
        <f t="shared" ref="Q245:Q252" si="5">P245/$P$254</f>
        <v>0.99845599588265566</v>
      </c>
      <c r="R245" s="242">
        <v>238098</v>
      </c>
      <c r="S245" s="250">
        <f t="shared" ref="S245:S252" si="6">R245/$R$254</f>
        <v>0.99813450824379668</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2</v>
      </c>
      <c r="Q246" s="388">
        <f t="shared" si="5"/>
        <v>1.029336078229542E-3</v>
      </c>
      <c r="R246" s="318">
        <v>288</v>
      </c>
      <c r="S246" s="388">
        <f t="shared" si="6"/>
        <v>1.2073294961495412E-3</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1</v>
      </c>
      <c r="Q247" s="388">
        <f t="shared" si="5"/>
        <v>5.1466803911477102E-4</v>
      </c>
      <c r="R247" s="318">
        <v>157</v>
      </c>
      <c r="S247" s="388">
        <f t="shared" si="6"/>
        <v>6.5816226005374298E-4</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1943</v>
      </c>
      <c r="Q254" s="388">
        <f>SUM(Q245:Q253)</f>
        <v>1</v>
      </c>
      <c r="R254" s="318">
        <f>SUM(R245:R253)</f>
        <v>238543</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29</v>
      </c>
      <c r="Q257" s="250">
        <f t="shared" ref="Q257:Q264" si="7">P257/$P$266</f>
        <v>0.96666666666666667</v>
      </c>
      <c r="R257" s="242">
        <v>3907</v>
      </c>
      <c r="S257" s="250">
        <f t="shared" ref="S257:S264" si="8">R257/$R$266</f>
        <v>0.98067269076305219</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1</v>
      </c>
      <c r="Q258" s="388">
        <f t="shared" si="7"/>
        <v>3.3333333333333333E-2</v>
      </c>
      <c r="R258" s="318">
        <v>77</v>
      </c>
      <c r="S258" s="388">
        <f t="shared" si="8"/>
        <v>1.9327309236947792E-2</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0</v>
      </c>
      <c r="Q259" s="388">
        <f t="shared" si="7"/>
        <v>0</v>
      </c>
      <c r="R259" s="318">
        <v>0</v>
      </c>
      <c r="S259" s="388">
        <f t="shared" si="8"/>
        <v>0</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0</v>
      </c>
      <c r="Q262" s="388">
        <f t="shared" si="7"/>
        <v>0</v>
      </c>
      <c r="R262" s="318">
        <v>0</v>
      </c>
      <c r="S262" s="388">
        <f t="shared" si="8"/>
        <v>0</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0</v>
      </c>
      <c r="Q263" s="388">
        <f t="shared" si="7"/>
        <v>0</v>
      </c>
      <c r="R263" s="318">
        <v>0</v>
      </c>
      <c r="S263" s="388">
        <f t="shared" si="8"/>
        <v>0</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0</v>
      </c>
      <c r="Q264" s="388">
        <f t="shared" si="7"/>
        <v>0</v>
      </c>
      <c r="R264" s="318">
        <v>0</v>
      </c>
      <c r="S264" s="388">
        <f t="shared" si="8"/>
        <v>0</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30</v>
      </c>
      <c r="Q266" s="388">
        <f>SUM(Q257:Q265)</f>
        <v>1</v>
      </c>
      <c r="R266" s="318">
        <f>SUM(R257:R265)</f>
        <v>3984</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1973</v>
      </c>
      <c r="Q280" s="388"/>
      <c r="R280" s="396">
        <f>+R278+R266+R254</f>
        <v>242527</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323</v>
      </c>
      <c r="C285" s="220"/>
      <c r="D285" s="220"/>
      <c r="E285" s="220"/>
      <c r="F285" s="256" t="s">
        <v>274</v>
      </c>
      <c r="G285" s="220"/>
      <c r="H285" s="220" t="s">
        <v>275</v>
      </c>
      <c r="I285" s="255"/>
      <c r="J285" s="255"/>
      <c r="K285" s="255"/>
      <c r="L285" s="255"/>
      <c r="M285" s="255"/>
      <c r="N285" s="255"/>
      <c r="O285" s="255"/>
      <c r="P285" s="255"/>
      <c r="Q285" s="255"/>
      <c r="R285" s="255"/>
      <c r="S285" s="255"/>
      <c r="T285" s="255"/>
      <c r="U285" s="192"/>
      <c r="V285" s="5"/>
    </row>
    <row r="286" spans="1:22" ht="15.6" x14ac:dyDescent="0.3">
      <c r="A286" s="254"/>
      <c r="B286" s="220" t="s">
        <v>324</v>
      </c>
      <c r="C286" s="220"/>
      <c r="D286" s="220"/>
      <c r="E286" s="220"/>
      <c r="F286" s="256" t="s">
        <v>158</v>
      </c>
      <c r="G286" s="220"/>
      <c r="H286" s="220" t="s">
        <v>168</v>
      </c>
      <c r="I286" s="255"/>
      <c r="J286" s="255"/>
      <c r="K286" s="255"/>
      <c r="L286" s="255"/>
      <c r="M286" s="255"/>
      <c r="N286" s="255"/>
      <c r="O286" s="255"/>
      <c r="P286" s="255"/>
      <c r="Q286" s="255"/>
      <c r="R286" s="255"/>
      <c r="S286" s="255"/>
      <c r="T286" s="255"/>
      <c r="U286" s="192"/>
      <c r="V286" s="5"/>
    </row>
    <row r="287" spans="1:22" ht="15.6" x14ac:dyDescent="0.3">
      <c r="A287" s="254"/>
      <c r="B287" s="220"/>
      <c r="C287" s="220"/>
      <c r="D287" s="220"/>
      <c r="E287" s="220"/>
      <c r="F287" s="220"/>
      <c r="G287" s="257"/>
      <c r="H287" s="255"/>
      <c r="I287" s="255"/>
      <c r="J287" s="255"/>
      <c r="K287" s="255"/>
      <c r="L287" s="255"/>
      <c r="M287" s="255"/>
      <c r="N287" s="255"/>
      <c r="O287" s="255"/>
      <c r="P287" s="255"/>
      <c r="Q287" s="255"/>
      <c r="R287" s="255"/>
      <c r="S287" s="255"/>
      <c r="T287" s="255"/>
      <c r="U287" s="192"/>
      <c r="V287" s="5"/>
    </row>
    <row r="288" spans="1:22" ht="15.6" x14ac:dyDescent="0.3">
      <c r="A288" s="216"/>
      <c r="B288" s="185"/>
      <c r="C288" s="185"/>
      <c r="D288" s="185"/>
      <c r="E288" s="185"/>
      <c r="F288" s="185"/>
      <c r="G288" s="217"/>
      <c r="H288" s="192"/>
      <c r="I288" s="192"/>
      <c r="J288" s="192"/>
      <c r="K288" s="192"/>
      <c r="L288" s="192"/>
      <c r="M288" s="192"/>
      <c r="N288" s="192"/>
      <c r="O288" s="192"/>
      <c r="P288" s="192"/>
      <c r="Q288" s="192"/>
      <c r="R288" s="192"/>
      <c r="S288" s="192"/>
      <c r="T288" s="192"/>
      <c r="U288" s="192"/>
      <c r="V288" s="5"/>
    </row>
    <row r="289" spans="1:22" ht="18" thickBot="1" x14ac:dyDescent="0.35">
      <c r="A289" s="216"/>
      <c r="B289" s="267" t="str">
        <f>B195</f>
        <v>PM9 INVESTOR REPORT QUARTER ENDING APRIL 2016</v>
      </c>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x14ac:dyDescent="0.25">
      <c r="A290" s="101"/>
      <c r="B290" s="101"/>
      <c r="C290" s="101"/>
      <c r="D290" s="101"/>
      <c r="E290" s="101"/>
      <c r="F290" s="101"/>
      <c r="G290" s="101"/>
      <c r="H290" s="101"/>
      <c r="I290" s="101"/>
      <c r="J290" s="101"/>
      <c r="K290" s="101"/>
      <c r="L290" s="101"/>
      <c r="M290" s="101"/>
      <c r="N290" s="101"/>
      <c r="O290" s="101"/>
      <c r="P290" s="101"/>
      <c r="Q290" s="101"/>
      <c r="R290" s="101"/>
      <c r="S290" s="101"/>
      <c r="T290" s="101"/>
      <c r="U290" s="101"/>
    </row>
  </sheetData>
  <hyperlinks>
    <hyperlink ref="J9" r:id="rId1" xr:uid="{00000000-0004-0000-2E00-000000000000}"/>
    <hyperlink ref="N230" r:id="rId2" xr:uid="{00000000-0004-0000-2E00-000001000000}"/>
  </hyperlinks>
  <printOptions horizontalCentered="1" verticalCentered="1"/>
  <pageMargins left="0.19685039370078741" right="0.19685039370078741" top="0.27559055118110237" bottom="0.27559055118110237" header="0" footer="0"/>
  <pageSetup scale="41" orientation="landscape" r:id="rId3"/>
  <headerFooter alignWithMargins="0"/>
  <rowBreaks count="3" manualBreakCount="3">
    <brk id="61" max="20" man="1"/>
    <brk id="134" max="20" man="1"/>
    <brk id="195" max="20" man="1"/>
  </rowBreaks>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2D2926"/>
  </sheetPr>
  <dimension ref="A1:W290"/>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175"/>
      <c r="B1" s="218" t="s">
        <v>181</v>
      </c>
      <c r="C1" s="176" t="s">
        <v>263</v>
      </c>
      <c r="D1" s="176"/>
      <c r="E1" s="176"/>
      <c r="F1" s="176"/>
      <c r="G1" s="176"/>
      <c r="H1" s="176"/>
      <c r="I1" s="176"/>
      <c r="J1" s="176"/>
      <c r="K1" s="176"/>
      <c r="L1" s="176"/>
      <c r="M1" s="176"/>
      <c r="N1" s="176"/>
      <c r="O1" s="176"/>
      <c r="P1" s="176"/>
      <c r="Q1" s="176"/>
      <c r="R1" s="176"/>
      <c r="S1" s="176"/>
      <c r="T1" s="176"/>
      <c r="U1" s="176"/>
      <c r="V1" s="5"/>
    </row>
    <row r="2" spans="1:22" ht="15.6" x14ac:dyDescent="0.3">
      <c r="A2" s="177"/>
      <c r="B2" s="178"/>
      <c r="C2" s="179"/>
      <c r="D2" s="179"/>
      <c r="E2" s="179"/>
      <c r="F2" s="179"/>
      <c r="G2" s="179"/>
      <c r="H2" s="179"/>
      <c r="I2" s="179"/>
      <c r="J2" s="179"/>
      <c r="K2" s="179"/>
      <c r="L2" s="179"/>
      <c r="M2" s="179"/>
      <c r="N2" s="179"/>
      <c r="O2" s="179"/>
      <c r="P2" s="179"/>
      <c r="Q2" s="179"/>
      <c r="R2" s="179"/>
      <c r="S2" s="179"/>
      <c r="T2" s="179"/>
      <c r="U2" s="179"/>
      <c r="V2" s="5"/>
    </row>
    <row r="3" spans="1:22" ht="15.6" x14ac:dyDescent="0.3">
      <c r="A3" s="180"/>
      <c r="B3" s="181" t="s">
        <v>182</v>
      </c>
      <c r="C3" s="179"/>
      <c r="D3" s="179"/>
      <c r="E3" s="179"/>
      <c r="F3" s="179"/>
      <c r="G3" s="179"/>
      <c r="H3" s="179"/>
      <c r="I3" s="179"/>
      <c r="J3" s="179"/>
      <c r="K3" s="179"/>
      <c r="L3" s="179"/>
      <c r="M3" s="179"/>
      <c r="N3" s="179"/>
      <c r="O3" s="179"/>
      <c r="P3" s="179"/>
      <c r="Q3" s="179"/>
      <c r="R3" s="179"/>
      <c r="S3" s="179"/>
      <c r="T3" s="179"/>
      <c r="U3" s="179"/>
      <c r="V3" s="5"/>
    </row>
    <row r="4" spans="1:22" ht="15.6" x14ac:dyDescent="0.3">
      <c r="A4" s="177"/>
      <c r="B4" s="178"/>
      <c r="C4" s="179"/>
      <c r="D4" s="179"/>
      <c r="E4" s="179"/>
      <c r="F4" s="179"/>
      <c r="G4" s="179"/>
      <c r="H4" s="179"/>
      <c r="I4" s="179"/>
      <c r="J4" s="179"/>
      <c r="K4" s="179"/>
      <c r="L4" s="179"/>
      <c r="M4" s="179"/>
      <c r="N4" s="179"/>
      <c r="O4" s="179"/>
      <c r="P4" s="179"/>
      <c r="Q4" s="179"/>
      <c r="R4" s="179"/>
      <c r="S4" s="179"/>
      <c r="T4" s="179"/>
      <c r="U4" s="179"/>
      <c r="V4" s="5"/>
    </row>
    <row r="5" spans="1:22" ht="15.6" x14ac:dyDescent="0.3">
      <c r="A5" s="177"/>
      <c r="B5" s="219" t="s">
        <v>146</v>
      </c>
      <c r="C5" s="179"/>
      <c r="D5" s="179"/>
      <c r="E5" s="179"/>
      <c r="F5" s="179"/>
      <c r="G5" s="179"/>
      <c r="H5" s="179"/>
      <c r="I5" s="179"/>
      <c r="J5" s="179"/>
      <c r="K5" s="179"/>
      <c r="L5" s="179"/>
      <c r="M5" s="179"/>
      <c r="N5" s="179"/>
      <c r="O5" s="179"/>
      <c r="P5" s="179"/>
      <c r="Q5" s="179"/>
      <c r="R5" s="179"/>
      <c r="S5" s="179"/>
      <c r="T5" s="179"/>
      <c r="U5" s="179"/>
      <c r="V5" s="5"/>
    </row>
    <row r="6" spans="1:22" ht="15.6" x14ac:dyDescent="0.3">
      <c r="A6" s="177"/>
      <c r="B6" s="219" t="s">
        <v>148</v>
      </c>
      <c r="C6" s="179"/>
      <c r="D6" s="179"/>
      <c r="E6" s="179"/>
      <c r="F6" s="179"/>
      <c r="G6" s="179"/>
      <c r="H6" s="179"/>
      <c r="I6" s="179"/>
      <c r="J6" s="179"/>
      <c r="K6" s="179"/>
      <c r="L6" s="179"/>
      <c r="M6" s="179"/>
      <c r="N6" s="179"/>
      <c r="O6" s="179"/>
      <c r="P6" s="179"/>
      <c r="Q6" s="179"/>
      <c r="R6" s="179"/>
      <c r="S6" s="179"/>
      <c r="T6" s="179"/>
      <c r="U6" s="179"/>
      <c r="V6" s="5"/>
    </row>
    <row r="7" spans="1:22" ht="15.6" x14ac:dyDescent="0.3">
      <c r="A7" s="177"/>
      <c r="B7" s="219" t="s">
        <v>147</v>
      </c>
      <c r="C7" s="179"/>
      <c r="D7" s="179"/>
      <c r="E7" s="179"/>
      <c r="F7" s="179"/>
      <c r="G7" s="179"/>
      <c r="H7" s="179"/>
      <c r="I7" s="179"/>
      <c r="J7" s="179"/>
      <c r="K7" s="179"/>
      <c r="L7" s="179"/>
      <c r="M7" s="179"/>
      <c r="N7" s="179"/>
      <c r="O7" s="179"/>
      <c r="P7" s="179"/>
      <c r="Q7" s="179"/>
      <c r="R7" s="179"/>
      <c r="S7" s="179"/>
      <c r="T7" s="179"/>
      <c r="U7" s="179"/>
      <c r="V7" s="5"/>
    </row>
    <row r="8" spans="1:22" ht="15.6" x14ac:dyDescent="0.3">
      <c r="A8" s="177"/>
      <c r="B8" s="182"/>
      <c r="C8" s="179"/>
      <c r="D8" s="179"/>
      <c r="E8" s="179"/>
      <c r="F8" s="179"/>
      <c r="G8" s="179"/>
      <c r="H8" s="179"/>
      <c r="I8" s="179"/>
      <c r="J8" s="179"/>
      <c r="K8" s="179"/>
      <c r="L8" s="179"/>
      <c r="M8" s="179"/>
      <c r="N8" s="179"/>
      <c r="O8" s="179"/>
      <c r="P8" s="179"/>
      <c r="Q8" s="179"/>
      <c r="R8" s="179"/>
      <c r="S8" s="179"/>
      <c r="T8" s="179"/>
      <c r="U8" s="179"/>
      <c r="V8" s="5"/>
    </row>
    <row r="9" spans="1:22" ht="17.399999999999999" x14ac:dyDescent="0.3">
      <c r="A9" s="177"/>
      <c r="B9" s="183" t="s">
        <v>206</v>
      </c>
      <c r="C9" s="179"/>
      <c r="D9" s="179"/>
      <c r="E9" s="179"/>
      <c r="F9" s="179"/>
      <c r="G9" s="179"/>
      <c r="H9" s="179"/>
      <c r="I9" s="179"/>
      <c r="J9" s="184" t="s">
        <v>207</v>
      </c>
      <c r="K9" s="179"/>
      <c r="L9" s="179"/>
      <c r="M9" s="179"/>
      <c r="N9" s="179"/>
      <c r="O9" s="179"/>
      <c r="P9" s="179"/>
      <c r="Q9" s="179"/>
      <c r="R9" s="179"/>
      <c r="S9" s="179"/>
      <c r="T9" s="179"/>
      <c r="U9" s="179"/>
      <c r="V9" s="5"/>
    </row>
    <row r="10" spans="1:22" ht="15.6" x14ac:dyDescent="0.3">
      <c r="A10" s="177"/>
      <c r="B10" s="182"/>
      <c r="C10" s="185"/>
      <c r="D10" s="185"/>
      <c r="E10" s="185"/>
      <c r="F10" s="179"/>
      <c r="G10" s="179"/>
      <c r="H10" s="179"/>
      <c r="I10" s="179"/>
      <c r="J10" s="179"/>
      <c r="K10" s="179"/>
      <c r="L10" s="179"/>
      <c r="M10" s="179"/>
      <c r="N10" s="179"/>
      <c r="O10" s="179"/>
      <c r="P10" s="179"/>
      <c r="Q10" s="179"/>
      <c r="R10" s="179"/>
      <c r="S10" s="179"/>
      <c r="T10" s="179"/>
      <c r="U10" s="179"/>
      <c r="V10" s="5"/>
    </row>
    <row r="11" spans="1:22" ht="15.6" x14ac:dyDescent="0.3">
      <c r="A11" s="177"/>
      <c r="B11" s="220" t="s">
        <v>0</v>
      </c>
      <c r="C11" s="179"/>
      <c r="D11" s="179"/>
      <c r="E11" s="179"/>
      <c r="F11" s="179"/>
      <c r="G11" s="179"/>
      <c r="H11" s="179"/>
      <c r="I11" s="179"/>
      <c r="J11" s="179"/>
      <c r="K11" s="179"/>
      <c r="L11" s="179"/>
      <c r="M11" s="179"/>
      <c r="N11" s="179"/>
      <c r="O11" s="179"/>
      <c r="P11" s="179"/>
      <c r="Q11" s="179"/>
      <c r="R11" s="179"/>
      <c r="S11" s="179"/>
      <c r="T11" s="179"/>
      <c r="U11" s="179"/>
      <c r="V11" s="5"/>
    </row>
    <row r="12" spans="1:22" ht="16.2" thickBot="1" x14ac:dyDescent="0.35">
      <c r="A12" s="177"/>
      <c r="B12" s="185"/>
      <c r="C12" s="179"/>
      <c r="D12" s="179"/>
      <c r="E12" s="179"/>
      <c r="F12" s="179"/>
      <c r="G12" s="179"/>
      <c r="H12" s="179"/>
      <c r="I12" s="179"/>
      <c r="J12" s="179"/>
      <c r="K12" s="179"/>
      <c r="L12" s="179"/>
      <c r="M12" s="179"/>
      <c r="N12" s="179"/>
      <c r="O12" s="179"/>
      <c r="P12" s="179"/>
      <c r="Q12" s="179"/>
      <c r="R12" s="179"/>
      <c r="S12" s="179"/>
      <c r="T12" s="179"/>
      <c r="U12" s="179"/>
      <c r="V12" s="5"/>
    </row>
    <row r="13" spans="1:22" ht="15.6" x14ac:dyDescent="0.3">
      <c r="A13" s="175"/>
      <c r="B13" s="176"/>
      <c r="C13" s="176"/>
      <c r="D13" s="176"/>
      <c r="E13" s="176"/>
      <c r="F13" s="176"/>
      <c r="G13" s="176"/>
      <c r="H13" s="176"/>
      <c r="I13" s="176"/>
      <c r="J13" s="176"/>
      <c r="K13" s="176"/>
      <c r="L13" s="176"/>
      <c r="M13" s="176"/>
      <c r="N13" s="176"/>
      <c r="O13" s="176"/>
      <c r="P13" s="176"/>
      <c r="Q13" s="176"/>
      <c r="R13" s="176"/>
      <c r="S13" s="176"/>
      <c r="T13" s="176"/>
      <c r="U13" s="176"/>
      <c r="V13" s="5"/>
    </row>
    <row r="14" spans="1:22" ht="15.6" x14ac:dyDescent="0.3">
      <c r="A14" s="177"/>
      <c r="B14" s="220" t="s">
        <v>1</v>
      </c>
      <c r="C14" s="186"/>
      <c r="D14" s="186"/>
      <c r="E14" s="186"/>
      <c r="F14" s="186"/>
      <c r="G14" s="186"/>
      <c r="H14" s="186"/>
      <c r="I14" s="186"/>
      <c r="J14" s="186"/>
      <c r="K14" s="186"/>
      <c r="L14" s="186"/>
      <c r="M14" s="186"/>
      <c r="N14" s="186"/>
      <c r="O14" s="186"/>
      <c r="P14" s="186"/>
      <c r="Q14" s="186"/>
      <c r="R14" s="186"/>
      <c r="S14" s="186"/>
      <c r="T14" s="226" t="s">
        <v>183</v>
      </c>
      <c r="U14" s="186"/>
      <c r="V14" s="5"/>
    </row>
    <row r="15" spans="1:22" ht="15.6" x14ac:dyDescent="0.3">
      <c r="A15" s="177"/>
      <c r="B15" s="220" t="s">
        <v>2</v>
      </c>
      <c r="C15" s="186"/>
      <c r="D15" s="186"/>
      <c r="E15" s="186"/>
      <c r="F15" s="186"/>
      <c r="G15" s="186"/>
      <c r="H15" s="188"/>
      <c r="I15" s="188"/>
      <c r="J15" s="188"/>
      <c r="K15" s="188"/>
      <c r="L15" s="188"/>
      <c r="M15" s="188"/>
      <c r="N15" s="188"/>
      <c r="O15" s="188"/>
      <c r="P15" s="223" t="s">
        <v>110</v>
      </c>
      <c r="Q15" s="224">
        <v>0.59430000000000005</v>
      </c>
      <c r="R15" s="225" t="s">
        <v>149</v>
      </c>
      <c r="S15" s="224">
        <v>0.40570000000000001</v>
      </c>
      <c r="T15" s="187"/>
      <c r="U15" s="186"/>
      <c r="V15" s="5"/>
    </row>
    <row r="16" spans="1:22" ht="15.6" x14ac:dyDescent="0.3">
      <c r="A16" s="177"/>
      <c r="B16" s="220" t="s">
        <v>3</v>
      </c>
      <c r="C16" s="186"/>
      <c r="D16" s="186"/>
      <c r="E16" s="186"/>
      <c r="F16" s="186"/>
      <c r="G16" s="186"/>
      <c r="H16" s="188"/>
      <c r="I16" s="188"/>
      <c r="J16" s="188"/>
      <c r="K16" s="188"/>
      <c r="L16" s="188"/>
      <c r="M16" s="188"/>
      <c r="N16" s="188"/>
      <c r="O16" s="188"/>
      <c r="P16" s="223" t="s">
        <v>110</v>
      </c>
      <c r="Q16" s="224">
        <v>0.72870000000000001</v>
      </c>
      <c r="R16" s="225" t="s">
        <v>149</v>
      </c>
      <c r="S16" s="224">
        <v>0.27129999999999999</v>
      </c>
      <c r="T16" s="187"/>
      <c r="U16" s="186"/>
      <c r="V16" s="5"/>
    </row>
    <row r="17" spans="1:22" ht="15.6" x14ac:dyDescent="0.3">
      <c r="A17" s="177"/>
      <c r="B17" s="220" t="s">
        <v>4</v>
      </c>
      <c r="C17" s="186"/>
      <c r="D17" s="186"/>
      <c r="E17" s="186"/>
      <c r="F17" s="186"/>
      <c r="G17" s="186"/>
      <c r="H17" s="186"/>
      <c r="I17" s="186"/>
      <c r="J17" s="186"/>
      <c r="K17" s="186"/>
      <c r="L17" s="186"/>
      <c r="M17" s="186"/>
      <c r="N17" s="186"/>
      <c r="O17" s="186"/>
      <c r="P17" s="186"/>
      <c r="Q17" s="189"/>
      <c r="R17" s="186"/>
      <c r="S17" s="186"/>
      <c r="T17" s="227">
        <v>38552</v>
      </c>
      <c r="U17" s="186"/>
      <c r="V17" s="5"/>
    </row>
    <row r="18" spans="1:22" ht="15.6" x14ac:dyDescent="0.3">
      <c r="A18" s="177"/>
      <c r="B18" s="220" t="s">
        <v>5</v>
      </c>
      <c r="C18" s="186"/>
      <c r="D18" s="186"/>
      <c r="E18" s="186"/>
      <c r="F18" s="186"/>
      <c r="G18" s="186"/>
      <c r="H18" s="186"/>
      <c r="I18" s="186"/>
      <c r="J18" s="186"/>
      <c r="K18" s="186"/>
      <c r="L18" s="186"/>
      <c r="M18" s="186"/>
      <c r="N18" s="186"/>
      <c r="O18" s="186"/>
      <c r="P18" s="186"/>
      <c r="Q18" s="186"/>
      <c r="R18" s="186"/>
      <c r="S18" s="186"/>
      <c r="T18" s="227">
        <v>42965</v>
      </c>
      <c r="U18" s="186"/>
      <c r="V18" s="5"/>
    </row>
    <row r="19" spans="1:22" ht="15.6" x14ac:dyDescent="0.3">
      <c r="A19" s="177"/>
      <c r="B19" s="179"/>
      <c r="C19" s="179"/>
      <c r="D19" s="179"/>
      <c r="E19" s="179"/>
      <c r="F19" s="179"/>
      <c r="G19" s="179"/>
      <c r="H19" s="179"/>
      <c r="I19" s="179"/>
      <c r="J19" s="179"/>
      <c r="K19" s="179"/>
      <c r="L19" s="179"/>
      <c r="M19" s="179"/>
      <c r="N19" s="179"/>
      <c r="O19" s="179"/>
      <c r="P19" s="179"/>
      <c r="Q19" s="179"/>
      <c r="R19" s="179"/>
      <c r="S19" s="179"/>
      <c r="T19" s="190"/>
      <c r="U19" s="179"/>
      <c r="V19" s="5"/>
    </row>
    <row r="20" spans="1:22" ht="15.6" x14ac:dyDescent="0.3">
      <c r="A20" s="177"/>
      <c r="B20" s="221" t="s">
        <v>6</v>
      </c>
      <c r="C20" s="179"/>
      <c r="D20" s="179"/>
      <c r="E20" s="179"/>
      <c r="F20" s="179"/>
      <c r="G20" s="179"/>
      <c r="H20" s="179"/>
      <c r="I20" s="179"/>
      <c r="J20" s="179"/>
      <c r="K20" s="179"/>
      <c r="L20" s="179"/>
      <c r="M20" s="179"/>
      <c r="N20" s="179"/>
      <c r="O20" s="179"/>
      <c r="P20" s="179"/>
      <c r="Q20" s="179"/>
      <c r="R20" s="222" t="s">
        <v>111</v>
      </c>
      <c r="S20" s="179"/>
      <c r="T20" s="192"/>
      <c r="U20" s="179"/>
      <c r="V20" s="5"/>
    </row>
    <row r="21" spans="1:22" ht="15.6" x14ac:dyDescent="0.3">
      <c r="A21" s="177"/>
      <c r="B21" s="179"/>
      <c r="C21" s="179"/>
      <c r="D21" s="179"/>
      <c r="E21" s="179"/>
      <c r="F21" s="179"/>
      <c r="G21" s="179"/>
      <c r="H21" s="179"/>
      <c r="I21" s="179"/>
      <c r="J21" s="179"/>
      <c r="K21" s="179"/>
      <c r="L21" s="179"/>
      <c r="M21" s="179"/>
      <c r="N21" s="179"/>
      <c r="O21" s="179"/>
      <c r="P21" s="179"/>
      <c r="Q21" s="179"/>
      <c r="R21" s="179"/>
      <c r="S21" s="179"/>
      <c r="T21" s="193"/>
      <c r="U21" s="179"/>
      <c r="V21" s="5"/>
    </row>
    <row r="22" spans="1:22" ht="15.6" x14ac:dyDescent="0.3">
      <c r="A22" s="258"/>
      <c r="B22" s="262"/>
      <c r="C22" s="397"/>
      <c r="D22" s="397" t="s">
        <v>185</v>
      </c>
      <c r="E22" s="397"/>
      <c r="F22" s="397" t="s">
        <v>186</v>
      </c>
      <c r="G22" s="397"/>
      <c r="H22" s="397" t="s">
        <v>187</v>
      </c>
      <c r="I22" s="397"/>
      <c r="J22" s="397" t="s">
        <v>188</v>
      </c>
      <c r="K22" s="397"/>
      <c r="L22" s="397" t="s">
        <v>189</v>
      </c>
      <c r="M22" s="397"/>
      <c r="N22" s="397" t="s">
        <v>190</v>
      </c>
      <c r="O22" s="397"/>
      <c r="P22" s="397" t="s">
        <v>191</v>
      </c>
      <c r="Q22" s="330"/>
      <c r="R22" s="330"/>
      <c r="S22" s="331"/>
      <c r="T22" s="331"/>
      <c r="U22" s="262"/>
      <c r="V22" s="5"/>
    </row>
    <row r="23" spans="1:22" ht="15.6" x14ac:dyDescent="0.3">
      <c r="A23" s="271"/>
      <c r="B23" s="272" t="s">
        <v>7</v>
      </c>
      <c r="C23" s="273"/>
      <c r="D23" s="273" t="s">
        <v>150</v>
      </c>
      <c r="E23" s="273"/>
      <c r="F23" s="273" t="s">
        <v>150</v>
      </c>
      <c r="G23" s="273"/>
      <c r="H23" s="273" t="s">
        <v>150</v>
      </c>
      <c r="I23" s="273"/>
      <c r="J23" s="273" t="s">
        <v>192</v>
      </c>
      <c r="K23" s="273"/>
      <c r="L23" s="273" t="s">
        <v>192</v>
      </c>
      <c r="M23" s="273"/>
      <c r="N23" s="273" t="s">
        <v>151</v>
      </c>
      <c r="O23" s="273"/>
      <c r="P23" s="273" t="s">
        <v>151</v>
      </c>
      <c r="Q23" s="273"/>
      <c r="R23" s="273"/>
      <c r="S23" s="274"/>
      <c r="T23" s="274"/>
      <c r="U23" s="275"/>
      <c r="V23" s="5"/>
    </row>
    <row r="24" spans="1:22" ht="15.6" x14ac:dyDescent="0.3">
      <c r="A24" s="271"/>
      <c r="B24" s="272" t="s">
        <v>8</v>
      </c>
      <c r="C24" s="273"/>
      <c r="D24" s="273" t="s">
        <v>152</v>
      </c>
      <c r="E24" s="273"/>
      <c r="F24" s="273" t="s">
        <v>152</v>
      </c>
      <c r="G24" s="273"/>
      <c r="H24" s="273" t="s">
        <v>152</v>
      </c>
      <c r="I24" s="273"/>
      <c r="J24" s="273" t="s">
        <v>193</v>
      </c>
      <c r="K24" s="273"/>
      <c r="L24" s="273" t="s">
        <v>193</v>
      </c>
      <c r="M24" s="273"/>
      <c r="N24" s="273" t="s">
        <v>153</v>
      </c>
      <c r="O24" s="273"/>
      <c r="P24" s="273" t="s">
        <v>153</v>
      </c>
      <c r="Q24" s="273"/>
      <c r="R24" s="273"/>
      <c r="S24" s="274"/>
      <c r="T24" s="274"/>
      <c r="U24" s="275"/>
      <c r="V24" s="5"/>
    </row>
    <row r="25" spans="1:22" ht="15.6" x14ac:dyDescent="0.3">
      <c r="A25" s="276"/>
      <c r="B25" s="277" t="s">
        <v>9</v>
      </c>
      <c r="C25" s="398"/>
      <c r="D25" s="398" t="s">
        <v>329</v>
      </c>
      <c r="E25" s="398"/>
      <c r="F25" s="398" t="s">
        <v>329</v>
      </c>
      <c r="G25" s="398"/>
      <c r="H25" s="398" t="s">
        <v>329</v>
      </c>
      <c r="I25" s="398"/>
      <c r="J25" s="398" t="s">
        <v>192</v>
      </c>
      <c r="K25" s="398"/>
      <c r="L25" s="398" t="s">
        <v>192</v>
      </c>
      <c r="M25" s="398"/>
      <c r="N25" s="398" t="s">
        <v>340</v>
      </c>
      <c r="O25" s="398"/>
      <c r="P25" s="398" t="s">
        <v>340</v>
      </c>
      <c r="Q25" s="398"/>
      <c r="R25" s="273"/>
      <c r="S25" s="274"/>
      <c r="T25" s="274"/>
      <c r="U25" s="275"/>
      <c r="V25" s="5"/>
    </row>
    <row r="26" spans="1:22" ht="15.6" x14ac:dyDescent="0.3">
      <c r="A26" s="276"/>
      <c r="B26" s="277" t="s">
        <v>10</v>
      </c>
      <c r="C26" s="398"/>
      <c r="D26" s="398" t="s">
        <v>339</v>
      </c>
      <c r="E26" s="398"/>
      <c r="F26" s="398" t="s">
        <v>339</v>
      </c>
      <c r="G26" s="398"/>
      <c r="H26" s="398" t="s">
        <v>339</v>
      </c>
      <c r="I26" s="398"/>
      <c r="J26" s="398" t="s">
        <v>339</v>
      </c>
      <c r="K26" s="398"/>
      <c r="L26" s="398" t="s">
        <v>339</v>
      </c>
      <c r="M26" s="398"/>
      <c r="N26" s="398" t="s">
        <v>314</v>
      </c>
      <c r="O26" s="398"/>
      <c r="P26" s="398" t="s">
        <v>314</v>
      </c>
      <c r="Q26" s="398"/>
      <c r="R26" s="273"/>
      <c r="S26" s="274"/>
      <c r="T26" s="274"/>
      <c r="U26" s="275"/>
      <c r="V26" s="5"/>
    </row>
    <row r="27" spans="1:22" ht="15.6" x14ac:dyDescent="0.3">
      <c r="A27" s="271"/>
      <c r="B27" s="272" t="s">
        <v>11</v>
      </c>
      <c r="C27" s="273"/>
      <c r="D27" s="273" t="s">
        <v>194</v>
      </c>
      <c r="E27" s="273"/>
      <c r="F27" s="279" t="s">
        <v>195</v>
      </c>
      <c r="G27" s="273"/>
      <c r="H27" s="273" t="s">
        <v>196</v>
      </c>
      <c r="I27" s="273"/>
      <c r="J27" s="273" t="s">
        <v>198</v>
      </c>
      <c r="K27" s="273"/>
      <c r="L27" s="273" t="s">
        <v>199</v>
      </c>
      <c r="M27" s="273"/>
      <c r="N27" s="273" t="s">
        <v>200</v>
      </c>
      <c r="O27" s="273"/>
      <c r="P27" s="273" t="s">
        <v>201</v>
      </c>
      <c r="Q27" s="273"/>
      <c r="R27" s="279"/>
      <c r="S27" s="274"/>
      <c r="T27" s="274"/>
      <c r="U27" s="275"/>
      <c r="V27" s="5"/>
    </row>
    <row r="28" spans="1:22" ht="15.6" x14ac:dyDescent="0.3">
      <c r="A28" s="271"/>
      <c r="B28" s="272" t="s">
        <v>11</v>
      </c>
      <c r="C28" s="273"/>
      <c r="D28" s="273" t="s">
        <v>127</v>
      </c>
      <c r="E28" s="273"/>
      <c r="F28" s="279" t="s">
        <v>127</v>
      </c>
      <c r="G28" s="273"/>
      <c r="H28" s="273" t="s">
        <v>197</v>
      </c>
      <c r="I28" s="273"/>
      <c r="J28" s="273" t="s">
        <v>127</v>
      </c>
      <c r="K28" s="273"/>
      <c r="L28" s="273" t="s">
        <v>127</v>
      </c>
      <c r="M28" s="273"/>
      <c r="N28" s="273" t="s">
        <v>127</v>
      </c>
      <c r="O28" s="273"/>
      <c r="P28" s="273" t="s">
        <v>127</v>
      </c>
      <c r="Q28" s="273"/>
      <c r="R28" s="279"/>
      <c r="S28" s="274"/>
      <c r="T28" s="274"/>
      <c r="U28" s="275"/>
      <c r="V28" s="5"/>
    </row>
    <row r="29" spans="1:22" ht="15.6" x14ac:dyDescent="0.3">
      <c r="A29" s="271"/>
      <c r="B29" s="272" t="s">
        <v>142</v>
      </c>
      <c r="C29" s="280"/>
      <c r="D29" s="281">
        <v>346000</v>
      </c>
      <c r="E29" s="280"/>
      <c r="F29" s="282">
        <v>355000</v>
      </c>
      <c r="G29" s="281"/>
      <c r="H29" s="283">
        <v>60000</v>
      </c>
      <c r="I29" s="281"/>
      <c r="J29" s="281">
        <v>7000</v>
      </c>
      <c r="K29" s="281"/>
      <c r="L29" s="282">
        <v>29500</v>
      </c>
      <c r="M29" s="281"/>
      <c r="N29" s="284">
        <v>3000</v>
      </c>
      <c r="O29" s="281"/>
      <c r="P29" s="282">
        <v>66000</v>
      </c>
      <c r="Q29" s="281"/>
      <c r="R29" s="281"/>
      <c r="S29" s="285"/>
      <c r="T29" s="281"/>
      <c r="U29" s="286"/>
      <c r="V29" s="5"/>
    </row>
    <row r="30" spans="1:22" ht="15.6" x14ac:dyDescent="0.3">
      <c r="A30" s="271"/>
      <c r="B30" s="272" t="s">
        <v>141</v>
      </c>
      <c r="C30" s="280"/>
      <c r="D30" s="281">
        <f>D29*D36</f>
        <v>105363.57399999999</v>
      </c>
      <c r="E30" s="280"/>
      <c r="F30" s="282">
        <f>F29*F36</f>
        <v>108104.245</v>
      </c>
      <c r="G30" s="281"/>
      <c r="H30" s="283">
        <f>H29*H36</f>
        <v>18271.007999999998</v>
      </c>
      <c r="I30" s="281"/>
      <c r="J30" s="281">
        <f>J29*J36</f>
        <v>4850.5267999999996</v>
      </c>
      <c r="K30" s="281"/>
      <c r="L30" s="282">
        <f>L29*L36</f>
        <v>20441.505799999999</v>
      </c>
      <c r="M30" s="281"/>
      <c r="N30" s="284">
        <f>N29*N36</f>
        <v>2078.7972</v>
      </c>
      <c r="O30" s="281"/>
      <c r="P30" s="282">
        <f>P29*P36</f>
        <v>45733.538399999998</v>
      </c>
      <c r="Q30" s="281"/>
      <c r="R30" s="281"/>
      <c r="S30" s="285"/>
      <c r="T30" s="281"/>
      <c r="U30" s="286"/>
      <c r="V30" s="5"/>
    </row>
    <row r="31" spans="1:22" ht="15.6" x14ac:dyDescent="0.3">
      <c r="A31" s="276"/>
      <c r="B31" s="277" t="s">
        <v>143</v>
      </c>
      <c r="C31" s="287"/>
      <c r="D31" s="288">
        <f>D35*D29</f>
        <v>101537.9212</v>
      </c>
      <c r="E31" s="287"/>
      <c r="F31" s="289">
        <f>F35*F29</f>
        <v>104179.08100000001</v>
      </c>
      <c r="G31" s="288"/>
      <c r="H31" s="290">
        <f>H35*H29</f>
        <v>17607.599999999999</v>
      </c>
      <c r="I31" s="288"/>
      <c r="J31" s="288">
        <f>J35*J29</f>
        <v>4674.4068000000007</v>
      </c>
      <c r="K31" s="288"/>
      <c r="L31" s="289">
        <f>L35*L29</f>
        <v>19699.285800000001</v>
      </c>
      <c r="M31" s="288"/>
      <c r="N31" s="291">
        <f>N35*N29</f>
        <v>2003.3172000000002</v>
      </c>
      <c r="O31" s="288"/>
      <c r="P31" s="289">
        <f>P35*P29</f>
        <v>44072.9784</v>
      </c>
      <c r="Q31" s="288"/>
      <c r="R31" s="288"/>
      <c r="S31" s="292"/>
      <c r="T31" s="288"/>
      <c r="U31" s="286"/>
      <c r="V31" s="5"/>
    </row>
    <row r="32" spans="1:22" ht="15.6" x14ac:dyDescent="0.3">
      <c r="A32" s="271"/>
      <c r="B32" s="272" t="s">
        <v>289</v>
      </c>
      <c r="C32" s="280"/>
      <c r="D32" s="281">
        <v>346000</v>
      </c>
      <c r="E32" s="280"/>
      <c r="F32" s="281">
        <v>244500</v>
      </c>
      <c r="G32" s="281"/>
      <c r="H32" s="281">
        <v>33900</v>
      </c>
      <c r="I32" s="281"/>
      <c r="J32" s="281">
        <v>7000</v>
      </c>
      <c r="K32" s="281"/>
      <c r="L32" s="281">
        <v>20300</v>
      </c>
      <c r="M32" s="281"/>
      <c r="N32" s="281">
        <v>3000</v>
      </c>
      <c r="O32" s="281"/>
      <c r="P32" s="281">
        <v>45300</v>
      </c>
      <c r="Q32" s="281"/>
      <c r="R32" s="281"/>
      <c r="S32" s="285"/>
      <c r="T32" s="281">
        <f>SUM(C32:P32)</f>
        <v>700000</v>
      </c>
      <c r="U32" s="286"/>
      <c r="V32" s="5"/>
    </row>
    <row r="33" spans="1:22" ht="15.6" x14ac:dyDescent="0.3">
      <c r="A33" s="271"/>
      <c r="B33" s="272" t="s">
        <v>290</v>
      </c>
      <c r="C33" s="280"/>
      <c r="D33" s="281">
        <f>D32*D36</f>
        <v>105363.57399999999</v>
      </c>
      <c r="E33" s="280"/>
      <c r="F33" s="281">
        <f>F32*F36</f>
        <v>74454.895499999999</v>
      </c>
      <c r="G33" s="281"/>
      <c r="H33" s="281">
        <f>H32*H36</f>
        <v>10323.119519999998</v>
      </c>
      <c r="I33" s="281"/>
      <c r="J33" s="281">
        <f>J32*J36</f>
        <v>4850.5267999999996</v>
      </c>
      <c r="K33" s="281"/>
      <c r="L33" s="281">
        <f>L32*L36</f>
        <v>14066.52772</v>
      </c>
      <c r="M33" s="281"/>
      <c r="N33" s="281">
        <f>N32*N36</f>
        <v>2078.7972</v>
      </c>
      <c r="O33" s="281"/>
      <c r="P33" s="281">
        <f>P32*P36</f>
        <v>31389.83772</v>
      </c>
      <c r="Q33" s="281"/>
      <c r="R33" s="281"/>
      <c r="S33" s="285"/>
      <c r="T33" s="281">
        <f>SUM(C33:P33)</f>
        <v>242527.27846000003</v>
      </c>
      <c r="U33" s="286"/>
      <c r="V33" s="5"/>
    </row>
    <row r="34" spans="1:22" ht="15.6" x14ac:dyDescent="0.3">
      <c r="A34" s="276"/>
      <c r="B34" s="277" t="s">
        <v>291</v>
      </c>
      <c r="C34" s="287"/>
      <c r="D34" s="288">
        <f>D35*D32</f>
        <v>101537.9212</v>
      </c>
      <c r="E34" s="287"/>
      <c r="F34" s="288">
        <f>F35*F32</f>
        <v>71751.507899999997</v>
      </c>
      <c r="G34" s="288"/>
      <c r="H34" s="288">
        <f>H35*H32</f>
        <v>9948.2939999999999</v>
      </c>
      <c r="I34" s="288"/>
      <c r="J34" s="288">
        <f>J35*J32</f>
        <v>4674.4068000000007</v>
      </c>
      <c r="K34" s="288"/>
      <c r="L34" s="288">
        <f>L35*L32</f>
        <v>13555.77972</v>
      </c>
      <c r="M34" s="288"/>
      <c r="N34" s="288">
        <f>N35*N32</f>
        <v>2003.3172000000002</v>
      </c>
      <c r="O34" s="288"/>
      <c r="P34" s="288">
        <f>P35*P32</f>
        <v>30250.089720000004</v>
      </c>
      <c r="Q34" s="288"/>
      <c r="R34" s="288"/>
      <c r="S34" s="292"/>
      <c r="T34" s="288">
        <f>SUM(C34:P34)</f>
        <v>233721.31653999997</v>
      </c>
      <c r="U34" s="286"/>
      <c r="V34" s="5"/>
    </row>
    <row r="35" spans="1:22" ht="15.6" x14ac:dyDescent="0.3">
      <c r="A35" s="276"/>
      <c r="B35" s="293" t="s">
        <v>139</v>
      </c>
      <c r="C35" s="294"/>
      <c r="D35" s="295">
        <v>0.29346220000000001</v>
      </c>
      <c r="E35" s="296"/>
      <c r="F35" s="295">
        <v>0.29346220000000001</v>
      </c>
      <c r="G35" s="295"/>
      <c r="H35" s="295">
        <v>0.29346</v>
      </c>
      <c r="I35" s="297"/>
      <c r="J35" s="295">
        <v>0.66777240000000004</v>
      </c>
      <c r="K35" s="295"/>
      <c r="L35" s="295">
        <v>0.66777240000000004</v>
      </c>
      <c r="M35" s="297"/>
      <c r="N35" s="295">
        <v>0.66777240000000004</v>
      </c>
      <c r="O35" s="295"/>
      <c r="P35" s="295">
        <v>0.66777240000000004</v>
      </c>
      <c r="Q35" s="298"/>
      <c r="R35" s="298"/>
      <c r="S35" s="299"/>
      <c r="T35" s="298"/>
      <c r="U35" s="300"/>
      <c r="V35" s="5"/>
    </row>
    <row r="36" spans="1:22" ht="15.6" x14ac:dyDescent="0.3">
      <c r="A36" s="276"/>
      <c r="B36" s="293" t="s">
        <v>140</v>
      </c>
      <c r="C36" s="294"/>
      <c r="D36" s="295">
        <v>0.30451899999999998</v>
      </c>
      <c r="E36" s="296"/>
      <c r="F36" s="295">
        <v>0.30451899999999998</v>
      </c>
      <c r="G36" s="295"/>
      <c r="H36" s="295">
        <v>0.30451679999999998</v>
      </c>
      <c r="I36" s="297"/>
      <c r="J36" s="295">
        <v>0.6929324</v>
      </c>
      <c r="K36" s="295"/>
      <c r="L36" s="295">
        <v>0.6929324</v>
      </c>
      <c r="M36" s="297"/>
      <c r="N36" s="295">
        <v>0.6929324</v>
      </c>
      <c r="O36" s="295"/>
      <c r="P36" s="295">
        <v>0.6929324</v>
      </c>
      <c r="Q36" s="301"/>
      <c r="R36" s="301"/>
      <c r="S36" s="299"/>
      <c r="T36" s="298"/>
      <c r="U36" s="300"/>
      <c r="V36" s="5"/>
    </row>
    <row r="37" spans="1:22" ht="15.6" x14ac:dyDescent="0.3">
      <c r="A37" s="302"/>
      <c r="B37" s="272" t="s">
        <v>12</v>
      </c>
      <c r="C37" s="272"/>
      <c r="D37" s="279" t="s">
        <v>166</v>
      </c>
      <c r="E37" s="272"/>
      <c r="F37" s="279" t="s">
        <v>166</v>
      </c>
      <c r="G37" s="279"/>
      <c r="H37" s="279" t="s">
        <v>166</v>
      </c>
      <c r="I37" s="279"/>
      <c r="J37" s="279" t="s">
        <v>204</v>
      </c>
      <c r="K37" s="279"/>
      <c r="L37" s="279" t="s">
        <v>204</v>
      </c>
      <c r="M37" s="279"/>
      <c r="N37" s="279" t="s">
        <v>205</v>
      </c>
      <c r="O37" s="279"/>
      <c r="P37" s="279" t="s">
        <v>205</v>
      </c>
      <c r="Q37" s="279"/>
      <c r="R37" s="279"/>
      <c r="S37" s="274"/>
      <c r="T37" s="274"/>
      <c r="U37" s="275"/>
      <c r="V37" s="5"/>
    </row>
    <row r="38" spans="1:22" ht="15.6" x14ac:dyDescent="0.3">
      <c r="A38" s="302"/>
      <c r="B38" s="272" t="s">
        <v>13</v>
      </c>
      <c r="C38" s="272"/>
      <c r="D38" s="303">
        <v>6.7524999999999998E-3</v>
      </c>
      <c r="E38" s="272"/>
      <c r="F38" s="303">
        <v>3.1E-4</v>
      </c>
      <c r="G38" s="304"/>
      <c r="H38" s="303">
        <v>1.5417800000000001E-2</v>
      </c>
      <c r="I38" s="304"/>
      <c r="J38" s="303">
        <v>8.9525000000000004E-3</v>
      </c>
      <c r="K38" s="304"/>
      <c r="L38" s="303">
        <v>2.5100000000000001E-3</v>
      </c>
      <c r="M38" s="304"/>
      <c r="N38" s="303">
        <v>1.35525E-2</v>
      </c>
      <c r="O38" s="304"/>
      <c r="P38" s="303">
        <v>7.11E-3</v>
      </c>
      <c r="Q38" s="304"/>
      <c r="R38" s="303"/>
      <c r="S38" s="274"/>
      <c r="T38" s="304"/>
      <c r="U38" s="275"/>
      <c r="V38" s="5"/>
    </row>
    <row r="39" spans="1:22" ht="15.6" x14ac:dyDescent="0.3">
      <c r="A39" s="302"/>
      <c r="B39" s="272" t="s">
        <v>14</v>
      </c>
      <c r="C39" s="272"/>
      <c r="D39" s="303">
        <v>7.1805999999999997E-3</v>
      </c>
      <c r="E39" s="272"/>
      <c r="F39" s="303">
        <v>3.1E-4</v>
      </c>
      <c r="G39" s="304"/>
      <c r="H39" s="303">
        <v>1.3990000000000001E-2</v>
      </c>
      <c r="I39" s="304"/>
      <c r="J39" s="303">
        <v>9.3805999999999994E-3</v>
      </c>
      <c r="K39" s="304"/>
      <c r="L39" s="303">
        <v>2.5100000000000001E-3</v>
      </c>
      <c r="M39" s="304"/>
      <c r="N39" s="303">
        <v>1.3980599999999999E-2</v>
      </c>
      <c r="O39" s="304"/>
      <c r="P39" s="303">
        <v>7.11E-3</v>
      </c>
      <c r="Q39" s="304"/>
      <c r="R39" s="303"/>
      <c r="S39" s="274"/>
      <c r="T39" s="274"/>
      <c r="U39" s="275"/>
      <c r="V39" s="5"/>
    </row>
    <row r="40" spans="1:22" ht="15.6" x14ac:dyDescent="0.3">
      <c r="A40" s="302"/>
      <c r="B40" s="272" t="s">
        <v>292</v>
      </c>
      <c r="C40" s="272"/>
      <c r="D40" s="279" t="s">
        <v>166</v>
      </c>
      <c r="E40" s="272"/>
      <c r="F40" s="279" t="s">
        <v>209</v>
      </c>
      <c r="G40" s="279"/>
      <c r="H40" s="279" t="s">
        <v>210</v>
      </c>
      <c r="I40" s="279"/>
      <c r="J40" s="279" t="s">
        <v>204</v>
      </c>
      <c r="K40" s="279"/>
      <c r="L40" s="279" t="s">
        <v>211</v>
      </c>
      <c r="M40" s="279"/>
      <c r="N40" s="279" t="s">
        <v>205</v>
      </c>
      <c r="O40" s="279"/>
      <c r="P40" s="279" t="s">
        <v>212</v>
      </c>
      <c r="Q40" s="304"/>
      <c r="R40" s="303"/>
      <c r="S40" s="274"/>
      <c r="T40" s="304"/>
      <c r="U40" s="275"/>
      <c r="V40" s="5"/>
    </row>
    <row r="41" spans="1:22" ht="15.6" x14ac:dyDescent="0.3">
      <c r="A41" s="302"/>
      <c r="B41" s="272" t="s">
        <v>293</v>
      </c>
      <c r="C41" s="272"/>
      <c r="D41" s="303">
        <f>+D38</f>
        <v>6.7524999999999998E-3</v>
      </c>
      <c r="E41" s="272"/>
      <c r="F41" s="303">
        <v>6.9525000000000003E-3</v>
      </c>
      <c r="G41" s="304"/>
      <c r="H41" s="303">
        <v>7.2125000000000002E-3</v>
      </c>
      <c r="I41" s="304"/>
      <c r="J41" s="303">
        <f>+J38</f>
        <v>8.9525000000000004E-3</v>
      </c>
      <c r="K41" s="304"/>
      <c r="L41" s="303">
        <v>9.5425000000000006E-3</v>
      </c>
      <c r="M41" s="304"/>
      <c r="N41" s="303">
        <f>+N38</f>
        <v>1.35525E-2</v>
      </c>
      <c r="O41" s="304"/>
      <c r="P41" s="303">
        <v>1.4432499999999999E-2</v>
      </c>
      <c r="Q41" s="304"/>
      <c r="R41" s="303"/>
      <c r="S41" s="274"/>
      <c r="T41" s="304">
        <f>SUMPRODUCT(D41:P41,D33:P33)/T33</f>
        <v>8.0915912646602074E-3</v>
      </c>
      <c r="U41" s="275"/>
      <c r="V41" s="5"/>
    </row>
    <row r="42" spans="1:22" ht="15.6" x14ac:dyDescent="0.3">
      <c r="A42" s="302"/>
      <c r="B42" s="272" t="s">
        <v>294</v>
      </c>
      <c r="C42" s="272"/>
      <c r="D42" s="303">
        <f>+D39</f>
        <v>7.1805999999999997E-3</v>
      </c>
      <c r="E42" s="272"/>
      <c r="F42" s="303">
        <v>7.3806000000000002E-3</v>
      </c>
      <c r="G42" s="304"/>
      <c r="H42" s="303">
        <v>7.6406E-3</v>
      </c>
      <c r="I42" s="304"/>
      <c r="J42" s="303">
        <f>+J39</f>
        <v>9.3805999999999994E-3</v>
      </c>
      <c r="K42" s="304"/>
      <c r="L42" s="303">
        <v>9.9705999999999996E-3</v>
      </c>
      <c r="M42" s="304"/>
      <c r="N42" s="303">
        <f>+N39</f>
        <v>1.3980599999999999E-2</v>
      </c>
      <c r="O42" s="304"/>
      <c r="P42" s="303">
        <v>1.48606E-2</v>
      </c>
      <c r="Q42" s="304"/>
      <c r="R42" s="303"/>
      <c r="S42" s="274"/>
      <c r="T42" s="274"/>
      <c r="U42" s="275"/>
      <c r="V42" s="5"/>
    </row>
    <row r="43" spans="1:22" ht="15.6" x14ac:dyDescent="0.3">
      <c r="A43" s="302"/>
      <c r="B43" s="272" t="s">
        <v>15</v>
      </c>
      <c r="C43" s="305"/>
      <c r="D43" s="305">
        <v>39948</v>
      </c>
      <c r="E43" s="305"/>
      <c r="F43" s="305">
        <v>39948</v>
      </c>
      <c r="G43" s="305"/>
      <c r="H43" s="305">
        <v>39948</v>
      </c>
      <c r="I43" s="305"/>
      <c r="J43" s="305">
        <v>39948</v>
      </c>
      <c r="K43" s="305"/>
      <c r="L43" s="305">
        <v>39948</v>
      </c>
      <c r="M43" s="305"/>
      <c r="N43" s="305">
        <v>39948</v>
      </c>
      <c r="O43" s="305"/>
      <c r="P43" s="305">
        <v>39948</v>
      </c>
      <c r="Q43" s="279"/>
      <c r="R43" s="279"/>
      <c r="S43" s="274"/>
      <c r="T43" s="274"/>
      <c r="U43" s="275"/>
      <c r="V43" s="5"/>
    </row>
    <row r="44" spans="1:22" ht="15.6" x14ac:dyDescent="0.3">
      <c r="A44" s="302"/>
      <c r="B44" s="272" t="s">
        <v>16</v>
      </c>
      <c r="C44" s="305"/>
      <c r="D44" s="305">
        <v>40313</v>
      </c>
      <c r="E44" s="305"/>
      <c r="F44" s="305">
        <v>40313</v>
      </c>
      <c r="G44" s="305"/>
      <c r="H44" s="305">
        <v>40313</v>
      </c>
      <c r="I44" s="279"/>
      <c r="J44" s="305">
        <v>40313</v>
      </c>
      <c r="K44" s="279"/>
      <c r="L44" s="305">
        <v>40313</v>
      </c>
      <c r="M44" s="279"/>
      <c r="N44" s="305">
        <v>40313</v>
      </c>
      <c r="O44" s="279"/>
      <c r="P44" s="305">
        <v>40313</v>
      </c>
      <c r="Q44" s="279"/>
      <c r="R44" s="279"/>
      <c r="S44" s="274"/>
      <c r="T44" s="274"/>
      <c r="U44" s="275"/>
      <c r="V44" s="5"/>
    </row>
    <row r="45" spans="1:22" ht="15.6" x14ac:dyDescent="0.3">
      <c r="A45" s="302"/>
      <c r="B45" s="272" t="s">
        <v>128</v>
      </c>
      <c r="C45" s="272"/>
      <c r="D45" s="279" t="s">
        <v>166</v>
      </c>
      <c r="E45" s="272"/>
      <c r="F45" s="279" t="s">
        <v>166</v>
      </c>
      <c r="G45" s="279"/>
      <c r="H45" s="279" t="s">
        <v>166</v>
      </c>
      <c r="I45" s="279"/>
      <c r="J45" s="279" t="s">
        <v>204</v>
      </c>
      <c r="K45" s="279"/>
      <c r="L45" s="279" t="s">
        <v>204</v>
      </c>
      <c r="M45" s="279"/>
      <c r="N45" s="279" t="s">
        <v>205</v>
      </c>
      <c r="O45" s="279"/>
      <c r="P45" s="279" t="s">
        <v>205</v>
      </c>
      <c r="Q45" s="279"/>
      <c r="R45" s="279"/>
      <c r="S45" s="274"/>
      <c r="T45" s="274"/>
      <c r="U45" s="275"/>
      <c r="V45" s="5"/>
    </row>
    <row r="46" spans="1:22" ht="15.6" x14ac:dyDescent="0.3">
      <c r="A46" s="302"/>
      <c r="B46" s="272" t="s">
        <v>295</v>
      </c>
      <c r="C46" s="272"/>
      <c r="D46" s="279" t="s">
        <v>166</v>
      </c>
      <c r="E46" s="272"/>
      <c r="F46" s="279" t="s">
        <v>209</v>
      </c>
      <c r="G46" s="279"/>
      <c r="H46" s="279" t="s">
        <v>210</v>
      </c>
      <c r="I46" s="279"/>
      <c r="J46" s="279" t="s">
        <v>204</v>
      </c>
      <c r="K46" s="279"/>
      <c r="L46" s="279" t="s">
        <v>211</v>
      </c>
      <c r="M46" s="279"/>
      <c r="N46" s="279" t="s">
        <v>205</v>
      </c>
      <c r="O46" s="279"/>
      <c r="P46" s="279" t="s">
        <v>212</v>
      </c>
      <c r="Q46" s="279"/>
      <c r="R46" s="279"/>
      <c r="S46" s="274"/>
      <c r="T46" s="274"/>
      <c r="U46" s="275"/>
      <c r="V46" s="5"/>
    </row>
    <row r="47" spans="1:22" ht="15.6" x14ac:dyDescent="0.3">
      <c r="A47" s="302"/>
      <c r="B47" s="272"/>
      <c r="C47" s="272"/>
      <c r="D47" s="272"/>
      <c r="E47" s="272"/>
      <c r="F47" s="279"/>
      <c r="G47" s="279"/>
      <c r="H47" s="306"/>
      <c r="I47" s="306"/>
      <c r="J47" s="306"/>
      <c r="K47" s="306"/>
      <c r="L47" s="306"/>
      <c r="M47" s="306"/>
      <c r="N47" s="306"/>
      <c r="O47" s="306"/>
      <c r="P47" s="306"/>
      <c r="Q47" s="306"/>
      <c r="R47" s="306"/>
      <c r="S47" s="306"/>
      <c r="T47" s="306"/>
      <c r="U47" s="275"/>
      <c r="V47" s="5"/>
    </row>
    <row r="48" spans="1:22" ht="15.6" x14ac:dyDescent="0.3">
      <c r="A48" s="302"/>
      <c r="B48" s="272" t="s">
        <v>224</v>
      </c>
      <c r="C48" s="272"/>
      <c r="D48" s="272"/>
      <c r="E48" s="272"/>
      <c r="F48" s="307"/>
      <c r="G48" s="272"/>
      <c r="H48" s="272"/>
      <c r="I48" s="272"/>
      <c r="J48" s="272"/>
      <c r="K48" s="272"/>
      <c r="L48" s="272"/>
      <c r="M48" s="272"/>
      <c r="N48" s="272"/>
      <c r="O48" s="272"/>
      <c r="P48" s="272"/>
      <c r="Q48" s="272"/>
      <c r="R48" s="272"/>
      <c r="S48" s="272"/>
      <c r="T48" s="304">
        <f>SUM(J32:P32)/SUM(D32:H32)</f>
        <v>0.1210762331838565</v>
      </c>
      <c r="U48" s="275"/>
      <c r="V48" s="5"/>
    </row>
    <row r="49" spans="1:23" ht="15.6" x14ac:dyDescent="0.3">
      <c r="A49" s="302"/>
      <c r="B49" s="272" t="s">
        <v>225</v>
      </c>
      <c r="C49" s="272"/>
      <c r="D49" s="272"/>
      <c r="E49" s="272"/>
      <c r="F49" s="307"/>
      <c r="G49" s="272"/>
      <c r="H49" s="272"/>
      <c r="I49" s="272"/>
      <c r="J49" s="272"/>
      <c r="K49" s="272"/>
      <c r="L49" s="272"/>
      <c r="M49" s="272"/>
      <c r="N49" s="272"/>
      <c r="O49" s="272"/>
      <c r="P49" s="272"/>
      <c r="Q49" s="272"/>
      <c r="R49" s="272"/>
      <c r="S49" s="272"/>
      <c r="T49" s="304">
        <f>SUM(J34:P34)/SUM(D34:H34)</f>
        <v>0.27550873578825874</v>
      </c>
      <c r="U49" s="275"/>
      <c r="V49" s="5"/>
    </row>
    <row r="50" spans="1:23" ht="15.6" x14ac:dyDescent="0.3">
      <c r="A50" s="302"/>
      <c r="B50" s="272" t="s">
        <v>226</v>
      </c>
      <c r="C50" s="272"/>
      <c r="D50" s="272"/>
      <c r="E50" s="272"/>
      <c r="F50" s="272"/>
      <c r="G50" s="272"/>
      <c r="H50" s="272"/>
      <c r="I50" s="272"/>
      <c r="J50" s="272"/>
      <c r="K50" s="272"/>
      <c r="L50" s="272"/>
      <c r="M50" s="272"/>
      <c r="N50" s="272"/>
      <c r="O50" s="272"/>
      <c r="P50" s="272"/>
      <c r="Q50" s="272"/>
      <c r="R50" s="279" t="s">
        <v>112</v>
      </c>
      <c r="S50" s="279" t="s">
        <v>118</v>
      </c>
      <c r="T50" s="281">
        <f>+T32/2-SUM(J32:P32)</f>
        <v>274400</v>
      </c>
      <c r="U50" s="275"/>
      <c r="V50" s="5"/>
    </row>
    <row r="51" spans="1:23" ht="15.6" x14ac:dyDescent="0.3">
      <c r="A51" s="302"/>
      <c r="B51" s="272"/>
      <c r="C51" s="272"/>
      <c r="D51" s="272"/>
      <c r="E51" s="272"/>
      <c r="F51" s="272"/>
      <c r="G51" s="272"/>
      <c r="H51" s="272"/>
      <c r="I51" s="272"/>
      <c r="J51" s="272"/>
      <c r="K51" s="272"/>
      <c r="L51" s="272"/>
      <c r="M51" s="272"/>
      <c r="N51" s="272"/>
      <c r="O51" s="272"/>
      <c r="P51" s="272"/>
      <c r="Q51" s="272"/>
      <c r="R51" s="272" t="s">
        <v>284</v>
      </c>
      <c r="S51" s="272"/>
      <c r="T51" s="308"/>
      <c r="U51" s="275"/>
      <c r="V51" s="5"/>
    </row>
    <row r="52" spans="1:23" ht="15.6" x14ac:dyDescent="0.3">
      <c r="A52" s="302"/>
      <c r="B52" s="272" t="s">
        <v>154</v>
      </c>
      <c r="C52" s="272"/>
      <c r="D52" s="272"/>
      <c r="E52" s="272"/>
      <c r="F52" s="272"/>
      <c r="G52" s="272"/>
      <c r="H52" s="272"/>
      <c r="I52" s="272"/>
      <c r="J52" s="272"/>
      <c r="K52" s="272"/>
      <c r="L52" s="272"/>
      <c r="M52" s="272"/>
      <c r="N52" s="272"/>
      <c r="O52" s="272"/>
      <c r="P52" s="272"/>
      <c r="Q52" s="272"/>
      <c r="R52" s="279"/>
      <c r="S52" s="279"/>
      <c r="T52" s="279" t="s">
        <v>120</v>
      </c>
      <c r="U52" s="275"/>
      <c r="V52" s="5"/>
    </row>
    <row r="53" spans="1:23" ht="15.6" x14ac:dyDescent="0.3">
      <c r="A53" s="302"/>
      <c r="B53" s="277" t="s">
        <v>155</v>
      </c>
      <c r="C53" s="277"/>
      <c r="D53" s="277"/>
      <c r="E53" s="277"/>
      <c r="F53" s="277"/>
      <c r="G53" s="277"/>
      <c r="H53" s="277"/>
      <c r="I53" s="277"/>
      <c r="J53" s="277"/>
      <c r="K53" s="277"/>
      <c r="L53" s="277"/>
      <c r="M53" s="277"/>
      <c r="N53" s="277"/>
      <c r="O53" s="277"/>
      <c r="P53" s="277"/>
      <c r="Q53" s="277"/>
      <c r="R53" s="309"/>
      <c r="S53" s="309"/>
      <c r="T53" s="310">
        <v>42962</v>
      </c>
      <c r="U53" s="275"/>
      <c r="V53" s="5"/>
    </row>
    <row r="54" spans="1:23" ht="15.6" x14ac:dyDescent="0.3">
      <c r="A54" s="302"/>
      <c r="B54" s="272" t="s">
        <v>130</v>
      </c>
      <c r="C54" s="272"/>
      <c r="D54" s="272"/>
      <c r="E54" s="272"/>
      <c r="F54" s="272"/>
      <c r="G54" s="272"/>
      <c r="H54" s="311"/>
      <c r="I54" s="311"/>
      <c r="J54" s="311"/>
      <c r="K54" s="311"/>
      <c r="L54" s="311"/>
      <c r="M54" s="311"/>
      <c r="N54" s="311"/>
      <c r="O54" s="311"/>
      <c r="P54" s="272">
        <f>+T54-R54+1</f>
        <v>89</v>
      </c>
      <c r="Q54" s="272"/>
      <c r="R54" s="312">
        <v>42781</v>
      </c>
      <c r="S54" s="313"/>
      <c r="T54" s="312">
        <v>42869</v>
      </c>
      <c r="U54" s="275"/>
      <c r="V54" s="5"/>
    </row>
    <row r="55" spans="1:23" ht="15.6" x14ac:dyDescent="0.3">
      <c r="A55" s="302"/>
      <c r="B55" s="272" t="s">
        <v>131</v>
      </c>
      <c r="C55" s="272"/>
      <c r="D55" s="272"/>
      <c r="E55" s="272"/>
      <c r="F55" s="272"/>
      <c r="G55" s="272"/>
      <c r="H55" s="272"/>
      <c r="I55" s="272"/>
      <c r="J55" s="272"/>
      <c r="K55" s="272"/>
      <c r="L55" s="272"/>
      <c r="M55" s="272"/>
      <c r="N55" s="272"/>
      <c r="O55" s="272"/>
      <c r="P55" s="272">
        <f>+T55-R55+1</f>
        <v>92</v>
      </c>
      <c r="Q55" s="272"/>
      <c r="R55" s="312">
        <v>42870</v>
      </c>
      <c r="S55" s="313"/>
      <c r="T55" s="312">
        <v>42961</v>
      </c>
      <c r="U55" s="275"/>
      <c r="V55" s="5"/>
    </row>
    <row r="56" spans="1:23" ht="15.6" x14ac:dyDescent="0.3">
      <c r="A56" s="302"/>
      <c r="B56" s="272" t="s">
        <v>213</v>
      </c>
      <c r="C56" s="272"/>
      <c r="D56" s="272"/>
      <c r="E56" s="272"/>
      <c r="F56" s="272"/>
      <c r="G56" s="272"/>
      <c r="H56" s="272"/>
      <c r="I56" s="272"/>
      <c r="J56" s="272"/>
      <c r="K56" s="272"/>
      <c r="L56" s="272"/>
      <c r="M56" s="272"/>
      <c r="N56" s="272"/>
      <c r="O56" s="272"/>
      <c r="P56" s="272"/>
      <c r="Q56" s="272"/>
      <c r="R56" s="312"/>
      <c r="S56" s="313"/>
      <c r="T56" s="312" t="s">
        <v>129</v>
      </c>
      <c r="U56" s="275"/>
      <c r="V56" s="5"/>
    </row>
    <row r="57" spans="1:23" ht="15.6" x14ac:dyDescent="0.3">
      <c r="A57" s="302"/>
      <c r="B57" s="272" t="s">
        <v>227</v>
      </c>
      <c r="C57" s="272"/>
      <c r="D57" s="272"/>
      <c r="E57" s="272"/>
      <c r="F57" s="272"/>
      <c r="G57" s="272"/>
      <c r="H57" s="272"/>
      <c r="I57" s="272"/>
      <c r="J57" s="272"/>
      <c r="K57" s="272"/>
      <c r="L57" s="272"/>
      <c r="M57" s="272"/>
      <c r="N57" s="272"/>
      <c r="O57" s="272"/>
      <c r="P57" s="272"/>
      <c r="Q57" s="272"/>
      <c r="R57" s="312"/>
      <c r="S57" s="313"/>
      <c r="T57" s="312" t="s">
        <v>169</v>
      </c>
      <c r="U57" s="275"/>
      <c r="V57" s="5"/>
      <c r="W57" s="137"/>
    </row>
    <row r="58" spans="1:23" ht="15.6" x14ac:dyDescent="0.3">
      <c r="A58" s="302"/>
      <c r="B58" s="272" t="s">
        <v>17</v>
      </c>
      <c r="C58" s="272"/>
      <c r="D58" s="272"/>
      <c r="E58" s="272"/>
      <c r="F58" s="272"/>
      <c r="G58" s="272"/>
      <c r="H58" s="272"/>
      <c r="I58" s="272"/>
      <c r="J58" s="272"/>
      <c r="K58" s="272"/>
      <c r="L58" s="272"/>
      <c r="M58" s="272"/>
      <c r="N58" s="272"/>
      <c r="O58" s="272"/>
      <c r="P58" s="272"/>
      <c r="Q58" s="272"/>
      <c r="R58" s="312"/>
      <c r="S58" s="313"/>
      <c r="T58" s="312">
        <v>42948</v>
      </c>
      <c r="U58" s="275"/>
      <c r="V58" s="5"/>
    </row>
    <row r="59" spans="1:23" ht="15.6" x14ac:dyDescent="0.3">
      <c r="A59" s="233"/>
      <c r="B59" s="268"/>
      <c r="C59" s="268"/>
      <c r="D59" s="268"/>
      <c r="E59" s="268"/>
      <c r="F59" s="268"/>
      <c r="G59" s="268"/>
      <c r="H59" s="268"/>
      <c r="I59" s="268"/>
      <c r="J59" s="268"/>
      <c r="K59" s="268"/>
      <c r="L59" s="268"/>
      <c r="M59" s="268"/>
      <c r="N59" s="268"/>
      <c r="O59" s="268"/>
      <c r="P59" s="268"/>
      <c r="Q59" s="268"/>
      <c r="R59" s="269"/>
      <c r="S59" s="270"/>
      <c r="T59" s="269"/>
      <c r="U59" s="268"/>
      <c r="V59" s="5"/>
    </row>
    <row r="60" spans="1:23" ht="15.6" x14ac:dyDescent="0.3">
      <c r="A60" s="233"/>
      <c r="B60" s="234"/>
      <c r="C60" s="234"/>
      <c r="D60" s="234"/>
      <c r="E60" s="234"/>
      <c r="F60" s="234"/>
      <c r="G60" s="234"/>
      <c r="H60" s="234"/>
      <c r="I60" s="234"/>
      <c r="J60" s="234"/>
      <c r="K60" s="234"/>
      <c r="L60" s="234"/>
      <c r="M60" s="234"/>
      <c r="N60" s="234"/>
      <c r="O60" s="234"/>
      <c r="P60" s="234"/>
      <c r="Q60" s="234"/>
      <c r="R60" s="235"/>
      <c r="S60" s="236"/>
      <c r="T60" s="235"/>
      <c r="U60" s="234"/>
      <c r="V60" s="5"/>
    </row>
    <row r="61" spans="1:23" ht="18" thickBot="1" x14ac:dyDescent="0.35">
      <c r="A61" s="237"/>
      <c r="B61" s="238" t="s">
        <v>346</v>
      </c>
      <c r="C61" s="239"/>
      <c r="D61" s="239"/>
      <c r="E61" s="239"/>
      <c r="F61" s="239"/>
      <c r="G61" s="239"/>
      <c r="H61" s="239"/>
      <c r="I61" s="239"/>
      <c r="J61" s="239"/>
      <c r="K61" s="239"/>
      <c r="L61" s="239"/>
      <c r="M61" s="239"/>
      <c r="N61" s="239"/>
      <c r="O61" s="239"/>
      <c r="P61" s="239"/>
      <c r="Q61" s="239"/>
      <c r="R61" s="239"/>
      <c r="S61" s="239"/>
      <c r="T61" s="240"/>
      <c r="U61" s="241"/>
      <c r="V61" s="5"/>
    </row>
    <row r="62" spans="1:23" ht="15.6" x14ac:dyDescent="0.3">
      <c r="A62" s="258"/>
      <c r="B62" s="259" t="s">
        <v>18</v>
      </c>
      <c r="C62" s="262"/>
      <c r="D62" s="262"/>
      <c r="E62" s="262"/>
      <c r="F62" s="262"/>
      <c r="G62" s="262"/>
      <c r="H62" s="262"/>
      <c r="I62" s="262"/>
      <c r="J62" s="262"/>
      <c r="K62" s="262"/>
      <c r="L62" s="262"/>
      <c r="M62" s="262"/>
      <c r="N62" s="262"/>
      <c r="O62" s="262"/>
      <c r="P62" s="262"/>
      <c r="Q62" s="262"/>
      <c r="R62" s="262"/>
      <c r="S62" s="262"/>
      <c r="T62" s="332"/>
      <c r="U62" s="262"/>
      <c r="V62" s="5"/>
    </row>
    <row r="63" spans="1:23" ht="15.6" x14ac:dyDescent="0.3">
      <c r="A63" s="177"/>
      <c r="B63" s="185"/>
      <c r="C63" s="179"/>
      <c r="D63" s="179"/>
      <c r="E63" s="179"/>
      <c r="F63" s="179"/>
      <c r="G63" s="179"/>
      <c r="H63" s="179"/>
      <c r="I63" s="179"/>
      <c r="J63" s="179"/>
      <c r="K63" s="179"/>
      <c r="L63" s="179"/>
      <c r="M63" s="179"/>
      <c r="N63" s="179"/>
      <c r="O63" s="179"/>
      <c r="P63" s="179"/>
      <c r="Q63" s="179"/>
      <c r="R63" s="179"/>
      <c r="S63" s="179"/>
      <c r="T63" s="197"/>
      <c r="U63" s="179"/>
      <c r="V63" s="5"/>
    </row>
    <row r="64" spans="1:23" ht="46.8" x14ac:dyDescent="0.3">
      <c r="A64" s="177"/>
      <c r="B64" s="198" t="s">
        <v>19</v>
      </c>
      <c r="C64" s="199"/>
      <c r="D64" s="199"/>
      <c r="E64" s="199"/>
      <c r="F64" s="199"/>
      <c r="G64" s="199"/>
      <c r="H64" s="199"/>
      <c r="I64" s="199"/>
      <c r="J64" s="199" t="s">
        <v>100</v>
      </c>
      <c r="K64" s="199"/>
      <c r="L64" s="199" t="s">
        <v>102</v>
      </c>
      <c r="M64" s="199"/>
      <c r="N64" s="199" t="s">
        <v>104</v>
      </c>
      <c r="O64" s="199"/>
      <c r="P64" s="199" t="s">
        <v>106</v>
      </c>
      <c r="Q64" s="199"/>
      <c r="R64" s="199" t="s">
        <v>113</v>
      </c>
      <c r="S64" s="199"/>
      <c r="T64" s="200" t="s">
        <v>121</v>
      </c>
      <c r="U64" s="201"/>
      <c r="V64" s="5"/>
    </row>
    <row r="65" spans="1:22" ht="15.6" x14ac:dyDescent="0.3">
      <c r="A65" s="271"/>
      <c r="B65" s="272" t="s">
        <v>20</v>
      </c>
      <c r="C65" s="317"/>
      <c r="D65" s="317"/>
      <c r="E65" s="317"/>
      <c r="F65" s="317"/>
      <c r="G65" s="317"/>
      <c r="H65" s="317"/>
      <c r="I65" s="317"/>
      <c r="J65" s="317">
        <v>699958</v>
      </c>
      <c r="K65" s="317"/>
      <c r="L65" s="318">
        <v>242527</v>
      </c>
      <c r="M65" s="317"/>
      <c r="N65" s="317">
        <f>8806</f>
        <v>8806</v>
      </c>
      <c r="O65" s="317"/>
      <c r="P65" s="317">
        <v>0</v>
      </c>
      <c r="Q65" s="317"/>
      <c r="R65" s="317">
        <v>0</v>
      </c>
      <c r="S65" s="317"/>
      <c r="T65" s="318">
        <f>+L65-N65+P65-R65</f>
        <v>233721</v>
      </c>
      <c r="U65" s="275"/>
      <c r="V65" s="5"/>
    </row>
    <row r="66" spans="1:22" ht="15.6" x14ac:dyDescent="0.3">
      <c r="A66" s="271"/>
      <c r="B66" s="272" t="s">
        <v>21</v>
      </c>
      <c r="C66" s="317"/>
      <c r="D66" s="317"/>
      <c r="E66" s="317"/>
      <c r="F66" s="317"/>
      <c r="G66" s="317"/>
      <c r="H66" s="317"/>
      <c r="I66" s="317"/>
      <c r="J66" s="317">
        <v>42</v>
      </c>
      <c r="K66" s="317"/>
      <c r="L66" s="318">
        <v>0</v>
      </c>
      <c r="M66" s="317"/>
      <c r="N66" s="317">
        <v>0</v>
      </c>
      <c r="O66" s="317"/>
      <c r="P66" s="317">
        <v>0</v>
      </c>
      <c r="Q66" s="317"/>
      <c r="R66" s="317">
        <v>0</v>
      </c>
      <c r="S66" s="317"/>
      <c r="T66" s="318">
        <f>+L66-N66</f>
        <v>0</v>
      </c>
      <c r="U66" s="275"/>
      <c r="V66" s="5"/>
    </row>
    <row r="67" spans="1:22" ht="15.6" x14ac:dyDescent="0.3">
      <c r="A67" s="271"/>
      <c r="B67" s="272"/>
      <c r="C67" s="317"/>
      <c r="D67" s="317"/>
      <c r="E67" s="317"/>
      <c r="F67" s="317"/>
      <c r="G67" s="317"/>
      <c r="H67" s="317"/>
      <c r="I67" s="317"/>
      <c r="J67" s="317"/>
      <c r="K67" s="317"/>
      <c r="L67" s="318"/>
      <c r="M67" s="317"/>
      <c r="N67" s="317"/>
      <c r="O67" s="317"/>
      <c r="P67" s="317"/>
      <c r="Q67" s="317"/>
      <c r="R67" s="317"/>
      <c r="S67" s="317"/>
      <c r="T67" s="318"/>
      <c r="U67" s="275"/>
      <c r="V67" s="5"/>
    </row>
    <row r="68" spans="1:22" ht="15.6" x14ac:dyDescent="0.3">
      <c r="A68" s="271"/>
      <c r="B68" s="272" t="s">
        <v>22</v>
      </c>
      <c r="C68" s="317"/>
      <c r="D68" s="317"/>
      <c r="E68" s="317"/>
      <c r="F68" s="317"/>
      <c r="G68" s="317"/>
      <c r="H68" s="317"/>
      <c r="I68" s="317"/>
      <c r="J68" s="317">
        <f>SUM(J65:J67)</f>
        <v>700000</v>
      </c>
      <c r="K68" s="317"/>
      <c r="L68" s="317">
        <f>L65+L66</f>
        <v>242527</v>
      </c>
      <c r="M68" s="317"/>
      <c r="N68" s="317">
        <f>SUM(N65:N67)</f>
        <v>8806</v>
      </c>
      <c r="O68" s="317"/>
      <c r="P68" s="317">
        <f>SUM(P65:P67)</f>
        <v>0</v>
      </c>
      <c r="Q68" s="317"/>
      <c r="R68" s="317">
        <f>SUM(R65:R67)</f>
        <v>0</v>
      </c>
      <c r="S68" s="317"/>
      <c r="T68" s="317">
        <f>SUM(T65:T67)</f>
        <v>233721</v>
      </c>
      <c r="U68" s="275"/>
      <c r="V68" s="5"/>
    </row>
    <row r="69" spans="1:22" ht="15.6" x14ac:dyDescent="0.3">
      <c r="A69" s="177"/>
      <c r="B69" s="314"/>
      <c r="C69" s="315"/>
      <c r="D69" s="315"/>
      <c r="E69" s="315"/>
      <c r="F69" s="315"/>
      <c r="G69" s="315"/>
      <c r="H69" s="315"/>
      <c r="I69" s="315"/>
      <c r="J69" s="315"/>
      <c r="K69" s="315"/>
      <c r="L69" s="315"/>
      <c r="M69" s="315"/>
      <c r="N69" s="315"/>
      <c r="O69" s="315"/>
      <c r="P69" s="315"/>
      <c r="Q69" s="315"/>
      <c r="R69" s="315"/>
      <c r="S69" s="315"/>
      <c r="T69" s="316"/>
      <c r="U69" s="314"/>
      <c r="V69" s="5"/>
    </row>
    <row r="70" spans="1:22" ht="15.6" x14ac:dyDescent="0.3">
      <c r="A70" s="177"/>
      <c r="B70" s="181" t="s">
        <v>23</v>
      </c>
      <c r="C70" s="202"/>
      <c r="D70" s="202"/>
      <c r="E70" s="202"/>
      <c r="F70" s="202"/>
      <c r="G70" s="202"/>
      <c r="H70" s="202"/>
      <c r="I70" s="202"/>
      <c r="J70" s="202"/>
      <c r="K70" s="202"/>
      <c r="L70" s="202"/>
      <c r="M70" s="202"/>
      <c r="N70" s="202"/>
      <c r="O70" s="202"/>
      <c r="P70" s="202"/>
      <c r="Q70" s="202"/>
      <c r="R70" s="202"/>
      <c r="S70" s="202"/>
      <c r="T70" s="203"/>
      <c r="U70" s="179"/>
      <c r="V70" s="5"/>
    </row>
    <row r="71" spans="1:22" ht="15.6" x14ac:dyDescent="0.3">
      <c r="A71" s="177"/>
      <c r="B71" s="179"/>
      <c r="C71" s="202"/>
      <c r="D71" s="202"/>
      <c r="E71" s="202"/>
      <c r="F71" s="202"/>
      <c r="G71" s="202"/>
      <c r="H71" s="202"/>
      <c r="I71" s="202"/>
      <c r="J71" s="202"/>
      <c r="K71" s="202"/>
      <c r="L71" s="202"/>
      <c r="M71" s="202"/>
      <c r="N71" s="202"/>
      <c r="O71" s="202"/>
      <c r="P71" s="202"/>
      <c r="Q71" s="202"/>
      <c r="R71" s="202"/>
      <c r="S71" s="202"/>
      <c r="T71" s="203"/>
      <c r="U71" s="179"/>
      <c r="V71" s="5"/>
    </row>
    <row r="72" spans="1:22" ht="15.6" x14ac:dyDescent="0.3">
      <c r="A72" s="271"/>
      <c r="B72" s="272" t="s">
        <v>20</v>
      </c>
      <c r="C72" s="317"/>
      <c r="D72" s="317"/>
      <c r="E72" s="317"/>
      <c r="F72" s="317"/>
      <c r="G72" s="317"/>
      <c r="H72" s="317"/>
      <c r="I72" s="317"/>
      <c r="J72" s="317"/>
      <c r="K72" s="317"/>
      <c r="L72" s="317"/>
      <c r="M72" s="317"/>
      <c r="N72" s="317"/>
      <c r="O72" s="317"/>
      <c r="P72" s="317"/>
      <c r="Q72" s="317"/>
      <c r="R72" s="317"/>
      <c r="S72" s="317"/>
      <c r="T72" s="317"/>
      <c r="U72" s="275"/>
      <c r="V72" s="5"/>
    </row>
    <row r="73" spans="1:22" ht="15.6" x14ac:dyDescent="0.3">
      <c r="A73" s="271"/>
      <c r="B73" s="272" t="s">
        <v>21</v>
      </c>
      <c r="C73" s="317"/>
      <c r="D73" s="317"/>
      <c r="E73" s="317"/>
      <c r="F73" s="317"/>
      <c r="G73" s="317"/>
      <c r="H73" s="317"/>
      <c r="I73" s="317"/>
      <c r="J73" s="317"/>
      <c r="K73" s="317"/>
      <c r="L73" s="317"/>
      <c r="M73" s="317"/>
      <c r="N73" s="317"/>
      <c r="O73" s="317"/>
      <c r="P73" s="317"/>
      <c r="Q73" s="317"/>
      <c r="R73" s="317"/>
      <c r="S73" s="317"/>
      <c r="T73" s="317"/>
      <c r="U73" s="275"/>
      <c r="V73" s="5"/>
    </row>
    <row r="74" spans="1:22" ht="15.6" x14ac:dyDescent="0.3">
      <c r="A74" s="271"/>
      <c r="B74" s="272"/>
      <c r="C74" s="317"/>
      <c r="D74" s="317"/>
      <c r="E74" s="317"/>
      <c r="F74" s="317"/>
      <c r="G74" s="317"/>
      <c r="H74" s="317"/>
      <c r="I74" s="317"/>
      <c r="J74" s="317"/>
      <c r="K74" s="317"/>
      <c r="L74" s="317"/>
      <c r="M74" s="317"/>
      <c r="N74" s="317"/>
      <c r="O74" s="317"/>
      <c r="P74" s="317"/>
      <c r="Q74" s="317"/>
      <c r="R74" s="317"/>
      <c r="S74" s="317"/>
      <c r="T74" s="317"/>
      <c r="U74" s="275"/>
      <c r="V74" s="5"/>
    </row>
    <row r="75" spans="1:22" ht="15.6" x14ac:dyDescent="0.3">
      <c r="A75" s="271"/>
      <c r="B75" s="272" t="s">
        <v>22</v>
      </c>
      <c r="C75" s="317"/>
      <c r="D75" s="317"/>
      <c r="E75" s="317"/>
      <c r="F75" s="317"/>
      <c r="G75" s="317"/>
      <c r="H75" s="317"/>
      <c r="I75" s="317"/>
      <c r="J75" s="317"/>
      <c r="K75" s="317"/>
      <c r="L75" s="317"/>
      <c r="M75" s="317"/>
      <c r="N75" s="317"/>
      <c r="O75" s="317"/>
      <c r="P75" s="317"/>
      <c r="Q75" s="317"/>
      <c r="R75" s="317"/>
      <c r="S75" s="317"/>
      <c r="T75" s="317"/>
      <c r="U75" s="275"/>
      <c r="V75" s="5"/>
    </row>
    <row r="76" spans="1:22" ht="15.6" x14ac:dyDescent="0.3">
      <c r="A76" s="271"/>
      <c r="B76" s="272"/>
      <c r="C76" s="317"/>
      <c r="D76" s="317"/>
      <c r="E76" s="317"/>
      <c r="F76" s="317"/>
      <c r="G76" s="317"/>
      <c r="H76" s="317"/>
      <c r="I76" s="317"/>
      <c r="J76" s="317"/>
      <c r="K76" s="317"/>
      <c r="L76" s="317"/>
      <c r="M76" s="317"/>
      <c r="N76" s="317"/>
      <c r="O76" s="317"/>
      <c r="P76" s="317"/>
      <c r="Q76" s="317"/>
      <c r="R76" s="317"/>
      <c r="S76" s="317"/>
      <c r="T76" s="317"/>
      <c r="U76" s="275"/>
      <c r="V76" s="5"/>
    </row>
    <row r="77" spans="1:22" ht="15.6" x14ac:dyDescent="0.3">
      <c r="A77" s="271"/>
      <c r="B77" s="272" t="s">
        <v>24</v>
      </c>
      <c r="C77" s="317"/>
      <c r="D77" s="317"/>
      <c r="E77" s="317"/>
      <c r="F77" s="317"/>
      <c r="G77" s="317"/>
      <c r="H77" s="317"/>
      <c r="I77" s="317"/>
      <c r="J77" s="317">
        <v>0</v>
      </c>
      <c r="K77" s="317"/>
      <c r="L77" s="317">
        <v>0</v>
      </c>
      <c r="M77" s="317"/>
      <c r="N77" s="317"/>
      <c r="O77" s="317"/>
      <c r="P77" s="317"/>
      <c r="Q77" s="317"/>
      <c r="R77" s="317"/>
      <c r="S77" s="317"/>
      <c r="T77" s="318">
        <v>0</v>
      </c>
      <c r="U77" s="275"/>
      <c r="V77" s="5"/>
    </row>
    <row r="78" spans="1:22" ht="15.6" x14ac:dyDescent="0.3">
      <c r="A78" s="271"/>
      <c r="B78" s="272" t="s">
        <v>126</v>
      </c>
      <c r="C78" s="317"/>
      <c r="D78" s="317"/>
      <c r="E78" s="317"/>
      <c r="F78" s="317"/>
      <c r="G78" s="317"/>
      <c r="H78" s="317"/>
      <c r="I78" s="317"/>
      <c r="J78" s="317">
        <v>0</v>
      </c>
      <c r="K78" s="317"/>
      <c r="L78" s="317">
        <v>0</v>
      </c>
      <c r="M78" s="317"/>
      <c r="N78" s="317"/>
      <c r="O78" s="317"/>
      <c r="P78" s="317"/>
      <c r="Q78" s="317"/>
      <c r="R78" s="317"/>
      <c r="S78" s="317"/>
      <c r="T78" s="317">
        <f>SUM(J78:P78)</f>
        <v>0</v>
      </c>
      <c r="U78" s="275"/>
      <c r="V78" s="5"/>
    </row>
    <row r="79" spans="1:22" ht="15.6" x14ac:dyDescent="0.3">
      <c r="A79" s="271"/>
      <c r="B79" s="272" t="s">
        <v>157</v>
      </c>
      <c r="C79" s="317"/>
      <c r="D79" s="317"/>
      <c r="E79" s="317"/>
      <c r="F79" s="317"/>
      <c r="G79" s="317"/>
      <c r="H79" s="317"/>
      <c r="I79" s="317"/>
      <c r="J79" s="317">
        <v>0</v>
      </c>
      <c r="K79" s="317"/>
      <c r="L79" s="317">
        <v>0</v>
      </c>
      <c r="M79" s="317"/>
      <c r="N79" s="317"/>
      <c r="O79" s="317"/>
      <c r="P79" s="317"/>
      <c r="Q79" s="317"/>
      <c r="R79" s="317"/>
      <c r="S79" s="317"/>
      <c r="T79" s="317">
        <v>0</v>
      </c>
      <c r="U79" s="275"/>
      <c r="V79" s="5"/>
    </row>
    <row r="80" spans="1:22" ht="15.6" x14ac:dyDescent="0.3">
      <c r="A80" s="271"/>
      <c r="B80" s="272" t="s">
        <v>26</v>
      </c>
      <c r="C80" s="317"/>
      <c r="D80" s="317"/>
      <c r="E80" s="317"/>
      <c r="F80" s="317"/>
      <c r="G80" s="317"/>
      <c r="H80" s="317"/>
      <c r="I80" s="317"/>
      <c r="J80" s="317">
        <v>0</v>
      </c>
      <c r="K80" s="317"/>
      <c r="L80" s="317">
        <v>0</v>
      </c>
      <c r="M80" s="317"/>
      <c r="N80" s="317"/>
      <c r="O80" s="317"/>
      <c r="P80" s="317"/>
      <c r="Q80" s="317"/>
      <c r="R80" s="317"/>
      <c r="S80" s="317"/>
      <c r="T80" s="317">
        <v>0</v>
      </c>
      <c r="U80" s="275"/>
      <c r="V80" s="5"/>
    </row>
    <row r="81" spans="1:22" ht="15.6" x14ac:dyDescent="0.3">
      <c r="A81" s="271"/>
      <c r="B81" s="272" t="s">
        <v>27</v>
      </c>
      <c r="C81" s="317"/>
      <c r="D81" s="317"/>
      <c r="E81" s="317"/>
      <c r="F81" s="317"/>
      <c r="G81" s="317"/>
      <c r="H81" s="317"/>
      <c r="I81" s="317"/>
      <c r="J81" s="317">
        <f>SUM(J68:J80)</f>
        <v>700000</v>
      </c>
      <c r="K81" s="317"/>
      <c r="L81" s="317">
        <f>SUM(L68:L80)</f>
        <v>242527</v>
      </c>
      <c r="M81" s="317"/>
      <c r="N81" s="317"/>
      <c r="O81" s="317"/>
      <c r="P81" s="317"/>
      <c r="Q81" s="317"/>
      <c r="R81" s="317"/>
      <c r="S81" s="317"/>
      <c r="T81" s="317">
        <f>SUM(T68:T80)</f>
        <v>233721</v>
      </c>
      <c r="U81" s="275"/>
      <c r="V81" s="5"/>
    </row>
    <row r="82" spans="1:22" ht="15.6" x14ac:dyDescent="0.3">
      <c r="A82" s="177"/>
      <c r="B82" s="314"/>
      <c r="C82" s="315"/>
      <c r="D82" s="315"/>
      <c r="E82" s="315"/>
      <c r="F82" s="315"/>
      <c r="G82" s="315"/>
      <c r="H82" s="315"/>
      <c r="I82" s="315"/>
      <c r="J82" s="315"/>
      <c r="K82" s="315"/>
      <c r="L82" s="315"/>
      <c r="M82" s="315"/>
      <c r="N82" s="315"/>
      <c r="O82" s="315"/>
      <c r="P82" s="315"/>
      <c r="Q82" s="315"/>
      <c r="R82" s="315"/>
      <c r="S82" s="315"/>
      <c r="T82" s="316"/>
      <c r="U82" s="314"/>
      <c r="V82" s="5"/>
    </row>
    <row r="83" spans="1:22" ht="15.6" x14ac:dyDescent="0.3">
      <c r="A83" s="177"/>
      <c r="B83" s="179"/>
      <c r="C83" s="179"/>
      <c r="D83" s="179"/>
      <c r="E83" s="179"/>
      <c r="F83" s="179"/>
      <c r="G83" s="179"/>
      <c r="H83" s="179"/>
      <c r="I83" s="179"/>
      <c r="J83" s="179"/>
      <c r="K83" s="179"/>
      <c r="L83" s="179"/>
      <c r="M83" s="179"/>
      <c r="N83" s="179"/>
      <c r="O83" s="179"/>
      <c r="P83" s="179"/>
      <c r="Q83" s="179"/>
      <c r="R83" s="179"/>
      <c r="S83" s="179"/>
      <c r="T83" s="179"/>
      <c r="U83" s="179"/>
      <c r="V83" s="5"/>
    </row>
    <row r="84" spans="1:22" ht="15.6" x14ac:dyDescent="0.3">
      <c r="A84" s="258"/>
      <c r="B84" s="259" t="s">
        <v>28</v>
      </c>
      <c r="C84" s="259"/>
      <c r="D84" s="259"/>
      <c r="E84" s="259"/>
      <c r="F84" s="259"/>
      <c r="G84" s="259"/>
      <c r="H84" s="260"/>
      <c r="I84" s="260"/>
      <c r="J84" s="319" t="s">
        <v>101</v>
      </c>
      <c r="K84" s="260"/>
      <c r="L84" s="320">
        <f>+R196</f>
        <v>42947</v>
      </c>
      <c r="M84" s="260"/>
      <c r="N84" s="260"/>
      <c r="O84" s="260"/>
      <c r="P84" s="260"/>
      <c r="Q84" s="260"/>
      <c r="R84" s="260" t="s">
        <v>114</v>
      </c>
      <c r="S84" s="260"/>
      <c r="T84" s="260" t="s">
        <v>122</v>
      </c>
      <c r="U84" s="262"/>
      <c r="V84" s="5"/>
    </row>
    <row r="85" spans="1:22" ht="15.6" x14ac:dyDescent="0.3">
      <c r="A85" s="232"/>
      <c r="B85" s="228" t="s">
        <v>29</v>
      </c>
      <c r="C85" s="228"/>
      <c r="D85" s="228"/>
      <c r="E85" s="228"/>
      <c r="F85" s="228"/>
      <c r="G85" s="228"/>
      <c r="H85" s="228"/>
      <c r="I85" s="228"/>
      <c r="J85" s="228"/>
      <c r="K85" s="228"/>
      <c r="L85" s="228"/>
      <c r="M85" s="228"/>
      <c r="N85" s="228"/>
      <c r="O85" s="228"/>
      <c r="P85" s="228"/>
      <c r="Q85" s="228"/>
      <c r="R85" s="231">
        <v>0</v>
      </c>
      <c r="S85" s="228"/>
      <c r="T85" s="242">
        <v>0</v>
      </c>
      <c r="U85" s="228"/>
      <c r="V85" s="5"/>
    </row>
    <row r="86" spans="1:22" ht="15.6" x14ac:dyDescent="0.3">
      <c r="A86" s="302"/>
      <c r="B86" s="272" t="s">
        <v>30</v>
      </c>
      <c r="C86" s="272"/>
      <c r="D86" s="272"/>
      <c r="E86" s="272"/>
      <c r="F86" s="272"/>
      <c r="G86" s="272"/>
      <c r="H86" s="306"/>
      <c r="I86" s="334"/>
      <c r="J86" s="306"/>
      <c r="K86" s="272"/>
      <c r="L86" s="335"/>
      <c r="M86" s="272"/>
      <c r="N86" s="272"/>
      <c r="O86" s="272"/>
      <c r="P86" s="272"/>
      <c r="Q86" s="272"/>
      <c r="R86" s="317">
        <f>8806+18</f>
        <v>8824</v>
      </c>
      <c r="S86" s="272"/>
      <c r="T86" s="318"/>
      <c r="U86" s="275"/>
      <c r="V86" s="5"/>
    </row>
    <row r="87" spans="1:22" ht="15.6" x14ac:dyDescent="0.3">
      <c r="A87" s="302"/>
      <c r="B87" s="272" t="s">
        <v>254</v>
      </c>
      <c r="C87" s="272"/>
      <c r="D87" s="272"/>
      <c r="E87" s="272"/>
      <c r="F87" s="272"/>
      <c r="G87" s="272"/>
      <c r="H87" s="306"/>
      <c r="I87" s="334"/>
      <c r="J87" s="306"/>
      <c r="K87" s="272"/>
      <c r="L87" s="335"/>
      <c r="M87" s="272"/>
      <c r="N87" s="272"/>
      <c r="O87" s="272"/>
      <c r="P87" s="272"/>
      <c r="Q87" s="272"/>
      <c r="R87" s="317"/>
      <c r="S87" s="272"/>
      <c r="T87" s="318">
        <f>1279+520-378-172</f>
        <v>1249</v>
      </c>
      <c r="U87" s="275"/>
      <c r="V87" s="5"/>
    </row>
    <row r="88" spans="1:22" ht="15.6" x14ac:dyDescent="0.3">
      <c r="A88" s="302"/>
      <c r="B88" s="272" t="s">
        <v>255</v>
      </c>
      <c r="C88" s="272"/>
      <c r="D88" s="272"/>
      <c r="E88" s="272"/>
      <c r="F88" s="272"/>
      <c r="G88" s="272"/>
      <c r="H88" s="306"/>
      <c r="I88" s="334"/>
      <c r="J88" s="306"/>
      <c r="K88" s="272"/>
      <c r="L88" s="335"/>
      <c r="M88" s="272"/>
      <c r="N88" s="272"/>
      <c r="O88" s="272"/>
      <c r="P88" s="272"/>
      <c r="Q88" s="272"/>
      <c r="R88" s="317"/>
      <c r="S88" s="272"/>
      <c r="T88" s="318">
        <f>92+10</f>
        <v>102</v>
      </c>
      <c r="U88" s="275"/>
      <c r="V88" s="5"/>
    </row>
    <row r="89" spans="1:22" ht="15.6" x14ac:dyDescent="0.3">
      <c r="A89" s="302"/>
      <c r="B89" s="272" t="s">
        <v>256</v>
      </c>
      <c r="C89" s="272"/>
      <c r="D89" s="272"/>
      <c r="E89" s="272"/>
      <c r="F89" s="272"/>
      <c r="G89" s="272"/>
      <c r="H89" s="306"/>
      <c r="I89" s="334"/>
      <c r="J89" s="306"/>
      <c r="K89" s="272"/>
      <c r="L89" s="335"/>
      <c r="M89" s="272"/>
      <c r="N89" s="272"/>
      <c r="O89" s="272"/>
      <c r="P89" s="272"/>
      <c r="Q89" s="272"/>
      <c r="R89" s="317"/>
      <c r="S89" s="272"/>
      <c r="T89" s="318">
        <v>11</v>
      </c>
      <c r="U89" s="275"/>
      <c r="V89" s="5"/>
    </row>
    <row r="90" spans="1:22" ht="15.6" x14ac:dyDescent="0.3">
      <c r="A90" s="302"/>
      <c r="B90" s="272" t="s">
        <v>270</v>
      </c>
      <c r="C90" s="272"/>
      <c r="D90" s="272"/>
      <c r="E90" s="272"/>
      <c r="F90" s="272"/>
      <c r="G90" s="272"/>
      <c r="H90" s="306"/>
      <c r="I90" s="334"/>
      <c r="J90" s="306"/>
      <c r="K90" s="272"/>
      <c r="L90" s="335"/>
      <c r="M90" s="272"/>
      <c r="N90" s="272"/>
      <c r="O90" s="272"/>
      <c r="P90" s="272"/>
      <c r="Q90" s="272"/>
      <c r="R90" s="317"/>
      <c r="S90" s="272"/>
      <c r="T90" s="318">
        <v>0</v>
      </c>
      <c r="U90" s="275"/>
      <c r="V90" s="5"/>
    </row>
    <row r="91" spans="1:22" ht="15.6" x14ac:dyDescent="0.3">
      <c r="A91" s="302"/>
      <c r="B91" s="272" t="s">
        <v>144</v>
      </c>
      <c r="C91" s="272"/>
      <c r="D91" s="272"/>
      <c r="E91" s="272"/>
      <c r="F91" s="272"/>
      <c r="G91" s="272"/>
      <c r="H91" s="272"/>
      <c r="I91" s="272"/>
      <c r="J91" s="272"/>
      <c r="K91" s="272"/>
      <c r="L91" s="272"/>
      <c r="M91" s="272"/>
      <c r="N91" s="272"/>
      <c r="O91" s="272"/>
      <c r="P91" s="272"/>
      <c r="Q91" s="272"/>
      <c r="R91" s="317"/>
      <c r="S91" s="272"/>
      <c r="T91" s="318">
        <v>0</v>
      </c>
      <c r="U91" s="275"/>
      <c r="V91" s="5"/>
    </row>
    <row r="92" spans="1:22" ht="15.6" x14ac:dyDescent="0.3">
      <c r="A92" s="302"/>
      <c r="B92" s="272" t="s">
        <v>233</v>
      </c>
      <c r="C92" s="272"/>
      <c r="D92" s="272"/>
      <c r="E92" s="272"/>
      <c r="F92" s="272"/>
      <c r="G92" s="272"/>
      <c r="H92" s="272"/>
      <c r="I92" s="272"/>
      <c r="J92" s="272"/>
      <c r="K92" s="272"/>
      <c r="L92" s="272"/>
      <c r="M92" s="272"/>
      <c r="N92" s="272"/>
      <c r="O92" s="272"/>
      <c r="P92" s="272"/>
      <c r="Q92" s="272"/>
      <c r="R92" s="317"/>
      <c r="S92" s="272"/>
      <c r="T92" s="318">
        <v>0</v>
      </c>
      <c r="U92" s="275"/>
      <c r="V92" s="5"/>
    </row>
    <row r="93" spans="1:22" ht="15.6" x14ac:dyDescent="0.3">
      <c r="A93" s="302"/>
      <c r="B93" s="272" t="s">
        <v>32</v>
      </c>
      <c r="C93" s="272"/>
      <c r="D93" s="272"/>
      <c r="E93" s="272"/>
      <c r="F93" s="272"/>
      <c r="G93" s="272"/>
      <c r="H93" s="272"/>
      <c r="I93" s="272"/>
      <c r="J93" s="272"/>
      <c r="K93" s="272"/>
      <c r="L93" s="272"/>
      <c r="M93" s="272"/>
      <c r="N93" s="272"/>
      <c r="O93" s="272"/>
      <c r="P93" s="272"/>
      <c r="Q93" s="272"/>
      <c r="R93" s="317">
        <f>SUM(R85:R92)</f>
        <v>8824</v>
      </c>
      <c r="S93" s="272"/>
      <c r="T93" s="317">
        <f>SUM(T85:T92)</f>
        <v>1362</v>
      </c>
      <c r="U93" s="275"/>
      <c r="V93" s="5"/>
    </row>
    <row r="94" spans="1:22" ht="15.6" x14ac:dyDescent="0.3">
      <c r="A94" s="302"/>
      <c r="B94" s="272" t="s">
        <v>176</v>
      </c>
      <c r="C94" s="272"/>
      <c r="D94" s="272"/>
      <c r="E94" s="272"/>
      <c r="F94" s="272"/>
      <c r="G94" s="272"/>
      <c r="H94" s="272"/>
      <c r="I94" s="272"/>
      <c r="J94" s="272"/>
      <c r="K94" s="272"/>
      <c r="L94" s="272"/>
      <c r="M94" s="272"/>
      <c r="N94" s="272"/>
      <c r="O94" s="272"/>
      <c r="P94" s="272"/>
      <c r="Q94" s="272"/>
      <c r="R94" s="317">
        <v>0</v>
      </c>
      <c r="S94" s="272"/>
      <c r="T94" s="317">
        <f>-R94</f>
        <v>0</v>
      </c>
      <c r="U94" s="275"/>
      <c r="V94" s="5"/>
    </row>
    <row r="95" spans="1:22" ht="15.6" x14ac:dyDescent="0.3">
      <c r="A95" s="302"/>
      <c r="B95" s="272" t="s">
        <v>33</v>
      </c>
      <c r="C95" s="272"/>
      <c r="D95" s="272"/>
      <c r="E95" s="272"/>
      <c r="F95" s="272"/>
      <c r="G95" s="272"/>
      <c r="H95" s="272"/>
      <c r="I95" s="272"/>
      <c r="J95" s="272"/>
      <c r="K95" s="272"/>
      <c r="L95" s="272"/>
      <c r="M95" s="272"/>
      <c r="N95" s="272"/>
      <c r="O95" s="272"/>
      <c r="P95" s="272"/>
      <c r="Q95" s="272"/>
      <c r="R95" s="317">
        <f>-T95</f>
        <v>0</v>
      </c>
      <c r="S95" s="272"/>
      <c r="T95" s="318">
        <v>0</v>
      </c>
      <c r="U95" s="275"/>
      <c r="V95" s="5"/>
    </row>
    <row r="96" spans="1:22" ht="15.6" x14ac:dyDescent="0.3">
      <c r="A96" s="302"/>
      <c r="B96" s="272" t="s">
        <v>278</v>
      </c>
      <c r="C96" s="272"/>
      <c r="D96" s="272"/>
      <c r="E96" s="272"/>
      <c r="F96" s="272"/>
      <c r="G96" s="272"/>
      <c r="H96" s="272"/>
      <c r="I96" s="272"/>
      <c r="J96" s="272"/>
      <c r="K96" s="272"/>
      <c r="L96" s="272"/>
      <c r="M96" s="272"/>
      <c r="N96" s="272"/>
      <c r="O96" s="272"/>
      <c r="P96" s="272"/>
      <c r="Q96" s="272"/>
      <c r="R96" s="317"/>
      <c r="S96" s="272"/>
      <c r="T96" s="318">
        <v>0</v>
      </c>
      <c r="U96" s="275"/>
      <c r="V96" s="5"/>
    </row>
    <row r="97" spans="1:23" ht="15.6" x14ac:dyDescent="0.3">
      <c r="A97" s="302"/>
      <c r="B97" s="272" t="s">
        <v>34</v>
      </c>
      <c r="C97" s="272"/>
      <c r="D97" s="272"/>
      <c r="E97" s="272"/>
      <c r="F97" s="272"/>
      <c r="G97" s="272"/>
      <c r="H97" s="272"/>
      <c r="I97" s="272"/>
      <c r="J97" s="272"/>
      <c r="K97" s="272"/>
      <c r="L97" s="272"/>
      <c r="M97" s="272"/>
      <c r="N97" s="272"/>
      <c r="O97" s="272"/>
      <c r="P97" s="272"/>
      <c r="Q97" s="272"/>
      <c r="R97" s="317">
        <f>R93+R95+R94</f>
        <v>8824</v>
      </c>
      <c r="S97" s="272"/>
      <c r="T97" s="317">
        <f>T93+T95+T94+T96</f>
        <v>1362</v>
      </c>
      <c r="U97" s="275"/>
      <c r="V97" s="5"/>
      <c r="W97" s="166"/>
    </row>
    <row r="98" spans="1:23" ht="15.6" x14ac:dyDescent="0.3">
      <c r="A98" s="271"/>
      <c r="B98" s="336" t="s">
        <v>35</v>
      </c>
      <c r="C98" s="337"/>
      <c r="D98" s="337"/>
      <c r="E98" s="337"/>
      <c r="F98" s="337"/>
      <c r="G98" s="337"/>
      <c r="H98" s="337"/>
      <c r="I98" s="337"/>
      <c r="J98" s="337"/>
      <c r="K98" s="337"/>
      <c r="L98" s="337"/>
      <c r="M98" s="337"/>
      <c r="N98" s="337"/>
      <c r="O98" s="337"/>
      <c r="P98" s="337"/>
      <c r="Q98" s="337"/>
      <c r="R98" s="338"/>
      <c r="S98" s="337"/>
      <c r="T98" s="339"/>
      <c r="U98" s="340"/>
      <c r="V98" s="5"/>
    </row>
    <row r="99" spans="1:23" ht="15.6" x14ac:dyDescent="0.3">
      <c r="A99" s="302">
        <v>1</v>
      </c>
      <c r="B99" s="272" t="s">
        <v>36</v>
      </c>
      <c r="C99" s="272"/>
      <c r="D99" s="272"/>
      <c r="E99" s="272"/>
      <c r="F99" s="272"/>
      <c r="G99" s="272"/>
      <c r="H99" s="272"/>
      <c r="I99" s="272"/>
      <c r="J99" s="272"/>
      <c r="K99" s="272"/>
      <c r="L99" s="272"/>
      <c r="M99" s="272"/>
      <c r="N99" s="272"/>
      <c r="O99" s="272"/>
      <c r="P99" s="272"/>
      <c r="Q99" s="272"/>
      <c r="R99" s="272"/>
      <c r="S99" s="272"/>
      <c r="T99" s="318">
        <v>0</v>
      </c>
      <c r="U99" s="340"/>
      <c r="V99" s="5"/>
    </row>
    <row r="100" spans="1:23" ht="15.6" x14ac:dyDescent="0.3">
      <c r="A100" s="302">
        <f>+A99+1</f>
        <v>2</v>
      </c>
      <c r="B100" s="272" t="s">
        <v>317</v>
      </c>
      <c r="C100" s="272"/>
      <c r="D100" s="272"/>
      <c r="E100" s="272"/>
      <c r="F100" s="272"/>
      <c r="G100" s="272"/>
      <c r="H100" s="272"/>
      <c r="I100" s="272"/>
      <c r="J100" s="272"/>
      <c r="K100" s="272"/>
      <c r="L100" s="272"/>
      <c r="M100" s="272"/>
      <c r="N100" s="272"/>
      <c r="O100" s="272"/>
      <c r="P100" s="272"/>
      <c r="Q100" s="272"/>
      <c r="R100" s="272"/>
      <c r="S100" s="272"/>
      <c r="T100" s="318">
        <v>-2</v>
      </c>
      <c r="U100" s="340"/>
      <c r="V100" s="5"/>
    </row>
    <row r="101" spans="1:23" ht="15.6" x14ac:dyDescent="0.3">
      <c r="A101" s="302">
        <f>+A100+1</f>
        <v>3</v>
      </c>
      <c r="B101" s="272" t="s">
        <v>319</v>
      </c>
      <c r="C101" s="272"/>
      <c r="D101" s="272"/>
      <c r="E101" s="272"/>
      <c r="F101" s="272"/>
      <c r="G101" s="272"/>
      <c r="H101" s="272"/>
      <c r="I101" s="272"/>
      <c r="J101" s="272"/>
      <c r="K101" s="272"/>
      <c r="L101" s="272"/>
      <c r="M101" s="272"/>
      <c r="N101" s="272"/>
      <c r="O101" s="272"/>
      <c r="P101" s="272"/>
      <c r="Q101" s="272"/>
      <c r="R101" s="272"/>
      <c r="S101" s="272"/>
      <c r="T101" s="318">
        <f>-94-39-4</f>
        <v>-137</v>
      </c>
      <c r="U101" s="340"/>
      <c r="V101" s="5"/>
    </row>
    <row r="102" spans="1:23" ht="15.6" x14ac:dyDescent="0.3">
      <c r="A102" s="302" t="s">
        <v>136</v>
      </c>
      <c r="B102" s="272" t="s">
        <v>125</v>
      </c>
      <c r="C102" s="272"/>
      <c r="D102" s="272"/>
      <c r="E102" s="272"/>
      <c r="F102" s="272"/>
      <c r="G102" s="272"/>
      <c r="H102" s="272"/>
      <c r="I102" s="272"/>
      <c r="J102" s="272"/>
      <c r="K102" s="272"/>
      <c r="L102" s="272"/>
      <c r="M102" s="272"/>
      <c r="N102" s="272"/>
      <c r="O102" s="272"/>
      <c r="P102" s="272"/>
      <c r="Q102" s="272"/>
      <c r="R102" s="272"/>
      <c r="S102" s="272"/>
      <c r="T102" s="318">
        <v>0</v>
      </c>
      <c r="U102" s="340"/>
      <c r="V102" s="5"/>
    </row>
    <row r="103" spans="1:23" ht="15.6" x14ac:dyDescent="0.3">
      <c r="A103" s="302" t="s">
        <v>137</v>
      </c>
      <c r="B103" s="272" t="s">
        <v>267</v>
      </c>
      <c r="C103" s="272"/>
      <c r="D103" s="272"/>
      <c r="E103" s="272"/>
      <c r="F103" s="272"/>
      <c r="G103" s="272"/>
      <c r="H103" s="272"/>
      <c r="I103" s="272"/>
      <c r="J103" s="272"/>
      <c r="K103" s="272"/>
      <c r="L103" s="272"/>
      <c r="M103" s="272"/>
      <c r="N103" s="272"/>
      <c r="O103" s="272"/>
      <c r="P103" s="272"/>
      <c r="Q103" s="272"/>
      <c r="R103" s="272"/>
      <c r="S103" s="272"/>
      <c r="T103" s="318">
        <v>0</v>
      </c>
      <c r="U103" s="340"/>
      <c r="V103" s="5"/>
    </row>
    <row r="104" spans="1:23" ht="15.6" x14ac:dyDescent="0.3">
      <c r="A104" s="302" t="s">
        <v>162</v>
      </c>
      <c r="B104" s="272" t="s">
        <v>218</v>
      </c>
      <c r="C104" s="272"/>
      <c r="D104" s="272"/>
      <c r="E104" s="272"/>
      <c r="F104" s="272"/>
      <c r="G104" s="272"/>
      <c r="H104" s="272"/>
      <c r="I104" s="272"/>
      <c r="J104" s="272"/>
      <c r="K104" s="272"/>
      <c r="L104" s="272"/>
      <c r="M104" s="272"/>
      <c r="N104" s="272"/>
      <c r="O104" s="272"/>
      <c r="P104" s="272"/>
      <c r="Q104" s="272"/>
      <c r="R104" s="272"/>
      <c r="S104" s="272"/>
      <c r="T104" s="318">
        <v>-179</v>
      </c>
      <c r="U104" s="340"/>
      <c r="V104" s="5"/>
      <c r="W104" s="110"/>
    </row>
    <row r="105" spans="1:23" ht="15.6" x14ac:dyDescent="0.3">
      <c r="A105" s="302" t="s">
        <v>163</v>
      </c>
      <c r="B105" s="272" t="s">
        <v>219</v>
      </c>
      <c r="C105" s="272"/>
      <c r="D105" s="272"/>
      <c r="E105" s="272"/>
      <c r="F105" s="272"/>
      <c r="G105" s="272"/>
      <c r="H105" s="272"/>
      <c r="I105" s="272"/>
      <c r="J105" s="272"/>
      <c r="K105" s="272"/>
      <c r="L105" s="272"/>
      <c r="M105" s="272"/>
      <c r="N105" s="272"/>
      <c r="O105" s="272"/>
      <c r="P105" s="272"/>
      <c r="Q105" s="272"/>
      <c r="R105" s="272"/>
      <c r="S105" s="272"/>
      <c r="T105" s="318">
        <v>-131</v>
      </c>
      <c r="U105" s="340"/>
      <c r="V105" s="5"/>
      <c r="W105" s="110"/>
    </row>
    <row r="106" spans="1:23" ht="15.6" x14ac:dyDescent="0.3">
      <c r="A106" s="302" t="s">
        <v>252</v>
      </c>
      <c r="B106" s="272" t="s">
        <v>242</v>
      </c>
      <c r="C106" s="272"/>
      <c r="D106" s="272"/>
      <c r="E106" s="272"/>
      <c r="F106" s="272"/>
      <c r="G106" s="272"/>
      <c r="H106" s="272"/>
      <c r="I106" s="272"/>
      <c r="J106" s="272"/>
      <c r="K106" s="272"/>
      <c r="L106" s="272"/>
      <c r="M106" s="272"/>
      <c r="N106" s="272"/>
      <c r="O106" s="272"/>
      <c r="P106" s="272"/>
      <c r="Q106" s="272"/>
      <c r="R106" s="272"/>
      <c r="S106" s="272"/>
      <c r="T106" s="318">
        <f>-19</f>
        <v>-19</v>
      </c>
      <c r="U106" s="340"/>
      <c r="V106" s="170"/>
      <c r="W106" s="110"/>
    </row>
    <row r="107" spans="1:23" ht="15.6" x14ac:dyDescent="0.3">
      <c r="A107" s="302" t="s">
        <v>245</v>
      </c>
      <c r="B107" s="272" t="s">
        <v>220</v>
      </c>
      <c r="C107" s="272"/>
      <c r="D107" s="272"/>
      <c r="E107" s="272"/>
      <c r="F107" s="272"/>
      <c r="G107" s="272"/>
      <c r="H107" s="272"/>
      <c r="I107" s="272"/>
      <c r="J107" s="272"/>
      <c r="K107" s="272"/>
      <c r="L107" s="272"/>
      <c r="M107" s="272"/>
      <c r="N107" s="272"/>
      <c r="O107" s="272"/>
      <c r="P107" s="272"/>
      <c r="Q107" s="272"/>
      <c r="R107" s="272"/>
      <c r="S107" s="272"/>
      <c r="T107" s="318">
        <v>-11</v>
      </c>
      <c r="U107" s="340"/>
      <c r="V107" s="5"/>
      <c r="W107" s="110"/>
    </row>
    <row r="108" spans="1:23" ht="15.6" x14ac:dyDescent="0.3">
      <c r="A108" s="302" t="s">
        <v>246</v>
      </c>
      <c r="B108" s="272" t="s">
        <v>221</v>
      </c>
      <c r="C108" s="272"/>
      <c r="D108" s="272"/>
      <c r="E108" s="272"/>
      <c r="F108" s="272"/>
      <c r="G108" s="272"/>
      <c r="H108" s="272"/>
      <c r="I108" s="272"/>
      <c r="J108" s="272"/>
      <c r="K108" s="272"/>
      <c r="L108" s="272"/>
      <c r="M108" s="272"/>
      <c r="N108" s="272"/>
      <c r="O108" s="272"/>
      <c r="P108" s="272"/>
      <c r="Q108" s="272"/>
      <c r="R108" s="272"/>
      <c r="S108" s="272"/>
      <c r="T108" s="318">
        <v>-34</v>
      </c>
      <c r="U108" s="340"/>
      <c r="V108" s="5"/>
      <c r="W108" s="110"/>
    </row>
    <row r="109" spans="1:23" ht="15.6" x14ac:dyDescent="0.3">
      <c r="A109" s="302" t="s">
        <v>247</v>
      </c>
      <c r="B109" s="272" t="s">
        <v>222</v>
      </c>
      <c r="C109" s="272"/>
      <c r="D109" s="272"/>
      <c r="E109" s="272"/>
      <c r="F109" s="272"/>
      <c r="G109" s="272"/>
      <c r="H109" s="272"/>
      <c r="I109" s="272"/>
      <c r="J109" s="272"/>
      <c r="K109" s="272"/>
      <c r="L109" s="272"/>
      <c r="M109" s="272"/>
      <c r="N109" s="272"/>
      <c r="O109" s="272"/>
      <c r="P109" s="272"/>
      <c r="Q109" s="272"/>
      <c r="R109" s="272"/>
      <c r="S109" s="272"/>
      <c r="T109" s="318">
        <v>-7</v>
      </c>
      <c r="U109" s="340"/>
      <c r="V109" s="5"/>
      <c r="W109" s="110"/>
    </row>
    <row r="110" spans="1:23" ht="15.6" x14ac:dyDescent="0.3">
      <c r="A110" s="302" t="s">
        <v>248</v>
      </c>
      <c r="B110" s="272" t="s">
        <v>223</v>
      </c>
      <c r="C110" s="272"/>
      <c r="D110" s="272"/>
      <c r="E110" s="272"/>
      <c r="F110" s="272"/>
      <c r="G110" s="272"/>
      <c r="H110" s="272"/>
      <c r="I110" s="272"/>
      <c r="J110" s="272"/>
      <c r="K110" s="272"/>
      <c r="L110" s="272"/>
      <c r="M110" s="272"/>
      <c r="N110" s="272"/>
      <c r="O110" s="272"/>
      <c r="P110" s="272"/>
      <c r="Q110" s="272"/>
      <c r="R110" s="272"/>
      <c r="S110" s="272"/>
      <c r="T110" s="318">
        <v>-114</v>
      </c>
      <c r="U110" s="340"/>
      <c r="V110" s="5"/>
      <c r="W110" s="110"/>
    </row>
    <row r="111" spans="1:23" ht="15.6" x14ac:dyDescent="0.3">
      <c r="A111" s="302">
        <v>7</v>
      </c>
      <c r="B111" s="272" t="s">
        <v>318</v>
      </c>
      <c r="C111" s="272"/>
      <c r="D111" s="272"/>
      <c r="E111" s="272"/>
      <c r="F111" s="272"/>
      <c r="G111" s="272"/>
      <c r="H111" s="272"/>
      <c r="I111" s="272"/>
      <c r="J111" s="272"/>
      <c r="K111" s="272"/>
      <c r="L111" s="272"/>
      <c r="M111" s="272"/>
      <c r="N111" s="272"/>
      <c r="O111" s="272"/>
      <c r="P111" s="272"/>
      <c r="Q111" s="272"/>
      <c r="R111" s="272"/>
      <c r="S111" s="272"/>
      <c r="T111" s="318">
        <v>0</v>
      </c>
      <c r="U111" s="340"/>
      <c r="V111" s="5"/>
      <c r="W111" s="110"/>
    </row>
    <row r="112" spans="1:23" ht="15.6" x14ac:dyDescent="0.3">
      <c r="A112" s="302">
        <v>8</v>
      </c>
      <c r="B112" s="272" t="s">
        <v>38</v>
      </c>
      <c r="C112" s="272"/>
      <c r="D112" s="272"/>
      <c r="E112" s="272"/>
      <c r="F112" s="272"/>
      <c r="G112" s="272"/>
      <c r="H112" s="272"/>
      <c r="I112" s="272"/>
      <c r="J112" s="272"/>
      <c r="K112" s="272"/>
      <c r="L112" s="272"/>
      <c r="M112" s="272"/>
      <c r="N112" s="272"/>
      <c r="O112" s="272"/>
      <c r="P112" s="272"/>
      <c r="Q112" s="272"/>
      <c r="R112" s="272"/>
      <c r="S112" s="272"/>
      <c r="T112" s="318">
        <v>-6</v>
      </c>
      <c r="U112" s="340"/>
      <c r="V112" s="5"/>
    </row>
    <row r="113" spans="1:22" ht="15.6" x14ac:dyDescent="0.3">
      <c r="A113" s="302">
        <f t="shared" ref="A113:A118" si="0">+A112+1</f>
        <v>9</v>
      </c>
      <c r="B113" s="272" t="s">
        <v>49</v>
      </c>
      <c r="C113" s="272"/>
      <c r="D113" s="272"/>
      <c r="E113" s="272"/>
      <c r="F113" s="272"/>
      <c r="G113" s="272"/>
      <c r="H113" s="272"/>
      <c r="I113" s="272"/>
      <c r="J113" s="272"/>
      <c r="K113" s="272"/>
      <c r="L113" s="272"/>
      <c r="M113" s="272"/>
      <c r="N113" s="272"/>
      <c r="O113" s="272"/>
      <c r="P113" s="272"/>
      <c r="Q113" s="272"/>
      <c r="R113" s="317">
        <f>-T113</f>
        <v>-18</v>
      </c>
      <c r="S113" s="272"/>
      <c r="T113" s="318">
        <v>18</v>
      </c>
      <c r="U113" s="340"/>
      <c r="V113" s="5"/>
    </row>
    <row r="114" spans="1:22" ht="15.6" x14ac:dyDescent="0.3">
      <c r="A114" s="302">
        <f t="shared" si="0"/>
        <v>10</v>
      </c>
      <c r="B114" s="272" t="s">
        <v>134</v>
      </c>
      <c r="C114" s="272"/>
      <c r="D114" s="272"/>
      <c r="E114" s="272"/>
      <c r="F114" s="272"/>
      <c r="G114" s="272"/>
      <c r="H114" s="272"/>
      <c r="I114" s="272"/>
      <c r="J114" s="272"/>
      <c r="K114" s="272"/>
      <c r="L114" s="272"/>
      <c r="M114" s="272"/>
      <c r="N114" s="272"/>
      <c r="O114" s="272"/>
      <c r="P114" s="272"/>
      <c r="Q114" s="272"/>
      <c r="R114" s="272"/>
      <c r="S114" s="272"/>
      <c r="T114" s="318">
        <v>0</v>
      </c>
      <c r="U114" s="340"/>
      <c r="V114" s="5"/>
    </row>
    <row r="115" spans="1:22" ht="15.6" x14ac:dyDescent="0.3">
      <c r="A115" s="302">
        <f t="shared" si="0"/>
        <v>11</v>
      </c>
      <c r="B115" s="272" t="s">
        <v>39</v>
      </c>
      <c r="C115" s="272"/>
      <c r="D115" s="272"/>
      <c r="E115" s="272"/>
      <c r="F115" s="272"/>
      <c r="G115" s="272"/>
      <c r="H115" s="272"/>
      <c r="I115" s="272"/>
      <c r="J115" s="272"/>
      <c r="K115" s="272"/>
      <c r="L115" s="272"/>
      <c r="M115" s="272"/>
      <c r="N115" s="272"/>
      <c r="O115" s="272"/>
      <c r="P115" s="272"/>
      <c r="Q115" s="272"/>
      <c r="R115" s="272"/>
      <c r="S115" s="272"/>
      <c r="T115" s="318">
        <v>0</v>
      </c>
      <c r="U115" s="340"/>
      <c r="V115" s="5"/>
    </row>
    <row r="116" spans="1:22" ht="15.6" x14ac:dyDescent="0.3">
      <c r="A116" s="302">
        <f t="shared" si="0"/>
        <v>12</v>
      </c>
      <c r="B116" s="272" t="s">
        <v>40</v>
      </c>
      <c r="C116" s="272"/>
      <c r="D116" s="272"/>
      <c r="E116" s="272"/>
      <c r="F116" s="272"/>
      <c r="G116" s="272"/>
      <c r="H116" s="272"/>
      <c r="I116" s="272"/>
      <c r="J116" s="272"/>
      <c r="K116" s="272"/>
      <c r="L116" s="272"/>
      <c r="M116" s="272"/>
      <c r="N116" s="272"/>
      <c r="O116" s="272"/>
      <c r="P116" s="272"/>
      <c r="Q116" s="272"/>
      <c r="R116" s="272"/>
      <c r="S116" s="272"/>
      <c r="T116" s="318">
        <v>0</v>
      </c>
      <c r="U116" s="340"/>
      <c r="V116" s="5"/>
    </row>
    <row r="117" spans="1:22" ht="15.6" x14ac:dyDescent="0.3">
      <c r="A117" s="302">
        <f t="shared" si="0"/>
        <v>13</v>
      </c>
      <c r="B117" s="272" t="s">
        <v>161</v>
      </c>
      <c r="C117" s="272"/>
      <c r="D117" s="272"/>
      <c r="E117" s="272"/>
      <c r="F117" s="272"/>
      <c r="G117" s="272"/>
      <c r="H117" s="272"/>
      <c r="I117" s="272"/>
      <c r="J117" s="272"/>
      <c r="K117" s="272"/>
      <c r="L117" s="272"/>
      <c r="M117" s="272"/>
      <c r="N117" s="272"/>
      <c r="O117" s="272"/>
      <c r="P117" s="272"/>
      <c r="Q117" s="272"/>
      <c r="R117" s="272"/>
      <c r="S117" s="272"/>
      <c r="T117" s="318">
        <v>-93</v>
      </c>
      <c r="U117" s="340"/>
      <c r="V117" s="5"/>
    </row>
    <row r="118" spans="1:22" ht="15.6" x14ac:dyDescent="0.3">
      <c r="A118" s="302">
        <f t="shared" si="0"/>
        <v>14</v>
      </c>
      <c r="B118" s="272" t="s">
        <v>135</v>
      </c>
      <c r="C118" s="272"/>
      <c r="D118" s="272"/>
      <c r="E118" s="272"/>
      <c r="F118" s="272"/>
      <c r="G118" s="272"/>
      <c r="H118" s="272"/>
      <c r="I118" s="272"/>
      <c r="J118" s="272"/>
      <c r="K118" s="272"/>
      <c r="L118" s="272"/>
      <c r="M118" s="272"/>
      <c r="N118" s="272"/>
      <c r="O118" s="272"/>
      <c r="P118" s="272"/>
      <c r="Q118" s="272"/>
      <c r="R118" s="272"/>
      <c r="S118" s="272"/>
      <c r="T118" s="318">
        <f>-T97-SUM(T99:T117)</f>
        <v>-647</v>
      </c>
      <c r="U118" s="340"/>
      <c r="V118" s="5"/>
    </row>
    <row r="119" spans="1:22" ht="15.6" x14ac:dyDescent="0.3">
      <c r="A119" s="271"/>
      <c r="B119" s="336" t="s">
        <v>41</v>
      </c>
      <c r="C119" s="337"/>
      <c r="D119" s="337"/>
      <c r="E119" s="337"/>
      <c r="F119" s="337"/>
      <c r="G119" s="337"/>
      <c r="H119" s="337"/>
      <c r="I119" s="337"/>
      <c r="J119" s="337"/>
      <c r="K119" s="337"/>
      <c r="L119" s="337"/>
      <c r="M119" s="337"/>
      <c r="N119" s="337"/>
      <c r="O119" s="337"/>
      <c r="P119" s="337"/>
      <c r="Q119" s="337"/>
      <c r="R119" s="337"/>
      <c r="S119" s="337"/>
      <c r="T119" s="341"/>
      <c r="U119" s="340"/>
      <c r="V119" s="5"/>
    </row>
    <row r="120" spans="1:22" ht="15.6" x14ac:dyDescent="0.3">
      <c r="A120" s="302"/>
      <c r="B120" s="272" t="s">
        <v>229</v>
      </c>
      <c r="C120" s="272"/>
      <c r="D120" s="272"/>
      <c r="E120" s="272"/>
      <c r="F120" s="272"/>
      <c r="G120" s="272"/>
      <c r="H120" s="272"/>
      <c r="I120" s="272"/>
      <c r="J120" s="272"/>
      <c r="K120" s="272"/>
      <c r="L120" s="272"/>
      <c r="M120" s="272"/>
      <c r="N120" s="272"/>
      <c r="O120" s="272"/>
      <c r="P120" s="272"/>
      <c r="Q120" s="272"/>
      <c r="R120" s="317">
        <f>-R180</f>
        <v>0</v>
      </c>
      <c r="S120" s="317"/>
      <c r="T120" s="318"/>
      <c r="U120" s="275"/>
      <c r="V120" s="5"/>
    </row>
    <row r="121" spans="1:22" ht="15.6" x14ac:dyDescent="0.3">
      <c r="A121" s="302"/>
      <c r="B121" s="272" t="s">
        <v>230</v>
      </c>
      <c r="C121" s="272"/>
      <c r="D121" s="272"/>
      <c r="E121" s="272"/>
      <c r="F121" s="272"/>
      <c r="G121" s="272"/>
      <c r="H121" s="272"/>
      <c r="I121" s="272"/>
      <c r="J121" s="272"/>
      <c r="K121" s="272"/>
      <c r="L121" s="272"/>
      <c r="M121" s="272"/>
      <c r="N121" s="272"/>
      <c r="O121" s="272"/>
      <c r="P121" s="272"/>
      <c r="Q121" s="272"/>
      <c r="R121" s="317">
        <v>0</v>
      </c>
      <c r="S121" s="317"/>
      <c r="T121" s="318"/>
      <c r="U121" s="275"/>
      <c r="V121" s="5"/>
    </row>
    <row r="122" spans="1:22" ht="15.6" x14ac:dyDescent="0.3">
      <c r="A122" s="302"/>
      <c r="B122" s="272" t="s">
        <v>42</v>
      </c>
      <c r="C122" s="272"/>
      <c r="D122" s="272"/>
      <c r="E122" s="272"/>
      <c r="F122" s="272"/>
      <c r="G122" s="272"/>
      <c r="H122" s="272"/>
      <c r="I122" s="272"/>
      <c r="J122" s="272"/>
      <c r="K122" s="272"/>
      <c r="L122" s="272"/>
      <c r="M122" s="272"/>
      <c r="N122" s="272"/>
      <c r="O122" s="272"/>
      <c r="P122" s="272"/>
      <c r="Q122" s="272"/>
      <c r="R122" s="317">
        <f>-Q180</f>
        <v>0</v>
      </c>
      <c r="S122" s="317"/>
      <c r="T122" s="318"/>
      <c r="U122" s="275"/>
      <c r="V122" s="5"/>
    </row>
    <row r="123" spans="1:22" ht="15.6" x14ac:dyDescent="0.3">
      <c r="A123" s="302"/>
      <c r="B123" s="272" t="s">
        <v>235</v>
      </c>
      <c r="C123" s="272"/>
      <c r="D123" s="272"/>
      <c r="E123" s="272"/>
      <c r="F123" s="272"/>
      <c r="G123" s="272"/>
      <c r="H123" s="272"/>
      <c r="I123" s="272"/>
      <c r="J123" s="272"/>
      <c r="K123" s="272"/>
      <c r="L123" s="272"/>
      <c r="M123" s="272"/>
      <c r="N123" s="272"/>
      <c r="O123" s="272"/>
      <c r="P123" s="272"/>
      <c r="Q123" s="272"/>
      <c r="R123" s="317">
        <v>-3826</v>
      </c>
      <c r="S123" s="317"/>
      <c r="T123" s="318"/>
      <c r="U123" s="275"/>
      <c r="V123" s="5"/>
    </row>
    <row r="124" spans="1:22" ht="15.6" x14ac:dyDescent="0.3">
      <c r="A124" s="302"/>
      <c r="B124" s="272" t="s">
        <v>236</v>
      </c>
      <c r="C124" s="272"/>
      <c r="D124" s="272"/>
      <c r="E124" s="272"/>
      <c r="F124" s="272"/>
      <c r="G124" s="272"/>
      <c r="H124" s="272"/>
      <c r="I124" s="272"/>
      <c r="J124" s="272"/>
      <c r="K124" s="272"/>
      <c r="L124" s="272"/>
      <c r="M124" s="272"/>
      <c r="N124" s="272"/>
      <c r="O124" s="272"/>
      <c r="P124" s="272"/>
      <c r="Q124" s="272"/>
      <c r="R124" s="317">
        <v>-2703</v>
      </c>
      <c r="S124" s="317"/>
      <c r="T124" s="318"/>
      <c r="U124" s="275"/>
      <c r="V124" s="5"/>
    </row>
    <row r="125" spans="1:22" ht="15.6" x14ac:dyDescent="0.3">
      <c r="A125" s="302"/>
      <c r="B125" s="272" t="s">
        <v>241</v>
      </c>
      <c r="C125" s="272"/>
      <c r="D125" s="272"/>
      <c r="E125" s="272"/>
      <c r="F125" s="272"/>
      <c r="G125" s="272"/>
      <c r="H125" s="272"/>
      <c r="I125" s="272"/>
      <c r="J125" s="272"/>
      <c r="K125" s="272"/>
      <c r="L125" s="272"/>
      <c r="M125" s="272"/>
      <c r="N125" s="272"/>
      <c r="O125" s="272"/>
      <c r="P125" s="272"/>
      <c r="Q125" s="272"/>
      <c r="R125" s="317">
        <v>-375</v>
      </c>
      <c r="S125" s="317"/>
      <c r="T125" s="318"/>
      <c r="U125" s="275"/>
      <c r="V125" s="5"/>
    </row>
    <row r="126" spans="1:22" ht="15.6" x14ac:dyDescent="0.3">
      <c r="A126" s="302"/>
      <c r="B126" s="272" t="s">
        <v>237</v>
      </c>
      <c r="C126" s="272"/>
      <c r="D126" s="272"/>
      <c r="E126" s="272"/>
      <c r="F126" s="272"/>
      <c r="G126" s="272"/>
      <c r="H126" s="272"/>
      <c r="I126" s="272"/>
      <c r="J126" s="272"/>
      <c r="K126" s="272"/>
      <c r="L126" s="272"/>
      <c r="M126" s="272"/>
      <c r="N126" s="272"/>
      <c r="O126" s="272"/>
      <c r="P126" s="272"/>
      <c r="Q126" s="272"/>
      <c r="R126" s="317">
        <v>-176</v>
      </c>
      <c r="S126" s="317"/>
      <c r="T126" s="318"/>
      <c r="U126" s="275"/>
      <c r="V126" s="5"/>
    </row>
    <row r="127" spans="1:22" ht="15.6" x14ac:dyDescent="0.3">
      <c r="A127" s="302"/>
      <c r="B127" s="272" t="s">
        <v>238</v>
      </c>
      <c r="C127" s="272"/>
      <c r="D127" s="272"/>
      <c r="E127" s="272"/>
      <c r="F127" s="272"/>
      <c r="G127" s="272"/>
      <c r="H127" s="272"/>
      <c r="I127" s="272"/>
      <c r="J127" s="272"/>
      <c r="K127" s="272"/>
      <c r="L127" s="272"/>
      <c r="M127" s="272"/>
      <c r="N127" s="272"/>
      <c r="O127" s="272"/>
      <c r="P127" s="272"/>
      <c r="Q127" s="272"/>
      <c r="R127" s="317">
        <v>-511</v>
      </c>
      <c r="S127" s="317"/>
      <c r="T127" s="318"/>
      <c r="U127" s="275"/>
      <c r="V127" s="5"/>
    </row>
    <row r="128" spans="1:22" ht="15.6" x14ac:dyDescent="0.3">
      <c r="A128" s="302"/>
      <c r="B128" s="272" t="s">
        <v>239</v>
      </c>
      <c r="C128" s="272"/>
      <c r="D128" s="272"/>
      <c r="E128" s="272"/>
      <c r="F128" s="272"/>
      <c r="G128" s="272"/>
      <c r="H128" s="272"/>
      <c r="I128" s="272"/>
      <c r="J128" s="272"/>
      <c r="K128" s="272"/>
      <c r="L128" s="272"/>
      <c r="M128" s="272"/>
      <c r="N128" s="272"/>
      <c r="O128" s="272"/>
      <c r="P128" s="272"/>
      <c r="Q128" s="272"/>
      <c r="R128" s="317">
        <v>-75</v>
      </c>
      <c r="S128" s="317"/>
      <c r="T128" s="318"/>
      <c r="U128" s="275"/>
      <c r="V128" s="5"/>
    </row>
    <row r="129" spans="1:22" ht="15.6" x14ac:dyDescent="0.3">
      <c r="A129" s="302"/>
      <c r="B129" s="272" t="s">
        <v>240</v>
      </c>
      <c r="C129" s="272"/>
      <c r="D129" s="272"/>
      <c r="E129" s="272"/>
      <c r="F129" s="272"/>
      <c r="G129" s="272"/>
      <c r="H129" s="272"/>
      <c r="I129" s="272"/>
      <c r="J129" s="272"/>
      <c r="K129" s="272"/>
      <c r="L129" s="272"/>
      <c r="M129" s="272"/>
      <c r="N129" s="272"/>
      <c r="O129" s="272"/>
      <c r="P129" s="272"/>
      <c r="Q129" s="272"/>
      <c r="R129" s="317">
        <v>-1140</v>
      </c>
      <c r="S129" s="317"/>
      <c r="T129" s="318"/>
      <c r="U129" s="275"/>
      <c r="V129" s="5"/>
    </row>
    <row r="130" spans="1:22" ht="15.6" x14ac:dyDescent="0.3">
      <c r="A130" s="302"/>
      <c r="B130" s="272" t="s">
        <v>43</v>
      </c>
      <c r="C130" s="272"/>
      <c r="D130" s="272"/>
      <c r="E130" s="272"/>
      <c r="F130" s="272"/>
      <c r="G130" s="272"/>
      <c r="H130" s="272"/>
      <c r="I130" s="272"/>
      <c r="J130" s="272"/>
      <c r="K130" s="272"/>
      <c r="L130" s="272"/>
      <c r="M130" s="272"/>
      <c r="N130" s="272"/>
      <c r="O130" s="272"/>
      <c r="P130" s="272"/>
      <c r="Q130" s="272"/>
      <c r="R130" s="317">
        <f>SUM(R120:R129)</f>
        <v>-8806</v>
      </c>
      <c r="S130" s="317"/>
      <c r="T130" s="317">
        <f>SUM(T98:T128)</f>
        <v>-1362</v>
      </c>
      <c r="U130" s="275"/>
      <c r="V130" s="5"/>
    </row>
    <row r="131" spans="1:22" ht="15.6" x14ac:dyDescent="0.3">
      <c r="A131" s="302"/>
      <c r="B131" s="272" t="s">
        <v>44</v>
      </c>
      <c r="C131" s="272"/>
      <c r="D131" s="272"/>
      <c r="E131" s="272"/>
      <c r="F131" s="272"/>
      <c r="G131" s="272"/>
      <c r="H131" s="272"/>
      <c r="I131" s="272"/>
      <c r="J131" s="272"/>
      <c r="K131" s="272"/>
      <c r="L131" s="272"/>
      <c r="M131" s="272"/>
      <c r="N131" s="272"/>
      <c r="O131" s="272"/>
      <c r="P131" s="272"/>
      <c r="Q131" s="272"/>
      <c r="R131" s="317">
        <f>R97+R130+R113</f>
        <v>0</v>
      </c>
      <c r="S131" s="317"/>
      <c r="T131" s="317">
        <f>T97+T130</f>
        <v>0</v>
      </c>
      <c r="U131" s="275"/>
      <c r="V131" s="5"/>
    </row>
    <row r="132" spans="1:22" ht="15.6" x14ac:dyDescent="0.3">
      <c r="A132" s="233"/>
      <c r="B132" s="268"/>
      <c r="C132" s="268"/>
      <c r="D132" s="268"/>
      <c r="E132" s="268"/>
      <c r="F132" s="268"/>
      <c r="G132" s="268"/>
      <c r="H132" s="268"/>
      <c r="I132" s="268"/>
      <c r="J132" s="268"/>
      <c r="K132" s="268"/>
      <c r="L132" s="268"/>
      <c r="M132" s="268"/>
      <c r="N132" s="268"/>
      <c r="O132" s="268"/>
      <c r="P132" s="268"/>
      <c r="Q132" s="268"/>
      <c r="R132" s="333"/>
      <c r="S132" s="333"/>
      <c r="T132" s="333"/>
      <c r="U132" s="268"/>
      <c r="V132" s="5"/>
    </row>
    <row r="133" spans="1:22" ht="15.6" x14ac:dyDescent="0.3">
      <c r="A133" s="233"/>
      <c r="B133" s="234"/>
      <c r="C133" s="234"/>
      <c r="D133" s="234"/>
      <c r="E133" s="234"/>
      <c r="F133" s="234"/>
      <c r="G133" s="234"/>
      <c r="H133" s="234"/>
      <c r="I133" s="234"/>
      <c r="J133" s="234"/>
      <c r="K133" s="234"/>
      <c r="L133" s="234"/>
      <c r="M133" s="234"/>
      <c r="N133" s="234"/>
      <c r="O133" s="234"/>
      <c r="P133" s="234"/>
      <c r="Q133" s="234"/>
      <c r="R133" s="234"/>
      <c r="S133" s="234"/>
      <c r="T133" s="243"/>
      <c r="U133" s="234"/>
      <c r="V133" s="5"/>
    </row>
    <row r="134" spans="1:22" ht="18" thickBot="1" x14ac:dyDescent="0.35">
      <c r="A134" s="237"/>
      <c r="B134" s="238" t="str">
        <f>B61</f>
        <v>PM9 INVESTOR REPORT QUARTER ENDING JULY 2017</v>
      </c>
      <c r="C134" s="239"/>
      <c r="D134" s="239"/>
      <c r="E134" s="239"/>
      <c r="F134" s="239"/>
      <c r="G134" s="239"/>
      <c r="H134" s="239"/>
      <c r="I134" s="239"/>
      <c r="J134" s="239"/>
      <c r="K134" s="239"/>
      <c r="L134" s="239"/>
      <c r="M134" s="239"/>
      <c r="N134" s="239"/>
      <c r="O134" s="239"/>
      <c r="P134" s="239"/>
      <c r="Q134" s="239"/>
      <c r="R134" s="239"/>
      <c r="S134" s="239"/>
      <c r="T134" s="244"/>
      <c r="U134" s="241"/>
      <c r="V134" s="5"/>
    </row>
    <row r="135" spans="1:22" ht="15.6" x14ac:dyDescent="0.3">
      <c r="A135" s="321"/>
      <c r="B135" s="324" t="s">
        <v>45</v>
      </c>
      <c r="C135" s="322"/>
      <c r="D135" s="322"/>
      <c r="E135" s="322"/>
      <c r="F135" s="322"/>
      <c r="G135" s="322"/>
      <c r="H135" s="322"/>
      <c r="I135" s="322"/>
      <c r="J135" s="322"/>
      <c r="K135" s="322"/>
      <c r="L135" s="322"/>
      <c r="M135" s="322"/>
      <c r="N135" s="322"/>
      <c r="O135" s="322"/>
      <c r="P135" s="322"/>
      <c r="Q135" s="322"/>
      <c r="R135" s="322"/>
      <c r="S135" s="322"/>
      <c r="T135" s="323"/>
      <c r="U135" s="322"/>
      <c r="V135" s="5"/>
    </row>
    <row r="136" spans="1:22" ht="15.6" x14ac:dyDescent="0.3">
      <c r="A136" s="177"/>
      <c r="B136" s="191"/>
      <c r="C136" s="179"/>
      <c r="D136" s="179"/>
      <c r="E136" s="179"/>
      <c r="F136" s="179"/>
      <c r="G136" s="179"/>
      <c r="H136" s="179"/>
      <c r="I136" s="179"/>
      <c r="J136" s="179"/>
      <c r="K136" s="179"/>
      <c r="L136" s="179"/>
      <c r="M136" s="179"/>
      <c r="N136" s="179"/>
      <c r="O136" s="179"/>
      <c r="P136" s="179"/>
      <c r="Q136" s="179"/>
      <c r="R136" s="179"/>
      <c r="S136" s="179"/>
      <c r="T136" s="197"/>
      <c r="U136" s="179"/>
      <c r="V136" s="5"/>
    </row>
    <row r="137" spans="1:22" ht="15.6" x14ac:dyDescent="0.3">
      <c r="A137" s="177"/>
      <c r="B137" s="204" t="s">
        <v>46</v>
      </c>
      <c r="C137" s="179"/>
      <c r="D137" s="179"/>
      <c r="E137" s="179"/>
      <c r="F137" s="179"/>
      <c r="G137" s="179"/>
      <c r="H137" s="179"/>
      <c r="I137" s="179"/>
      <c r="J137" s="179"/>
      <c r="K137" s="179"/>
      <c r="L137" s="179"/>
      <c r="M137" s="179"/>
      <c r="N137" s="179"/>
      <c r="O137" s="179"/>
      <c r="P137" s="179"/>
      <c r="Q137" s="179"/>
      <c r="R137" s="179"/>
      <c r="S137" s="179"/>
      <c r="T137" s="197"/>
      <c r="U137" s="179"/>
      <c r="V137" s="5"/>
    </row>
    <row r="138" spans="1:22" ht="15.6" x14ac:dyDescent="0.3">
      <c r="A138" s="271"/>
      <c r="B138" s="272" t="s">
        <v>47</v>
      </c>
      <c r="C138" s="272"/>
      <c r="D138" s="272"/>
      <c r="E138" s="272"/>
      <c r="F138" s="272"/>
      <c r="G138" s="272"/>
      <c r="H138" s="272"/>
      <c r="I138" s="272"/>
      <c r="J138" s="272"/>
      <c r="K138" s="272"/>
      <c r="L138" s="272"/>
      <c r="M138" s="272"/>
      <c r="N138" s="272"/>
      <c r="O138" s="272"/>
      <c r="P138" s="272"/>
      <c r="Q138" s="272"/>
      <c r="R138" s="272"/>
      <c r="S138" s="272"/>
      <c r="T138" s="318">
        <f>+T32*0.0176</f>
        <v>12320</v>
      </c>
      <c r="U138" s="275"/>
      <c r="V138" s="5"/>
    </row>
    <row r="139" spans="1:22" ht="15.6" x14ac:dyDescent="0.3">
      <c r="A139" s="271"/>
      <c r="B139" s="272" t="s">
        <v>48</v>
      </c>
      <c r="C139" s="272"/>
      <c r="D139" s="272"/>
      <c r="E139" s="272"/>
      <c r="F139" s="272"/>
      <c r="G139" s="272"/>
      <c r="H139" s="272"/>
      <c r="I139" s="272"/>
      <c r="J139" s="272"/>
      <c r="K139" s="272"/>
      <c r="L139" s="272"/>
      <c r="M139" s="272"/>
      <c r="N139" s="272"/>
      <c r="O139" s="272"/>
      <c r="P139" s="272"/>
      <c r="Q139" s="272"/>
      <c r="R139" s="272"/>
      <c r="S139" s="272"/>
      <c r="T139" s="318">
        <v>12320</v>
      </c>
      <c r="U139" s="275"/>
      <c r="V139" s="5"/>
    </row>
    <row r="140" spans="1:22" ht="15.6" x14ac:dyDescent="0.3">
      <c r="A140" s="271"/>
      <c r="B140" s="272" t="s">
        <v>145</v>
      </c>
      <c r="C140" s="272"/>
      <c r="D140" s="272"/>
      <c r="E140" s="272"/>
      <c r="F140" s="272"/>
      <c r="G140" s="272"/>
      <c r="H140" s="272"/>
      <c r="I140" s="272"/>
      <c r="J140" s="272"/>
      <c r="K140" s="272"/>
      <c r="L140" s="272"/>
      <c r="M140" s="272"/>
      <c r="N140" s="272"/>
      <c r="O140" s="272"/>
      <c r="P140" s="272"/>
      <c r="Q140" s="272"/>
      <c r="R140" s="272"/>
      <c r="S140" s="272"/>
      <c r="T140" s="318">
        <v>0</v>
      </c>
      <c r="U140" s="275"/>
      <c r="V140" s="5"/>
    </row>
    <row r="141" spans="1:22" ht="15.6" x14ac:dyDescent="0.3">
      <c r="A141" s="271"/>
      <c r="B141" s="272" t="s">
        <v>132</v>
      </c>
      <c r="C141" s="272"/>
      <c r="D141" s="272"/>
      <c r="E141" s="272"/>
      <c r="F141" s="272"/>
      <c r="G141" s="272"/>
      <c r="H141" s="272"/>
      <c r="I141" s="272"/>
      <c r="J141" s="272"/>
      <c r="K141" s="272"/>
      <c r="L141" s="272"/>
      <c r="M141" s="272"/>
      <c r="N141" s="272"/>
      <c r="O141" s="272"/>
      <c r="P141" s="272"/>
      <c r="Q141" s="272"/>
      <c r="R141" s="272"/>
      <c r="S141" s="272"/>
      <c r="T141" s="318">
        <v>0</v>
      </c>
      <c r="U141" s="275"/>
      <c r="V141" s="5"/>
    </row>
    <row r="142" spans="1:22" ht="15.6" x14ac:dyDescent="0.3">
      <c r="A142" s="271"/>
      <c r="B142" s="272" t="s">
        <v>133</v>
      </c>
      <c r="C142" s="272"/>
      <c r="D142" s="272"/>
      <c r="E142" s="272"/>
      <c r="F142" s="272"/>
      <c r="G142" s="272"/>
      <c r="H142" s="272"/>
      <c r="I142" s="272"/>
      <c r="J142" s="272"/>
      <c r="K142" s="272"/>
      <c r="L142" s="272"/>
      <c r="M142" s="272"/>
      <c r="N142" s="272"/>
      <c r="O142" s="272"/>
      <c r="P142" s="272"/>
      <c r="Q142" s="272"/>
      <c r="R142" s="272"/>
      <c r="S142" s="272"/>
      <c r="T142" s="318">
        <v>0</v>
      </c>
      <c r="U142" s="275"/>
      <c r="V142" s="5"/>
    </row>
    <row r="143" spans="1:22" ht="15.6" x14ac:dyDescent="0.3">
      <c r="A143" s="271"/>
      <c r="B143" s="272" t="s">
        <v>232</v>
      </c>
      <c r="C143" s="272"/>
      <c r="D143" s="272"/>
      <c r="E143" s="272"/>
      <c r="F143" s="272"/>
      <c r="G143" s="272"/>
      <c r="H143" s="272"/>
      <c r="I143" s="272"/>
      <c r="J143" s="272"/>
      <c r="K143" s="272"/>
      <c r="L143" s="272"/>
      <c r="M143" s="272"/>
      <c r="N143" s="272"/>
      <c r="O143" s="272"/>
      <c r="P143" s="272"/>
      <c r="Q143" s="272"/>
      <c r="R143" s="272"/>
      <c r="S143" s="272"/>
      <c r="T143" s="318">
        <v>0</v>
      </c>
      <c r="U143" s="275"/>
      <c r="V143" s="5"/>
    </row>
    <row r="144" spans="1:22" ht="15.6" x14ac:dyDescent="0.3">
      <c r="A144" s="271"/>
      <c r="B144" s="272" t="s">
        <v>49</v>
      </c>
      <c r="C144" s="272"/>
      <c r="D144" s="272"/>
      <c r="E144" s="272"/>
      <c r="F144" s="272"/>
      <c r="G144" s="272"/>
      <c r="H144" s="272"/>
      <c r="I144" s="272"/>
      <c r="J144" s="272"/>
      <c r="K144" s="272"/>
      <c r="L144" s="272"/>
      <c r="M144" s="272"/>
      <c r="N144" s="272"/>
      <c r="O144" s="272"/>
      <c r="P144" s="272"/>
      <c r="Q144" s="272"/>
      <c r="R144" s="272"/>
      <c r="S144" s="272"/>
      <c r="T144" s="318">
        <v>0</v>
      </c>
      <c r="U144" s="275"/>
      <c r="V144" s="5"/>
    </row>
    <row r="145" spans="1:23" ht="15.6" x14ac:dyDescent="0.3">
      <c r="A145" s="271"/>
      <c r="B145" s="272" t="s">
        <v>138</v>
      </c>
      <c r="C145" s="272"/>
      <c r="D145" s="272"/>
      <c r="E145" s="272"/>
      <c r="F145" s="272"/>
      <c r="G145" s="272"/>
      <c r="H145" s="272"/>
      <c r="I145" s="272"/>
      <c r="J145" s="272"/>
      <c r="K145" s="272"/>
      <c r="L145" s="272"/>
      <c r="M145" s="272"/>
      <c r="N145" s="272"/>
      <c r="O145" s="272"/>
      <c r="P145" s="272"/>
      <c r="Q145" s="272"/>
      <c r="R145" s="272"/>
      <c r="S145" s="272"/>
      <c r="T145" s="318">
        <v>0</v>
      </c>
      <c r="U145" s="275"/>
      <c r="V145" s="5"/>
    </row>
    <row r="146" spans="1:23" ht="15.6" x14ac:dyDescent="0.3">
      <c r="A146" s="271"/>
      <c r="B146" s="272" t="s">
        <v>231</v>
      </c>
      <c r="C146" s="272"/>
      <c r="D146" s="272"/>
      <c r="E146" s="272"/>
      <c r="F146" s="272"/>
      <c r="G146" s="272"/>
      <c r="H146" s="272"/>
      <c r="I146" s="272"/>
      <c r="J146" s="272"/>
      <c r="K146" s="272"/>
      <c r="L146" s="272"/>
      <c r="M146" s="272"/>
      <c r="N146" s="272"/>
      <c r="O146" s="272"/>
      <c r="P146" s="272"/>
      <c r="Q146" s="272"/>
      <c r="R146" s="272"/>
      <c r="S146" s="272"/>
      <c r="T146" s="318">
        <v>0</v>
      </c>
      <c r="U146" s="275"/>
      <c r="V146" s="5"/>
      <c r="W146" s="110"/>
    </row>
    <row r="147" spans="1:23" ht="15.6" x14ac:dyDescent="0.3">
      <c r="A147" s="271"/>
      <c r="B147" s="272" t="s">
        <v>50</v>
      </c>
      <c r="C147" s="272"/>
      <c r="D147" s="272"/>
      <c r="E147" s="272"/>
      <c r="F147" s="272"/>
      <c r="G147" s="272"/>
      <c r="H147" s="272"/>
      <c r="I147" s="272"/>
      <c r="J147" s="272"/>
      <c r="K147" s="272"/>
      <c r="L147" s="272"/>
      <c r="M147" s="272"/>
      <c r="N147" s="272"/>
      <c r="O147" s="272"/>
      <c r="P147" s="272"/>
      <c r="Q147" s="272"/>
      <c r="R147" s="272"/>
      <c r="S147" s="272"/>
      <c r="T147" s="318">
        <f>SUM(T139:T146)</f>
        <v>12320</v>
      </c>
      <c r="U147" s="275"/>
      <c r="V147" s="5"/>
    </row>
    <row r="148" spans="1:23" ht="15.6" x14ac:dyDescent="0.3">
      <c r="A148" s="271"/>
      <c r="B148" s="337"/>
      <c r="C148" s="337"/>
      <c r="D148" s="337"/>
      <c r="E148" s="337"/>
      <c r="F148" s="337"/>
      <c r="G148" s="337"/>
      <c r="H148" s="337"/>
      <c r="I148" s="337"/>
      <c r="J148" s="337"/>
      <c r="K148" s="337"/>
      <c r="L148" s="337"/>
      <c r="M148" s="337"/>
      <c r="N148" s="337"/>
      <c r="O148" s="337"/>
      <c r="P148" s="337"/>
      <c r="Q148" s="337"/>
      <c r="R148" s="337"/>
      <c r="S148" s="337"/>
      <c r="T148" s="339"/>
      <c r="U148" s="340"/>
      <c r="V148" s="5"/>
    </row>
    <row r="149" spans="1:23" ht="15.6" x14ac:dyDescent="0.3">
      <c r="A149" s="271"/>
      <c r="B149" s="336" t="s">
        <v>264</v>
      </c>
      <c r="C149" s="337"/>
      <c r="D149" s="337"/>
      <c r="E149" s="337"/>
      <c r="F149" s="337"/>
      <c r="G149" s="337"/>
      <c r="H149" s="337"/>
      <c r="I149" s="337"/>
      <c r="J149" s="337"/>
      <c r="K149" s="337"/>
      <c r="L149" s="337"/>
      <c r="M149" s="337"/>
      <c r="N149" s="337"/>
      <c r="O149" s="337"/>
      <c r="P149" s="337"/>
      <c r="Q149" s="337"/>
      <c r="R149" s="337"/>
      <c r="S149" s="337"/>
      <c r="T149" s="339"/>
      <c r="U149" s="340"/>
      <c r="V149" s="5"/>
    </row>
    <row r="150" spans="1:23" ht="15.6" x14ac:dyDescent="0.3">
      <c r="A150" s="271"/>
      <c r="B150" s="272" t="s">
        <v>170</v>
      </c>
      <c r="C150" s="272"/>
      <c r="D150" s="272"/>
      <c r="E150" s="272"/>
      <c r="F150" s="272"/>
      <c r="G150" s="272"/>
      <c r="H150" s="272"/>
      <c r="I150" s="272"/>
      <c r="J150" s="272"/>
      <c r="K150" s="272"/>
      <c r="L150" s="272"/>
      <c r="M150" s="272"/>
      <c r="N150" s="272"/>
      <c r="O150" s="272"/>
      <c r="P150" s="272"/>
      <c r="Q150" s="272"/>
      <c r="R150" s="272"/>
      <c r="S150" s="272"/>
      <c r="T150" s="318">
        <v>10000</v>
      </c>
      <c r="U150" s="275"/>
      <c r="V150" s="5"/>
    </row>
    <row r="151" spans="1:23" ht="15.6" x14ac:dyDescent="0.3">
      <c r="A151" s="271"/>
      <c r="B151" s="272" t="s">
        <v>260</v>
      </c>
      <c r="C151" s="272"/>
      <c r="D151" s="272"/>
      <c r="E151" s="272"/>
      <c r="F151" s="272"/>
      <c r="G151" s="272"/>
      <c r="H151" s="272"/>
      <c r="I151" s="272"/>
      <c r="J151" s="272"/>
      <c r="K151" s="272"/>
      <c r="L151" s="272"/>
      <c r="M151" s="272"/>
      <c r="N151" s="272"/>
      <c r="O151" s="272"/>
      <c r="P151" s="272"/>
      <c r="Q151" s="272"/>
      <c r="R151" s="272"/>
      <c r="S151" s="272"/>
      <c r="T151" s="318">
        <v>0</v>
      </c>
      <c r="U151" s="275"/>
      <c r="V151" s="5"/>
    </row>
    <row r="152" spans="1:23" ht="15.6" x14ac:dyDescent="0.3">
      <c r="A152" s="271"/>
      <c r="B152" s="272" t="s">
        <v>228</v>
      </c>
      <c r="C152" s="272"/>
      <c r="D152" s="272"/>
      <c r="E152" s="272"/>
      <c r="F152" s="272"/>
      <c r="G152" s="272"/>
      <c r="H152" s="272"/>
      <c r="I152" s="272"/>
      <c r="J152" s="272"/>
      <c r="K152" s="272"/>
      <c r="L152" s="272"/>
      <c r="M152" s="272"/>
      <c r="N152" s="272"/>
      <c r="O152" s="272"/>
      <c r="P152" s="272"/>
      <c r="Q152" s="272"/>
      <c r="R152" s="272"/>
      <c r="S152" s="272"/>
      <c r="T152" s="318">
        <v>0</v>
      </c>
      <c r="U152" s="275"/>
      <c r="V152" s="5"/>
    </row>
    <row r="153" spans="1:23" ht="15.6" x14ac:dyDescent="0.3">
      <c r="A153" s="271"/>
      <c r="B153" s="400" t="s">
        <v>327</v>
      </c>
      <c r="C153" s="272"/>
      <c r="D153" s="272"/>
      <c r="E153" s="272"/>
      <c r="F153" s="272"/>
      <c r="G153" s="272"/>
      <c r="H153" s="272"/>
      <c r="I153" s="272"/>
      <c r="J153" s="272"/>
      <c r="K153" s="272"/>
      <c r="L153" s="272"/>
      <c r="M153" s="272"/>
      <c r="N153" s="272"/>
      <c r="O153" s="272"/>
      <c r="P153" s="272"/>
      <c r="Q153" s="272"/>
      <c r="R153" s="272"/>
      <c r="S153" s="272"/>
      <c r="T153" s="318">
        <v>0</v>
      </c>
      <c r="U153" s="275"/>
      <c r="V153" s="5"/>
    </row>
    <row r="154" spans="1:23" ht="15.6" x14ac:dyDescent="0.3">
      <c r="A154" s="271"/>
      <c r="B154" s="337"/>
      <c r="C154" s="337"/>
      <c r="D154" s="337"/>
      <c r="E154" s="337"/>
      <c r="F154" s="337"/>
      <c r="G154" s="337"/>
      <c r="H154" s="337"/>
      <c r="I154" s="337"/>
      <c r="J154" s="337"/>
      <c r="K154" s="337"/>
      <c r="L154" s="337"/>
      <c r="M154" s="337"/>
      <c r="N154" s="337"/>
      <c r="O154" s="337"/>
      <c r="P154" s="337"/>
      <c r="Q154" s="337"/>
      <c r="R154" s="337"/>
      <c r="S154" s="337"/>
      <c r="T154" s="339"/>
      <c r="U154" s="340"/>
      <c r="V154" s="5"/>
    </row>
    <row r="155" spans="1:23" ht="15.6" x14ac:dyDescent="0.3">
      <c r="A155" s="177"/>
      <c r="B155" s="314"/>
      <c r="C155" s="314"/>
      <c r="D155" s="314"/>
      <c r="E155" s="314"/>
      <c r="F155" s="314"/>
      <c r="G155" s="314"/>
      <c r="H155" s="314"/>
      <c r="I155" s="314"/>
      <c r="J155" s="314"/>
      <c r="K155" s="314"/>
      <c r="L155" s="314"/>
      <c r="M155" s="314"/>
      <c r="N155" s="314"/>
      <c r="O155" s="314"/>
      <c r="P155" s="314"/>
      <c r="Q155" s="314"/>
      <c r="R155" s="314"/>
      <c r="S155" s="314"/>
      <c r="T155" s="342"/>
      <c r="U155" s="314"/>
      <c r="V155" s="5"/>
    </row>
    <row r="156" spans="1:23" ht="15.6" x14ac:dyDescent="0.3">
      <c r="A156" s="177"/>
      <c r="B156" s="204" t="s">
        <v>25</v>
      </c>
      <c r="C156" s="179"/>
      <c r="D156" s="179"/>
      <c r="E156" s="179"/>
      <c r="F156" s="179"/>
      <c r="G156" s="179"/>
      <c r="H156" s="179"/>
      <c r="I156" s="179"/>
      <c r="J156" s="179"/>
      <c r="K156" s="179"/>
      <c r="L156" s="179"/>
      <c r="M156" s="179"/>
      <c r="N156" s="179"/>
      <c r="O156" s="179"/>
      <c r="P156" s="179"/>
      <c r="Q156" s="179"/>
      <c r="R156" s="179"/>
      <c r="S156" s="179"/>
      <c r="T156" s="197"/>
      <c r="U156" s="179"/>
      <c r="V156" s="5"/>
    </row>
    <row r="157" spans="1:23" ht="15.6" x14ac:dyDescent="0.3">
      <c r="A157" s="271"/>
      <c r="B157" s="272" t="s">
        <v>51</v>
      </c>
      <c r="C157" s="272"/>
      <c r="D157" s="272"/>
      <c r="E157" s="272"/>
      <c r="F157" s="272"/>
      <c r="G157" s="272"/>
      <c r="H157" s="272"/>
      <c r="I157" s="272"/>
      <c r="J157" s="272"/>
      <c r="K157" s="272"/>
      <c r="L157" s="272"/>
      <c r="M157" s="272"/>
      <c r="N157" s="272"/>
      <c r="O157" s="272"/>
      <c r="P157" s="272"/>
      <c r="Q157" s="272"/>
      <c r="R157" s="272"/>
      <c r="S157" s="272"/>
      <c r="T157" s="343" t="s">
        <v>127</v>
      </c>
      <c r="U157" s="340"/>
      <c r="V157" s="5"/>
    </row>
    <row r="158" spans="1:23" ht="15.6" x14ac:dyDescent="0.3">
      <c r="A158" s="271"/>
      <c r="B158" s="272" t="s">
        <v>52</v>
      </c>
      <c r="C158" s="274"/>
      <c r="D158" s="274"/>
      <c r="E158" s="274"/>
      <c r="F158" s="274"/>
      <c r="G158" s="274"/>
      <c r="H158" s="274"/>
      <c r="I158" s="274"/>
      <c r="J158" s="274"/>
      <c r="K158" s="274"/>
      <c r="L158" s="274"/>
      <c r="M158" s="274"/>
      <c r="N158" s="274"/>
      <c r="O158" s="274"/>
      <c r="P158" s="274"/>
      <c r="Q158" s="274"/>
      <c r="R158" s="274"/>
      <c r="S158" s="274"/>
      <c r="T158" s="343" t="s">
        <v>127</v>
      </c>
      <c r="U158" s="340"/>
      <c r="V158" s="5"/>
    </row>
    <row r="159" spans="1:23" ht="15.6" x14ac:dyDescent="0.3">
      <c r="A159" s="271"/>
      <c r="B159" s="272" t="s">
        <v>53</v>
      </c>
      <c r="C159" s="272"/>
      <c r="D159" s="272"/>
      <c r="E159" s="272"/>
      <c r="F159" s="272"/>
      <c r="G159" s="272"/>
      <c r="H159" s="272"/>
      <c r="I159" s="272"/>
      <c r="J159" s="272"/>
      <c r="K159" s="272"/>
      <c r="L159" s="272"/>
      <c r="M159" s="272"/>
      <c r="N159" s="272"/>
      <c r="O159" s="272"/>
      <c r="P159" s="272"/>
      <c r="Q159" s="272"/>
      <c r="R159" s="272"/>
      <c r="S159" s="272"/>
      <c r="T159" s="343" t="s">
        <v>127</v>
      </c>
      <c r="U159" s="340"/>
      <c r="V159" s="5"/>
    </row>
    <row r="160" spans="1:23" ht="15.6" x14ac:dyDescent="0.3">
      <c r="A160" s="271"/>
      <c r="B160" s="272" t="s">
        <v>54</v>
      </c>
      <c r="C160" s="272"/>
      <c r="D160" s="272"/>
      <c r="E160" s="272"/>
      <c r="F160" s="272"/>
      <c r="G160" s="272"/>
      <c r="H160" s="272"/>
      <c r="I160" s="272"/>
      <c r="J160" s="272"/>
      <c r="K160" s="272"/>
      <c r="L160" s="272"/>
      <c r="M160" s="272"/>
      <c r="N160" s="272"/>
      <c r="O160" s="272"/>
      <c r="P160" s="272"/>
      <c r="Q160" s="272"/>
      <c r="R160" s="272"/>
      <c r="S160" s="272"/>
      <c r="T160" s="343" t="s">
        <v>127</v>
      </c>
      <c r="U160" s="340"/>
      <c r="V160" s="5"/>
    </row>
    <row r="161" spans="1:22" ht="15.6" x14ac:dyDescent="0.3">
      <c r="A161" s="177"/>
      <c r="B161" s="314"/>
      <c r="C161" s="314"/>
      <c r="D161" s="314"/>
      <c r="E161" s="314"/>
      <c r="F161" s="314"/>
      <c r="G161" s="314"/>
      <c r="H161" s="314"/>
      <c r="I161" s="314"/>
      <c r="J161" s="314"/>
      <c r="K161" s="314"/>
      <c r="L161" s="314"/>
      <c r="M161" s="314"/>
      <c r="N161" s="314"/>
      <c r="O161" s="314"/>
      <c r="P161" s="314"/>
      <c r="Q161" s="314"/>
      <c r="R161" s="314"/>
      <c r="S161" s="314"/>
      <c r="T161" s="342"/>
      <c r="U161" s="314"/>
      <c r="V161" s="5"/>
    </row>
    <row r="162" spans="1:22" ht="15.6" x14ac:dyDescent="0.3">
      <c r="A162" s="177"/>
      <c r="B162" s="204" t="s">
        <v>55</v>
      </c>
      <c r="C162" s="179"/>
      <c r="D162" s="179"/>
      <c r="E162" s="179"/>
      <c r="F162" s="179"/>
      <c r="G162" s="179"/>
      <c r="H162" s="179"/>
      <c r="I162" s="179"/>
      <c r="J162" s="179"/>
      <c r="K162" s="179"/>
      <c r="L162" s="179"/>
      <c r="M162" s="179"/>
      <c r="N162" s="179"/>
      <c r="O162" s="179"/>
      <c r="P162" s="179"/>
      <c r="Q162" s="179"/>
      <c r="R162" s="179"/>
      <c r="S162" s="179"/>
      <c r="T162" s="205"/>
      <c r="U162" s="179"/>
      <c r="V162" s="5"/>
    </row>
    <row r="163" spans="1:22" ht="15.6" x14ac:dyDescent="0.3">
      <c r="A163" s="271"/>
      <c r="B163" s="272" t="s">
        <v>56</v>
      </c>
      <c r="C163" s="272"/>
      <c r="D163" s="272"/>
      <c r="E163" s="272"/>
      <c r="F163" s="272"/>
      <c r="G163" s="272"/>
      <c r="H163" s="272"/>
      <c r="I163" s="272"/>
      <c r="J163" s="272"/>
      <c r="K163" s="272"/>
      <c r="L163" s="272"/>
      <c r="M163" s="272"/>
      <c r="N163" s="272"/>
      <c r="O163" s="272"/>
      <c r="P163" s="272"/>
      <c r="Q163" s="272"/>
      <c r="R163" s="272"/>
      <c r="S163" s="272"/>
      <c r="T163" s="318">
        <v>0</v>
      </c>
      <c r="U163" s="340"/>
      <c r="V163" s="5"/>
    </row>
    <row r="164" spans="1:22" ht="15.6" x14ac:dyDescent="0.3">
      <c r="A164" s="271"/>
      <c r="B164" s="272" t="s">
        <v>57</v>
      </c>
      <c r="C164" s="272"/>
      <c r="D164" s="272"/>
      <c r="E164" s="272"/>
      <c r="F164" s="272"/>
      <c r="G164" s="272"/>
      <c r="H164" s="272"/>
      <c r="I164" s="272"/>
      <c r="J164" s="272"/>
      <c r="K164" s="272"/>
      <c r="L164" s="272"/>
      <c r="M164" s="272"/>
      <c r="N164" s="272"/>
      <c r="O164" s="272"/>
      <c r="P164" s="272"/>
      <c r="Q164" s="272"/>
      <c r="R164" s="272"/>
      <c r="S164" s="272"/>
      <c r="T164" s="318">
        <f>-T113</f>
        <v>-18</v>
      </c>
      <c r="U164" s="340"/>
      <c r="V164" s="5"/>
    </row>
    <row r="165" spans="1:22" ht="15.6" x14ac:dyDescent="0.3">
      <c r="A165" s="271"/>
      <c r="B165" s="272" t="s">
        <v>58</v>
      </c>
      <c r="C165" s="272"/>
      <c r="D165" s="272"/>
      <c r="E165" s="272"/>
      <c r="F165" s="272"/>
      <c r="G165" s="272"/>
      <c r="H165" s="272"/>
      <c r="I165" s="272"/>
      <c r="J165" s="272"/>
      <c r="K165" s="272"/>
      <c r="L165" s="272"/>
      <c r="M165" s="272"/>
      <c r="N165" s="272"/>
      <c r="O165" s="272"/>
      <c r="P165" s="272"/>
      <c r="Q165" s="272"/>
      <c r="R165" s="272"/>
      <c r="S165" s="272"/>
      <c r="T165" s="318">
        <f>T164+T163</f>
        <v>-18</v>
      </c>
      <c r="U165" s="340"/>
      <c r="V165" s="5"/>
    </row>
    <row r="166" spans="1:22" ht="15.6" x14ac:dyDescent="0.3">
      <c r="A166" s="271"/>
      <c r="B166" s="400" t="s">
        <v>309</v>
      </c>
      <c r="C166" s="272"/>
      <c r="D166" s="272"/>
      <c r="E166" s="272"/>
      <c r="F166" s="272"/>
      <c r="G166" s="272"/>
      <c r="H166" s="272"/>
      <c r="I166" s="272"/>
      <c r="J166" s="272"/>
      <c r="K166" s="272"/>
      <c r="L166" s="272"/>
      <c r="M166" s="272"/>
      <c r="N166" s="272"/>
      <c r="O166" s="272"/>
      <c r="P166" s="272"/>
      <c r="Q166" s="272"/>
      <c r="R166" s="272"/>
      <c r="S166" s="272"/>
      <c r="T166" s="318">
        <f>T113</f>
        <v>18</v>
      </c>
      <c r="U166" s="340"/>
      <c r="V166" s="5"/>
    </row>
    <row r="167" spans="1:22" ht="15.6" x14ac:dyDescent="0.3">
      <c r="A167" s="271"/>
      <c r="B167" s="272" t="s">
        <v>59</v>
      </c>
      <c r="C167" s="272"/>
      <c r="D167" s="272"/>
      <c r="E167" s="272"/>
      <c r="F167" s="272"/>
      <c r="G167" s="272"/>
      <c r="H167" s="272"/>
      <c r="I167" s="272"/>
      <c r="J167" s="272"/>
      <c r="K167" s="272"/>
      <c r="L167" s="272"/>
      <c r="M167" s="272"/>
      <c r="N167" s="272"/>
      <c r="O167" s="272"/>
      <c r="P167" s="272"/>
      <c r="Q167" s="272"/>
      <c r="R167" s="272"/>
      <c r="S167" s="272"/>
      <c r="T167" s="318">
        <f>T165+T166</f>
        <v>0</v>
      </c>
      <c r="U167" s="340"/>
      <c r="V167" s="5"/>
    </row>
    <row r="168" spans="1:22" ht="15.6" x14ac:dyDescent="0.3">
      <c r="A168" s="271"/>
      <c r="B168" s="272" t="s">
        <v>278</v>
      </c>
      <c r="C168" s="272"/>
      <c r="D168" s="272"/>
      <c r="E168" s="272"/>
      <c r="F168" s="272"/>
      <c r="G168" s="272"/>
      <c r="H168" s="272"/>
      <c r="I168" s="272"/>
      <c r="J168" s="272"/>
      <c r="K168" s="272"/>
      <c r="L168" s="272"/>
      <c r="M168" s="272"/>
      <c r="N168" s="272"/>
      <c r="O168" s="272"/>
      <c r="P168" s="272"/>
      <c r="Q168" s="272"/>
      <c r="R168" s="272"/>
      <c r="S168" s="272"/>
      <c r="T168" s="318">
        <v>0</v>
      </c>
      <c r="U168" s="340"/>
      <c r="V168" s="5"/>
    </row>
    <row r="169" spans="1:22" ht="16.2" thickBot="1" x14ac:dyDescent="0.35">
      <c r="A169" s="177"/>
      <c r="B169" s="268"/>
      <c r="C169" s="268"/>
      <c r="D169" s="268"/>
      <c r="E169" s="268"/>
      <c r="F169" s="268"/>
      <c r="G169" s="268"/>
      <c r="H169" s="268"/>
      <c r="I169" s="268"/>
      <c r="J169" s="268"/>
      <c r="K169" s="268"/>
      <c r="L169" s="268"/>
      <c r="M169" s="268"/>
      <c r="N169" s="268"/>
      <c r="O169" s="268"/>
      <c r="P169" s="268"/>
      <c r="Q169" s="268"/>
      <c r="R169" s="268"/>
      <c r="S169" s="268"/>
      <c r="T169" s="344"/>
      <c r="U169" s="314"/>
      <c r="V169" s="5"/>
    </row>
    <row r="170" spans="1:22" ht="15.6" x14ac:dyDescent="0.3">
      <c r="A170" s="175"/>
      <c r="B170" s="176"/>
      <c r="C170" s="176"/>
      <c r="D170" s="176"/>
      <c r="E170" s="176"/>
      <c r="F170" s="176"/>
      <c r="G170" s="176"/>
      <c r="H170" s="176"/>
      <c r="I170" s="176"/>
      <c r="J170" s="176"/>
      <c r="K170" s="176"/>
      <c r="L170" s="176"/>
      <c r="M170" s="176"/>
      <c r="N170" s="176"/>
      <c r="O170" s="176"/>
      <c r="P170" s="176"/>
      <c r="Q170" s="176"/>
      <c r="R170" s="176"/>
      <c r="S170" s="176"/>
      <c r="T170" s="196"/>
      <c r="U170" s="176"/>
      <c r="V170" s="5"/>
    </row>
    <row r="171" spans="1:22" ht="15.6" x14ac:dyDescent="0.3">
      <c r="A171" s="177"/>
      <c r="B171" s="204" t="s">
        <v>60</v>
      </c>
      <c r="C171" s="179"/>
      <c r="D171" s="179"/>
      <c r="E171" s="179"/>
      <c r="F171" s="179"/>
      <c r="G171" s="179"/>
      <c r="H171" s="179"/>
      <c r="I171" s="179"/>
      <c r="J171" s="179"/>
      <c r="K171" s="179"/>
      <c r="L171" s="179"/>
      <c r="M171" s="179"/>
      <c r="N171" s="179"/>
      <c r="O171" s="179"/>
      <c r="P171" s="179"/>
      <c r="Q171" s="179"/>
      <c r="R171" s="179"/>
      <c r="S171" s="179"/>
      <c r="T171" s="197"/>
      <c r="U171" s="179"/>
      <c r="V171" s="5"/>
    </row>
    <row r="172" spans="1:22" ht="15.6" x14ac:dyDescent="0.3">
      <c r="A172" s="177"/>
      <c r="B172" s="191"/>
      <c r="C172" s="179"/>
      <c r="D172" s="179"/>
      <c r="E172" s="179"/>
      <c r="F172" s="179"/>
      <c r="G172" s="179"/>
      <c r="H172" s="179"/>
      <c r="I172" s="179"/>
      <c r="J172" s="179"/>
      <c r="K172" s="179"/>
      <c r="L172" s="179"/>
      <c r="M172" s="179"/>
      <c r="N172" s="179"/>
      <c r="O172" s="179"/>
      <c r="P172" s="179"/>
      <c r="Q172" s="179"/>
      <c r="R172" s="179"/>
      <c r="S172" s="179"/>
      <c r="T172" s="197"/>
      <c r="U172" s="179"/>
      <c r="V172" s="5"/>
    </row>
    <row r="173" spans="1:22" ht="15.6" x14ac:dyDescent="0.3">
      <c r="A173" s="271"/>
      <c r="B173" s="272" t="s">
        <v>61</v>
      </c>
      <c r="C173" s="272"/>
      <c r="D173" s="272"/>
      <c r="E173" s="272"/>
      <c r="F173" s="272"/>
      <c r="G173" s="272"/>
      <c r="H173" s="272"/>
      <c r="I173" s="272"/>
      <c r="J173" s="272"/>
      <c r="K173" s="272"/>
      <c r="L173" s="272"/>
      <c r="M173" s="272"/>
      <c r="N173" s="272"/>
      <c r="O173" s="272"/>
      <c r="P173" s="272"/>
      <c r="Q173" s="272"/>
      <c r="R173" s="272"/>
      <c r="S173" s="272"/>
      <c r="T173" s="318">
        <f>T68</f>
        <v>233721</v>
      </c>
      <c r="U173" s="340"/>
      <c r="V173" s="5"/>
    </row>
    <row r="174" spans="1:22" ht="15.6" x14ac:dyDescent="0.3">
      <c r="A174" s="271"/>
      <c r="B174" s="272" t="s">
        <v>62</v>
      </c>
      <c r="C174" s="272"/>
      <c r="D174" s="272"/>
      <c r="E174" s="272"/>
      <c r="F174" s="272"/>
      <c r="G174" s="272"/>
      <c r="H174" s="272"/>
      <c r="I174" s="272"/>
      <c r="J174" s="272"/>
      <c r="K174" s="272"/>
      <c r="L174" s="272"/>
      <c r="M174" s="272"/>
      <c r="N174" s="272"/>
      <c r="O174" s="272"/>
      <c r="P174" s="272"/>
      <c r="Q174" s="272"/>
      <c r="R174" s="272"/>
      <c r="S174" s="272"/>
      <c r="T174" s="318">
        <f>T81</f>
        <v>233721</v>
      </c>
      <c r="U174" s="340"/>
      <c r="V174" s="5"/>
    </row>
    <row r="175" spans="1:22" ht="16.2" thickBot="1" x14ac:dyDescent="0.35">
      <c r="A175" s="177"/>
      <c r="B175" s="314"/>
      <c r="C175" s="314"/>
      <c r="D175" s="314"/>
      <c r="E175" s="314"/>
      <c r="F175" s="314"/>
      <c r="G175" s="314"/>
      <c r="H175" s="314"/>
      <c r="I175" s="314"/>
      <c r="J175" s="314"/>
      <c r="K175" s="314"/>
      <c r="L175" s="314"/>
      <c r="M175" s="314"/>
      <c r="N175" s="314"/>
      <c r="O175" s="314"/>
      <c r="P175" s="314"/>
      <c r="Q175" s="314"/>
      <c r="R175" s="314"/>
      <c r="S175" s="314"/>
      <c r="T175" s="342"/>
      <c r="U175" s="314"/>
      <c r="V175" s="5"/>
    </row>
    <row r="176" spans="1:22" ht="15.6" x14ac:dyDescent="0.3">
      <c r="A176" s="175"/>
      <c r="B176" s="176"/>
      <c r="C176" s="176"/>
      <c r="D176" s="176"/>
      <c r="E176" s="176"/>
      <c r="F176" s="176"/>
      <c r="G176" s="176"/>
      <c r="H176" s="176"/>
      <c r="I176" s="176"/>
      <c r="J176" s="176"/>
      <c r="K176" s="176"/>
      <c r="L176" s="176"/>
      <c r="M176" s="176"/>
      <c r="N176" s="176"/>
      <c r="O176" s="176"/>
      <c r="P176" s="176"/>
      <c r="Q176" s="176"/>
      <c r="R176" s="176"/>
      <c r="S176" s="176"/>
      <c r="T176" s="196"/>
      <c r="U176" s="176"/>
      <c r="V176" s="5"/>
    </row>
    <row r="177" spans="1:22" ht="15.6" x14ac:dyDescent="0.3">
      <c r="A177" s="177"/>
      <c r="B177" s="204" t="s">
        <v>63</v>
      </c>
      <c r="C177" s="201"/>
      <c r="D177" s="201"/>
      <c r="E177" s="201"/>
      <c r="F177" s="201"/>
      <c r="G177" s="201"/>
      <c r="H177" s="206"/>
      <c r="I177" s="206"/>
      <c r="J177" s="206"/>
      <c r="K177" s="206"/>
      <c r="L177" s="206"/>
      <c r="M177" s="206"/>
      <c r="N177" s="206"/>
      <c r="O177" s="206"/>
      <c r="P177" s="206"/>
      <c r="Q177" s="206" t="s">
        <v>107</v>
      </c>
      <c r="R177" s="206" t="s">
        <v>234</v>
      </c>
      <c r="S177" s="181"/>
      <c r="T177" s="207" t="s">
        <v>123</v>
      </c>
      <c r="U177" s="208"/>
      <c r="V177" s="5"/>
    </row>
    <row r="178" spans="1:22" ht="15.6" x14ac:dyDescent="0.3">
      <c r="A178" s="271"/>
      <c r="B178" s="272" t="s">
        <v>64</v>
      </c>
      <c r="C178" s="272"/>
      <c r="D178" s="272"/>
      <c r="E178" s="272"/>
      <c r="F178" s="272"/>
      <c r="G178" s="272"/>
      <c r="H178" s="272"/>
      <c r="I178" s="272"/>
      <c r="J178" s="272"/>
      <c r="K178" s="272"/>
      <c r="L178" s="272"/>
      <c r="M178" s="272"/>
      <c r="N178" s="272"/>
      <c r="O178" s="272"/>
      <c r="P178" s="272"/>
      <c r="Q178" s="318">
        <v>112000</v>
      </c>
      <c r="R178" s="306"/>
      <c r="S178" s="272"/>
      <c r="T178" s="318"/>
      <c r="U178" s="275"/>
      <c r="V178" s="5"/>
    </row>
    <row r="179" spans="1:22" ht="15.6" x14ac:dyDescent="0.3">
      <c r="A179" s="271"/>
      <c r="B179" s="272" t="s">
        <v>65</v>
      </c>
      <c r="C179" s="272"/>
      <c r="D179" s="272"/>
      <c r="E179" s="272"/>
      <c r="F179" s="272"/>
      <c r="G179" s="272"/>
      <c r="H179" s="272"/>
      <c r="I179" s="272"/>
      <c r="J179" s="272"/>
      <c r="K179" s="272"/>
      <c r="L179" s="272"/>
      <c r="M179" s="272"/>
      <c r="N179" s="272"/>
      <c r="O179" s="272"/>
      <c r="P179" s="272"/>
      <c r="Q179" s="318">
        <f>+'April 17'!Q181</f>
        <v>48943</v>
      </c>
      <c r="R179" s="318">
        <f>+'April 17'!R181</f>
        <v>2435</v>
      </c>
      <c r="S179" s="272"/>
      <c r="T179" s="318">
        <f>Q179+R179</f>
        <v>51378</v>
      </c>
      <c r="U179" s="275"/>
      <c r="V179" s="5"/>
    </row>
    <row r="180" spans="1:22" ht="15.6" x14ac:dyDescent="0.3">
      <c r="A180" s="271"/>
      <c r="B180" s="272" t="s">
        <v>66</v>
      </c>
      <c r="C180" s="272"/>
      <c r="D180" s="272"/>
      <c r="E180" s="272"/>
      <c r="F180" s="272"/>
      <c r="G180" s="272"/>
      <c r="H180" s="272"/>
      <c r="I180" s="272"/>
      <c r="J180" s="272"/>
      <c r="K180" s="272"/>
      <c r="L180" s="272"/>
      <c r="M180" s="272"/>
      <c r="N180" s="272"/>
      <c r="O180" s="272"/>
      <c r="P180" s="272"/>
      <c r="Q180" s="317">
        <v>0</v>
      </c>
      <c r="R180" s="317">
        <v>0</v>
      </c>
      <c r="S180" s="272"/>
      <c r="T180" s="318">
        <f>Q180+R180</f>
        <v>0</v>
      </c>
      <c r="U180" s="275"/>
      <c r="V180" s="5"/>
    </row>
    <row r="181" spans="1:22" ht="15.6" x14ac:dyDescent="0.3">
      <c r="A181" s="271"/>
      <c r="B181" s="272" t="s">
        <v>67</v>
      </c>
      <c r="C181" s="272"/>
      <c r="D181" s="272"/>
      <c r="E181" s="272"/>
      <c r="F181" s="272"/>
      <c r="G181" s="272"/>
      <c r="H181" s="272"/>
      <c r="I181" s="272"/>
      <c r="J181" s="272"/>
      <c r="K181" s="272"/>
      <c r="L181" s="272"/>
      <c r="M181" s="272"/>
      <c r="N181" s="272"/>
      <c r="O181" s="272"/>
      <c r="P181" s="272"/>
      <c r="Q181" s="318">
        <f>Q179+Q180</f>
        <v>48943</v>
      </c>
      <c r="R181" s="318">
        <f>R180+R179</f>
        <v>2435</v>
      </c>
      <c r="S181" s="272"/>
      <c r="T181" s="318">
        <f>Q181+R181</f>
        <v>51378</v>
      </c>
      <c r="U181" s="275"/>
      <c r="V181" s="5"/>
    </row>
    <row r="182" spans="1:22" ht="15.6" x14ac:dyDescent="0.3">
      <c r="A182" s="271"/>
      <c r="B182" s="272" t="s">
        <v>68</v>
      </c>
      <c r="C182" s="272"/>
      <c r="D182" s="272"/>
      <c r="E182" s="272"/>
      <c r="F182" s="272"/>
      <c r="G182" s="272"/>
      <c r="H182" s="272"/>
      <c r="I182" s="272"/>
      <c r="J182" s="272"/>
      <c r="K182" s="272"/>
      <c r="L182" s="272"/>
      <c r="M182" s="272"/>
      <c r="N182" s="272"/>
      <c r="O182" s="272"/>
      <c r="P182" s="272"/>
      <c r="Q182" s="318">
        <f>Q178-Q181-R181</f>
        <v>60622</v>
      </c>
      <c r="R182" s="306"/>
      <c r="S182" s="272"/>
      <c r="T182" s="318"/>
      <c r="U182" s="275"/>
      <c r="V182" s="5"/>
    </row>
    <row r="183" spans="1:22" ht="16.2" thickBot="1" x14ac:dyDescent="0.35">
      <c r="A183" s="177"/>
      <c r="B183" s="314"/>
      <c r="C183" s="314"/>
      <c r="D183" s="314"/>
      <c r="E183" s="314"/>
      <c r="F183" s="314"/>
      <c r="G183" s="314"/>
      <c r="H183" s="314"/>
      <c r="I183" s="314"/>
      <c r="J183" s="314"/>
      <c r="K183" s="314"/>
      <c r="L183" s="314"/>
      <c r="M183" s="314"/>
      <c r="N183" s="314"/>
      <c r="O183" s="314"/>
      <c r="P183" s="314"/>
      <c r="Q183" s="314"/>
      <c r="R183" s="314"/>
      <c r="S183" s="314"/>
      <c r="T183" s="342"/>
      <c r="U183" s="314"/>
      <c r="V183" s="5"/>
    </row>
    <row r="184" spans="1:22" ht="15.6" x14ac:dyDescent="0.3">
      <c r="A184" s="175"/>
      <c r="B184" s="176"/>
      <c r="C184" s="176"/>
      <c r="D184" s="176"/>
      <c r="E184" s="176"/>
      <c r="F184" s="176"/>
      <c r="G184" s="176"/>
      <c r="H184" s="176"/>
      <c r="I184" s="176"/>
      <c r="J184" s="176"/>
      <c r="K184" s="176"/>
      <c r="L184" s="176"/>
      <c r="M184" s="176"/>
      <c r="N184" s="176"/>
      <c r="O184" s="176"/>
      <c r="P184" s="176"/>
      <c r="Q184" s="176"/>
      <c r="R184" s="176"/>
      <c r="S184" s="176"/>
      <c r="T184" s="196"/>
      <c r="U184" s="176"/>
      <c r="V184" s="5"/>
    </row>
    <row r="185" spans="1:22" ht="15.6" x14ac:dyDescent="0.3">
      <c r="A185" s="177"/>
      <c r="B185" s="204" t="s">
        <v>69</v>
      </c>
      <c r="C185" s="179"/>
      <c r="D185" s="179"/>
      <c r="E185" s="179"/>
      <c r="F185" s="179"/>
      <c r="G185" s="179"/>
      <c r="H185" s="179"/>
      <c r="I185" s="179"/>
      <c r="J185" s="179"/>
      <c r="K185" s="179"/>
      <c r="L185" s="179"/>
      <c r="M185" s="179"/>
      <c r="N185" s="179"/>
      <c r="O185" s="179"/>
      <c r="P185" s="179"/>
      <c r="Q185" s="179"/>
      <c r="R185" s="179"/>
      <c r="S185" s="179"/>
      <c r="T185" s="209"/>
      <c r="U185" s="179"/>
      <c r="V185" s="5"/>
    </row>
    <row r="186" spans="1:22" ht="15.6" x14ac:dyDescent="0.3">
      <c r="A186" s="271"/>
      <c r="B186" s="272" t="s">
        <v>70</v>
      </c>
      <c r="C186" s="272"/>
      <c r="D186" s="272"/>
      <c r="E186" s="272"/>
      <c r="F186" s="272"/>
      <c r="G186" s="272"/>
      <c r="H186" s="272"/>
      <c r="I186" s="272"/>
      <c r="J186" s="272"/>
      <c r="K186" s="272"/>
      <c r="L186" s="272"/>
      <c r="M186" s="272"/>
      <c r="N186" s="272"/>
      <c r="O186" s="272"/>
      <c r="P186" s="272"/>
      <c r="Q186" s="272"/>
      <c r="R186" s="272"/>
      <c r="S186" s="272"/>
      <c r="T186" s="343">
        <f>(T97+T99+T100+T101+T102+T103)/-(T104+T105+T106)</f>
        <v>3.717325227963526</v>
      </c>
      <c r="U186" s="275" t="s">
        <v>124</v>
      </c>
      <c r="V186" s="5"/>
    </row>
    <row r="187" spans="1:22" ht="15.6" x14ac:dyDescent="0.3">
      <c r="A187" s="271"/>
      <c r="B187" s="272" t="s">
        <v>71</v>
      </c>
      <c r="C187" s="272"/>
      <c r="D187" s="272"/>
      <c r="E187" s="272"/>
      <c r="F187" s="272"/>
      <c r="G187" s="272"/>
      <c r="H187" s="272"/>
      <c r="I187" s="272"/>
      <c r="J187" s="272"/>
      <c r="K187" s="272"/>
      <c r="L187" s="272"/>
      <c r="M187" s="272"/>
      <c r="N187" s="272"/>
      <c r="O187" s="272"/>
      <c r="P187" s="272"/>
      <c r="Q187" s="272"/>
      <c r="R187" s="272"/>
      <c r="S187" s="272"/>
      <c r="T187" s="345">
        <v>1.7</v>
      </c>
      <c r="U187" s="275" t="s">
        <v>124</v>
      </c>
      <c r="V187" s="5"/>
    </row>
    <row r="188" spans="1:22" ht="15.6" x14ac:dyDescent="0.3">
      <c r="A188" s="271"/>
      <c r="B188" s="272" t="s">
        <v>72</v>
      </c>
      <c r="C188" s="272"/>
      <c r="D188" s="272"/>
      <c r="E188" s="272"/>
      <c r="F188" s="272"/>
      <c r="G188" s="272"/>
      <c r="H188" s="272"/>
      <c r="I188" s="272"/>
      <c r="J188" s="272"/>
      <c r="K188" s="272"/>
      <c r="L188" s="272"/>
      <c r="M188" s="272"/>
      <c r="N188" s="272"/>
      <c r="O188" s="272"/>
      <c r="P188" s="272"/>
      <c r="Q188" s="272"/>
      <c r="R188" s="272"/>
      <c r="S188" s="272"/>
      <c r="T188" s="343">
        <f>(T97+T99+T100+T101+T102+T103+T104+T105+T106)/-(T107+T108)</f>
        <v>19.866666666666667</v>
      </c>
      <c r="U188" s="275" t="s">
        <v>124</v>
      </c>
      <c r="V188" s="5"/>
    </row>
    <row r="189" spans="1:22" ht="15.6" x14ac:dyDescent="0.3">
      <c r="A189" s="271"/>
      <c r="B189" s="272" t="s">
        <v>73</v>
      </c>
      <c r="C189" s="272"/>
      <c r="D189" s="272"/>
      <c r="E189" s="272"/>
      <c r="F189" s="272"/>
      <c r="G189" s="272"/>
      <c r="H189" s="272"/>
      <c r="I189" s="272"/>
      <c r="J189" s="272"/>
      <c r="K189" s="272"/>
      <c r="L189" s="272"/>
      <c r="M189" s="272"/>
      <c r="N189" s="272"/>
      <c r="O189" s="272"/>
      <c r="P189" s="272"/>
      <c r="Q189" s="272"/>
      <c r="R189" s="272"/>
      <c r="S189" s="272"/>
      <c r="T189" s="346">
        <v>9.65</v>
      </c>
      <c r="U189" s="275" t="s">
        <v>124</v>
      </c>
      <c r="V189" s="5"/>
    </row>
    <row r="190" spans="1:22" ht="15.6" x14ac:dyDescent="0.3">
      <c r="A190" s="271"/>
      <c r="B190" s="272" t="s">
        <v>243</v>
      </c>
      <c r="C190" s="272"/>
      <c r="D190" s="272"/>
      <c r="E190" s="272"/>
      <c r="F190" s="272"/>
      <c r="G190" s="272"/>
      <c r="H190" s="272"/>
      <c r="I190" s="272"/>
      <c r="J190" s="272"/>
      <c r="K190" s="272"/>
      <c r="L190" s="272"/>
      <c r="M190" s="272"/>
      <c r="N190" s="272"/>
      <c r="O190" s="272"/>
      <c r="P190" s="272"/>
      <c r="Q190" s="272"/>
      <c r="R190" s="272"/>
      <c r="S190" s="272"/>
      <c r="T190" s="343">
        <f>(T97+T99+T100+T101+T102+T103+T104+T105+T106+T107+T108)/-(T109+T110)</f>
        <v>7.0165289256198351</v>
      </c>
      <c r="U190" s="275" t="s">
        <v>124</v>
      </c>
      <c r="V190" s="5"/>
    </row>
    <row r="191" spans="1:22" ht="15.6" x14ac:dyDescent="0.3">
      <c r="A191" s="271"/>
      <c r="B191" s="272" t="s">
        <v>244</v>
      </c>
      <c r="C191" s="272"/>
      <c r="D191" s="272"/>
      <c r="E191" s="272"/>
      <c r="F191" s="272"/>
      <c r="G191" s="272"/>
      <c r="H191" s="272"/>
      <c r="I191" s="272"/>
      <c r="J191" s="272"/>
      <c r="K191" s="272"/>
      <c r="L191" s="272"/>
      <c r="M191" s="272"/>
      <c r="N191" s="272"/>
      <c r="O191" s="272"/>
      <c r="P191" s="272"/>
      <c r="Q191" s="272"/>
      <c r="R191" s="272"/>
      <c r="S191" s="272"/>
      <c r="T191" s="346">
        <v>4.2699999999999996</v>
      </c>
      <c r="U191" s="275" t="s">
        <v>124</v>
      </c>
      <c r="V191" s="5"/>
    </row>
    <row r="192" spans="1:22" ht="15.6" x14ac:dyDescent="0.3">
      <c r="A192" s="271"/>
      <c r="B192" s="272"/>
      <c r="C192" s="272"/>
      <c r="D192" s="272"/>
      <c r="E192" s="272"/>
      <c r="F192" s="272"/>
      <c r="G192" s="272"/>
      <c r="H192" s="272"/>
      <c r="I192" s="272"/>
      <c r="J192" s="272"/>
      <c r="K192" s="272"/>
      <c r="L192" s="272"/>
      <c r="M192" s="272"/>
      <c r="N192" s="272"/>
      <c r="O192" s="272"/>
      <c r="P192" s="272"/>
      <c r="Q192" s="272"/>
      <c r="R192" s="272"/>
      <c r="S192" s="272"/>
      <c r="T192" s="272"/>
      <c r="U192" s="275"/>
      <c r="V192" s="5"/>
    </row>
    <row r="193" spans="1:22" ht="15.6" x14ac:dyDescent="0.3">
      <c r="A193" s="177"/>
      <c r="B193" s="268"/>
      <c r="C193" s="268"/>
      <c r="D193" s="268"/>
      <c r="E193" s="268"/>
      <c r="F193" s="268"/>
      <c r="G193" s="268"/>
      <c r="H193" s="268"/>
      <c r="I193" s="268"/>
      <c r="J193" s="268"/>
      <c r="K193" s="268"/>
      <c r="L193" s="268"/>
      <c r="M193" s="268"/>
      <c r="N193" s="268"/>
      <c r="O193" s="268"/>
      <c r="P193" s="268"/>
      <c r="Q193" s="268"/>
      <c r="R193" s="268"/>
      <c r="S193" s="268"/>
      <c r="T193" s="268"/>
      <c r="U193" s="268"/>
      <c r="V193" s="5"/>
    </row>
    <row r="194" spans="1:22" ht="15.6" x14ac:dyDescent="0.3">
      <c r="A194" s="177"/>
      <c r="B194" s="234"/>
      <c r="C194" s="234"/>
      <c r="D194" s="234"/>
      <c r="E194" s="234"/>
      <c r="F194" s="234"/>
      <c r="G194" s="234"/>
      <c r="H194" s="234"/>
      <c r="I194" s="234"/>
      <c r="J194" s="234"/>
      <c r="K194" s="234"/>
      <c r="L194" s="234"/>
      <c r="M194" s="234"/>
      <c r="N194" s="234"/>
      <c r="O194" s="234"/>
      <c r="P194" s="234"/>
      <c r="Q194" s="234"/>
      <c r="R194" s="234"/>
      <c r="S194" s="234"/>
      <c r="T194" s="234"/>
      <c r="U194" s="234"/>
      <c r="V194" s="5"/>
    </row>
    <row r="195" spans="1:22" ht="18" thickBot="1" x14ac:dyDescent="0.35">
      <c r="A195" s="195"/>
      <c r="B195" s="238" t="str">
        <f>B134</f>
        <v>PM9 INVESTOR REPORT QUARTER ENDING JULY 2017</v>
      </c>
      <c r="C195" s="245"/>
      <c r="D195" s="245"/>
      <c r="E195" s="245"/>
      <c r="F195" s="245"/>
      <c r="G195" s="245"/>
      <c r="H195" s="245"/>
      <c r="I195" s="245"/>
      <c r="J195" s="245"/>
      <c r="K195" s="245"/>
      <c r="L195" s="245"/>
      <c r="M195" s="245"/>
      <c r="N195" s="245"/>
      <c r="O195" s="245"/>
      <c r="P195" s="245"/>
      <c r="Q195" s="245"/>
      <c r="R195" s="245"/>
      <c r="S195" s="245"/>
      <c r="T195" s="245"/>
      <c r="U195" s="246"/>
      <c r="V195" s="5"/>
    </row>
    <row r="196" spans="1:22" ht="15.6" x14ac:dyDescent="0.3">
      <c r="A196" s="321"/>
      <c r="B196" s="324" t="s">
        <v>74</v>
      </c>
      <c r="C196" s="325"/>
      <c r="D196" s="325"/>
      <c r="E196" s="325"/>
      <c r="F196" s="325"/>
      <c r="G196" s="326"/>
      <c r="H196" s="326"/>
      <c r="I196" s="326"/>
      <c r="J196" s="326"/>
      <c r="K196" s="326"/>
      <c r="L196" s="326"/>
      <c r="M196" s="326"/>
      <c r="N196" s="326"/>
      <c r="O196" s="326"/>
      <c r="P196" s="326"/>
      <c r="Q196" s="326"/>
      <c r="R196" s="326">
        <v>42947</v>
      </c>
      <c r="S196" s="322"/>
      <c r="T196" s="322"/>
      <c r="U196" s="322"/>
      <c r="V196" s="5"/>
    </row>
    <row r="197" spans="1:22" ht="15.6" x14ac:dyDescent="0.3">
      <c r="A197" s="210"/>
      <c r="B197" s="211"/>
      <c r="C197" s="212"/>
      <c r="D197" s="212"/>
      <c r="E197" s="212"/>
      <c r="F197" s="212"/>
      <c r="G197" s="213"/>
      <c r="H197" s="213"/>
      <c r="I197" s="213"/>
      <c r="J197" s="213"/>
      <c r="K197" s="213"/>
      <c r="L197" s="213"/>
      <c r="M197" s="213"/>
      <c r="N197" s="213"/>
      <c r="O197" s="213"/>
      <c r="P197" s="213"/>
      <c r="Q197" s="213"/>
      <c r="R197" s="213"/>
      <c r="S197" s="179"/>
      <c r="T197" s="179"/>
      <c r="U197" s="179"/>
      <c r="V197" s="5"/>
    </row>
    <row r="198" spans="1:22" ht="15.6" x14ac:dyDescent="0.3">
      <c r="A198" s="348"/>
      <c r="B198" s="272" t="s">
        <v>75</v>
      </c>
      <c r="C198" s="349"/>
      <c r="D198" s="349"/>
      <c r="E198" s="349"/>
      <c r="F198" s="349"/>
      <c r="G198" s="309"/>
      <c r="H198" s="309"/>
      <c r="I198" s="309"/>
      <c r="J198" s="309"/>
      <c r="K198" s="309"/>
      <c r="L198" s="309"/>
      <c r="M198" s="309"/>
      <c r="N198" s="309"/>
      <c r="O198" s="309"/>
      <c r="P198" s="309"/>
      <c r="Q198" s="309"/>
      <c r="R198" s="304">
        <v>5.8209999999999998E-2</v>
      </c>
      <c r="S198" s="272"/>
      <c r="T198" s="272"/>
      <c r="U198" s="340"/>
      <c r="V198" s="5"/>
    </row>
    <row r="199" spans="1:22" ht="15.6" x14ac:dyDescent="0.3">
      <c r="A199" s="348"/>
      <c r="B199" s="272" t="s">
        <v>164</v>
      </c>
      <c r="C199" s="349"/>
      <c r="D199" s="349"/>
      <c r="E199" s="349"/>
      <c r="F199" s="349"/>
      <c r="G199" s="309"/>
      <c r="H199" s="309"/>
      <c r="I199" s="309"/>
      <c r="J199" s="309"/>
      <c r="K199" s="309"/>
      <c r="L199" s="309"/>
      <c r="M199" s="309"/>
      <c r="N199" s="309"/>
      <c r="O199" s="309"/>
      <c r="P199" s="309"/>
      <c r="Q199" s="309"/>
      <c r="R199" s="304">
        <f>'Oct 05'!R193</f>
        <v>4.8438496428571419E-2</v>
      </c>
      <c r="S199" s="272"/>
      <c r="T199" s="272"/>
      <c r="U199" s="340"/>
      <c r="V199" s="5"/>
    </row>
    <row r="200" spans="1:22" ht="15.6" x14ac:dyDescent="0.3">
      <c r="A200" s="348"/>
      <c r="B200" s="272" t="s">
        <v>76</v>
      </c>
      <c r="C200" s="349"/>
      <c r="D200" s="349"/>
      <c r="E200" s="349"/>
      <c r="F200" s="349"/>
      <c r="G200" s="309"/>
      <c r="H200" s="309"/>
      <c r="I200" s="309"/>
      <c r="J200" s="309"/>
      <c r="K200" s="309"/>
      <c r="L200" s="309"/>
      <c r="M200" s="309"/>
      <c r="N200" s="309"/>
      <c r="O200" s="309"/>
      <c r="P200" s="309"/>
      <c r="Q200" s="309"/>
      <c r="R200" s="304">
        <f>R198-R199</f>
        <v>9.7715035714285789E-3</v>
      </c>
      <c r="S200" s="272"/>
      <c r="T200" s="272"/>
      <c r="U200" s="340"/>
      <c r="V200" s="5"/>
    </row>
    <row r="201" spans="1:22" ht="15.6" x14ac:dyDescent="0.3">
      <c r="A201" s="348"/>
      <c r="B201" s="272" t="s">
        <v>77</v>
      </c>
      <c r="C201" s="349"/>
      <c r="D201" s="349"/>
      <c r="E201" s="349"/>
      <c r="F201" s="349"/>
      <c r="G201" s="309"/>
      <c r="H201" s="309"/>
      <c r="I201" s="309"/>
      <c r="J201" s="309"/>
      <c r="K201" s="309"/>
      <c r="L201" s="309"/>
      <c r="M201" s="309"/>
      <c r="N201" s="309"/>
      <c r="O201" s="309"/>
      <c r="P201" s="309"/>
      <c r="Q201" s="309"/>
      <c r="R201" s="304">
        <v>2.129E-2</v>
      </c>
      <c r="S201" s="272"/>
      <c r="T201" s="272"/>
      <c r="U201" s="340"/>
      <c r="V201" s="5"/>
    </row>
    <row r="202" spans="1:22" ht="15.6" x14ac:dyDescent="0.3">
      <c r="A202" s="348"/>
      <c r="B202" s="272" t="s">
        <v>257</v>
      </c>
      <c r="C202" s="349"/>
      <c r="D202" s="349"/>
      <c r="E202" s="349"/>
      <c r="F202" s="349"/>
      <c r="G202" s="309"/>
      <c r="H202" s="309"/>
      <c r="I202" s="309"/>
      <c r="J202" s="309"/>
      <c r="K202" s="309"/>
      <c r="L202" s="309"/>
      <c r="M202" s="309"/>
      <c r="N202" s="309"/>
      <c r="O202" s="309"/>
      <c r="P202" s="309"/>
      <c r="Q202" s="309"/>
      <c r="R202" s="304">
        <f>+T41</f>
        <v>8.0915912646602074E-3</v>
      </c>
      <c r="S202" s="272"/>
      <c r="T202" s="272"/>
      <c r="U202" s="340"/>
      <c r="V202" s="5"/>
    </row>
    <row r="203" spans="1:22" ht="15.6" x14ac:dyDescent="0.3">
      <c r="A203" s="348"/>
      <c r="B203" s="272" t="s">
        <v>78</v>
      </c>
      <c r="C203" s="349"/>
      <c r="D203" s="349"/>
      <c r="E203" s="349"/>
      <c r="F203" s="349"/>
      <c r="G203" s="309"/>
      <c r="H203" s="309"/>
      <c r="I203" s="309"/>
      <c r="J203" s="309"/>
      <c r="K203" s="309"/>
      <c r="L203" s="309"/>
      <c r="M203" s="309"/>
      <c r="N203" s="309"/>
      <c r="O203" s="309"/>
      <c r="P203" s="309"/>
      <c r="Q203" s="309"/>
      <c r="R203" s="304">
        <f>R201-R202</f>
        <v>1.3198408735339793E-2</v>
      </c>
      <c r="S203" s="272"/>
      <c r="T203" s="272"/>
      <c r="U203" s="340"/>
      <c r="V203" s="5"/>
    </row>
    <row r="204" spans="1:22" ht="15.6" x14ac:dyDescent="0.3">
      <c r="A204" s="348"/>
      <c r="B204" s="272" t="s">
        <v>268</v>
      </c>
      <c r="C204" s="349"/>
      <c r="D204" s="349"/>
      <c r="E204" s="349"/>
      <c r="F204" s="349"/>
      <c r="G204" s="309"/>
      <c r="H204" s="309"/>
      <c r="I204" s="309"/>
      <c r="J204" s="309"/>
      <c r="K204" s="309"/>
      <c r="L204" s="309"/>
      <c r="M204" s="309"/>
      <c r="N204" s="309"/>
      <c r="O204" s="309"/>
      <c r="P204" s="309"/>
      <c r="Q204" s="309"/>
      <c r="R204" s="304">
        <f>+T97/L68</f>
        <v>5.6158695732846237E-3</v>
      </c>
      <c r="S204" s="272"/>
      <c r="T204" s="272"/>
      <c r="U204" s="340"/>
      <c r="V204" s="5"/>
    </row>
    <row r="205" spans="1:22" ht="15.6" x14ac:dyDescent="0.3">
      <c r="A205" s="348"/>
      <c r="B205" s="272" t="s">
        <v>249</v>
      </c>
      <c r="C205" s="349"/>
      <c r="D205" s="349"/>
      <c r="E205" s="349"/>
      <c r="F205" s="349"/>
      <c r="G205" s="309"/>
      <c r="H205" s="309"/>
      <c r="I205" s="309"/>
      <c r="J205" s="309"/>
      <c r="K205" s="309"/>
      <c r="L205" s="309"/>
      <c r="M205" s="309"/>
      <c r="N205" s="309"/>
      <c r="O205" s="309"/>
      <c r="P205" s="309"/>
      <c r="Q205" s="309"/>
      <c r="R205" s="350">
        <v>51622</v>
      </c>
      <c r="S205" s="272"/>
      <c r="T205" s="272"/>
      <c r="U205" s="340"/>
      <c r="V205" s="5"/>
    </row>
    <row r="206" spans="1:22" ht="15.6" x14ac:dyDescent="0.3">
      <c r="A206" s="348"/>
      <c r="B206" s="272" t="s">
        <v>250</v>
      </c>
      <c r="C206" s="349"/>
      <c r="D206" s="349"/>
      <c r="E206" s="349"/>
      <c r="F206" s="349"/>
      <c r="G206" s="309"/>
      <c r="H206" s="309"/>
      <c r="I206" s="309"/>
      <c r="J206" s="309"/>
      <c r="K206" s="309"/>
      <c r="L206" s="309"/>
      <c r="M206" s="309"/>
      <c r="N206" s="309"/>
      <c r="O206" s="309"/>
      <c r="P206" s="309"/>
      <c r="Q206" s="309"/>
      <c r="R206" s="350">
        <v>51622</v>
      </c>
      <c r="S206" s="272"/>
      <c r="T206" s="272"/>
      <c r="U206" s="340"/>
      <c r="V206" s="5"/>
    </row>
    <row r="207" spans="1:22" ht="15.6" x14ac:dyDescent="0.3">
      <c r="A207" s="348"/>
      <c r="B207" s="272" t="s">
        <v>251</v>
      </c>
      <c r="C207" s="349"/>
      <c r="D207" s="349"/>
      <c r="E207" s="349"/>
      <c r="F207" s="349"/>
      <c r="G207" s="309"/>
      <c r="H207" s="309"/>
      <c r="I207" s="309"/>
      <c r="J207" s="309"/>
      <c r="K207" s="309"/>
      <c r="L207" s="309"/>
      <c r="M207" s="309"/>
      <c r="N207" s="309"/>
      <c r="O207" s="309"/>
      <c r="P207" s="309"/>
      <c r="Q207" s="309"/>
      <c r="R207" s="350">
        <v>51622</v>
      </c>
      <c r="S207" s="272"/>
      <c r="T207" s="272"/>
      <c r="U207" s="340"/>
      <c r="V207" s="5"/>
    </row>
    <row r="208" spans="1:22" ht="15.6" x14ac:dyDescent="0.3">
      <c r="A208" s="348"/>
      <c r="B208" s="272" t="s">
        <v>79</v>
      </c>
      <c r="C208" s="349"/>
      <c r="D208" s="349"/>
      <c r="E208" s="349"/>
      <c r="F208" s="349"/>
      <c r="G208" s="309"/>
      <c r="H208" s="309"/>
      <c r="I208" s="309"/>
      <c r="J208" s="309"/>
      <c r="K208" s="309"/>
      <c r="L208" s="309"/>
      <c r="M208" s="309"/>
      <c r="N208" s="309"/>
      <c r="O208" s="309"/>
      <c r="P208" s="309"/>
      <c r="Q208" s="309"/>
      <c r="R208" s="308">
        <v>20.95</v>
      </c>
      <c r="S208" s="272" t="s">
        <v>119</v>
      </c>
      <c r="T208" s="272"/>
      <c r="U208" s="340"/>
      <c r="V208" s="5"/>
    </row>
    <row r="209" spans="1:22" ht="15.6" x14ac:dyDescent="0.3">
      <c r="A209" s="348"/>
      <c r="B209" s="272" t="s">
        <v>80</v>
      </c>
      <c r="C209" s="349"/>
      <c r="D209" s="349"/>
      <c r="E209" s="349"/>
      <c r="F209" s="349"/>
      <c r="G209" s="309"/>
      <c r="H209" s="309"/>
      <c r="I209" s="309"/>
      <c r="J209" s="309"/>
      <c r="K209" s="309"/>
      <c r="L209" s="309"/>
      <c r="M209" s="309"/>
      <c r="N209" s="309"/>
      <c r="O209" s="309"/>
      <c r="P209" s="309"/>
      <c r="Q209" s="309"/>
      <c r="R209" s="308">
        <v>10.09</v>
      </c>
      <c r="S209" s="272" t="s">
        <v>119</v>
      </c>
      <c r="T209" s="272"/>
      <c r="U209" s="340"/>
      <c r="V209" s="5"/>
    </row>
    <row r="210" spans="1:22" ht="15.6" x14ac:dyDescent="0.3">
      <c r="A210" s="348"/>
      <c r="B210" s="272" t="s">
        <v>81</v>
      </c>
      <c r="C210" s="349"/>
      <c r="D210" s="349"/>
      <c r="E210" s="349"/>
      <c r="F210" s="349"/>
      <c r="G210" s="309"/>
      <c r="H210" s="309"/>
      <c r="I210" s="309"/>
      <c r="J210" s="309"/>
      <c r="K210" s="309"/>
      <c r="L210" s="309"/>
      <c r="M210" s="309"/>
      <c r="N210" s="309"/>
      <c r="O210" s="309"/>
      <c r="P210" s="309"/>
      <c r="Q210" s="309"/>
      <c r="R210" s="304">
        <f>N65/L65</f>
        <v>3.6309359370296918E-2</v>
      </c>
      <c r="S210" s="272"/>
      <c r="T210" s="272"/>
      <c r="U210" s="340"/>
      <c r="V210" s="5"/>
    </row>
    <row r="211" spans="1:22" ht="15.6" x14ac:dyDescent="0.3">
      <c r="A211" s="348"/>
      <c r="B211" s="272" t="s">
        <v>82</v>
      </c>
      <c r="C211" s="349"/>
      <c r="D211" s="349"/>
      <c r="E211" s="349"/>
      <c r="F211" s="349"/>
      <c r="G211" s="309"/>
      <c r="H211" s="309"/>
      <c r="I211" s="309"/>
      <c r="J211" s="309"/>
      <c r="K211" s="309"/>
      <c r="L211" s="309"/>
      <c r="M211" s="309"/>
      <c r="N211" s="309"/>
      <c r="O211" s="309"/>
      <c r="P211" s="309"/>
      <c r="Q211" s="309"/>
      <c r="R211" s="304">
        <v>9.4799999999999995E-2</v>
      </c>
      <c r="S211" s="272"/>
      <c r="T211" s="272"/>
      <c r="U211" s="340"/>
      <c r="V211" s="5"/>
    </row>
    <row r="212" spans="1:22" ht="15.6" x14ac:dyDescent="0.3">
      <c r="A212" s="210"/>
      <c r="B212" s="268"/>
      <c r="C212" s="268"/>
      <c r="D212" s="268"/>
      <c r="E212" s="268"/>
      <c r="F212" s="268"/>
      <c r="G212" s="268"/>
      <c r="H212" s="268"/>
      <c r="I212" s="268"/>
      <c r="J212" s="268"/>
      <c r="K212" s="268"/>
      <c r="L212" s="268"/>
      <c r="M212" s="268"/>
      <c r="N212" s="268"/>
      <c r="O212" s="268"/>
      <c r="P212" s="268"/>
      <c r="Q212" s="268"/>
      <c r="R212" s="344"/>
      <c r="S212" s="268"/>
      <c r="T212" s="347"/>
      <c r="U212" s="314"/>
      <c r="V212" s="5"/>
    </row>
    <row r="213" spans="1:22" ht="15.6" x14ac:dyDescent="0.3">
      <c r="A213" s="327"/>
      <c r="B213" s="259" t="s">
        <v>83</v>
      </c>
      <c r="C213" s="260"/>
      <c r="D213" s="260"/>
      <c r="E213" s="260"/>
      <c r="F213" s="261"/>
      <c r="G213" s="260"/>
      <c r="H213" s="260"/>
      <c r="I213" s="260"/>
      <c r="J213" s="260"/>
      <c r="K213" s="260"/>
      <c r="L213" s="260"/>
      <c r="M213" s="260"/>
      <c r="N213" s="260"/>
      <c r="O213" s="260"/>
      <c r="P213" s="260"/>
      <c r="Q213" s="260" t="s">
        <v>108</v>
      </c>
      <c r="R213" s="261" t="s">
        <v>115</v>
      </c>
      <c r="S213" s="262"/>
      <c r="T213" s="262"/>
      <c r="U213" s="262"/>
      <c r="V213" s="5"/>
    </row>
    <row r="214" spans="1:22" ht="15.6" x14ac:dyDescent="0.3">
      <c r="A214" s="214"/>
      <c r="B214" s="228" t="s">
        <v>84</v>
      </c>
      <c r="C214" s="231"/>
      <c r="D214" s="231"/>
      <c r="E214" s="231"/>
      <c r="F214" s="228"/>
      <c r="G214" s="228"/>
      <c r="H214" s="230"/>
      <c r="I214" s="230"/>
      <c r="J214" s="230"/>
      <c r="K214" s="230"/>
      <c r="L214" s="230"/>
      <c r="M214" s="230"/>
      <c r="N214" s="230"/>
      <c r="O214" s="230"/>
      <c r="P214" s="230"/>
      <c r="Q214" s="230">
        <v>1</v>
      </c>
      <c r="R214" s="248">
        <v>77</v>
      </c>
      <c r="S214" s="228"/>
      <c r="T214" s="247"/>
      <c r="U214" s="215"/>
      <c r="V214" s="5"/>
    </row>
    <row r="215" spans="1:22" ht="15.6" x14ac:dyDescent="0.3">
      <c r="A215" s="358"/>
      <c r="B215" s="272" t="s">
        <v>156</v>
      </c>
      <c r="C215" s="317"/>
      <c r="D215" s="317"/>
      <c r="E215" s="317"/>
      <c r="F215" s="272"/>
      <c r="G215" s="272"/>
      <c r="H215" s="279"/>
      <c r="I215" s="279"/>
      <c r="J215" s="279"/>
      <c r="K215" s="279"/>
      <c r="L215" s="279"/>
      <c r="M215" s="279"/>
      <c r="N215" s="279"/>
      <c r="O215" s="279"/>
      <c r="P215" s="279"/>
      <c r="Q215" s="359">
        <f>+P266</f>
        <v>28</v>
      </c>
      <c r="R215" s="360">
        <f>+R266</f>
        <v>3642</v>
      </c>
      <c r="S215" s="272"/>
      <c r="T215" s="361"/>
      <c r="U215" s="362"/>
      <c r="V215" s="5"/>
    </row>
    <row r="216" spans="1:22" ht="15.6" x14ac:dyDescent="0.3">
      <c r="A216" s="358"/>
      <c r="B216" s="272" t="s">
        <v>85</v>
      </c>
      <c r="C216" s="317"/>
      <c r="D216" s="317"/>
      <c r="E216" s="317"/>
      <c r="F216" s="272"/>
      <c r="G216" s="272"/>
      <c r="H216" s="279"/>
      <c r="I216" s="279"/>
      <c r="J216" s="279"/>
      <c r="K216" s="279"/>
      <c r="L216" s="279"/>
      <c r="M216" s="279"/>
      <c r="N216" s="279"/>
      <c r="O216" s="279"/>
      <c r="P216" s="279"/>
      <c r="Q216" s="359">
        <f>+P278</f>
        <v>0</v>
      </c>
      <c r="R216" s="360">
        <f>+R278</f>
        <v>0</v>
      </c>
      <c r="S216" s="272"/>
      <c r="T216" s="361"/>
      <c r="U216" s="362"/>
      <c r="V216" s="5"/>
    </row>
    <row r="217" spans="1:22" ht="15.6" x14ac:dyDescent="0.3">
      <c r="A217" s="358"/>
      <c r="B217" s="293" t="s">
        <v>86</v>
      </c>
      <c r="C217" s="363"/>
      <c r="D217" s="363"/>
      <c r="E217" s="363"/>
      <c r="F217" s="337"/>
      <c r="G217" s="337"/>
      <c r="H217" s="337"/>
      <c r="I217" s="337"/>
      <c r="J217" s="337"/>
      <c r="K217" s="337"/>
      <c r="L217" s="337"/>
      <c r="M217" s="337"/>
      <c r="N217" s="337"/>
      <c r="O217" s="337"/>
      <c r="P217" s="337"/>
      <c r="Q217" s="337"/>
      <c r="R217" s="360">
        <v>0</v>
      </c>
      <c r="S217" s="337"/>
      <c r="T217" s="364"/>
      <c r="U217" s="362"/>
      <c r="V217" s="5"/>
    </row>
    <row r="218" spans="1:22" ht="15.6" x14ac:dyDescent="0.3">
      <c r="A218" s="358"/>
      <c r="B218" s="293" t="s">
        <v>87</v>
      </c>
      <c r="C218" s="363"/>
      <c r="D218" s="363"/>
      <c r="E218" s="363"/>
      <c r="F218" s="337"/>
      <c r="G218" s="337"/>
      <c r="H218" s="337"/>
      <c r="I218" s="337"/>
      <c r="J218" s="337"/>
      <c r="K218" s="337"/>
      <c r="L218" s="337"/>
      <c r="M218" s="337"/>
      <c r="N218" s="337"/>
      <c r="O218" s="337"/>
      <c r="P218" s="337"/>
      <c r="Q218" s="337"/>
      <c r="R218" s="365" t="s">
        <v>116</v>
      </c>
      <c r="S218" s="337"/>
      <c r="T218" s="364"/>
      <c r="U218" s="362"/>
      <c r="V218" s="5"/>
    </row>
    <row r="219" spans="1:22" ht="15.6" x14ac:dyDescent="0.3">
      <c r="A219" s="366"/>
      <c r="B219" s="293" t="s">
        <v>88</v>
      </c>
      <c r="C219" s="367"/>
      <c r="D219" s="367"/>
      <c r="E219" s="367"/>
      <c r="F219" s="367"/>
      <c r="G219" s="337"/>
      <c r="H219" s="337"/>
      <c r="I219" s="337"/>
      <c r="J219" s="337"/>
      <c r="K219" s="337"/>
      <c r="L219" s="337"/>
      <c r="M219" s="337"/>
      <c r="N219" s="337"/>
      <c r="O219" s="337"/>
      <c r="P219" s="337"/>
      <c r="Q219" s="337"/>
      <c r="R219" s="368"/>
      <c r="S219" s="337"/>
      <c r="T219" s="364"/>
      <c r="U219" s="369"/>
      <c r="V219" s="5"/>
    </row>
    <row r="220" spans="1:22" ht="15.6" x14ac:dyDescent="0.3">
      <c r="A220" s="366"/>
      <c r="B220" s="272" t="s">
        <v>89</v>
      </c>
      <c r="C220" s="272"/>
      <c r="D220" s="272"/>
      <c r="E220" s="272"/>
      <c r="F220" s="272"/>
      <c r="G220" s="272"/>
      <c r="H220" s="272"/>
      <c r="I220" s="272"/>
      <c r="J220" s="272"/>
      <c r="K220" s="272"/>
      <c r="L220" s="272"/>
      <c r="M220" s="272"/>
      <c r="N220" s="272"/>
      <c r="O220" s="272"/>
      <c r="P220" s="272"/>
      <c r="Q220" s="279"/>
      <c r="R220" s="360">
        <f>T164</f>
        <v>-18</v>
      </c>
      <c r="S220" s="272"/>
      <c r="T220" s="364"/>
      <c r="U220" s="369"/>
      <c r="V220" s="5"/>
    </row>
    <row r="221" spans="1:22" ht="15.6" x14ac:dyDescent="0.3">
      <c r="A221" s="358"/>
      <c r="B221" s="272" t="s">
        <v>90</v>
      </c>
      <c r="C221" s="317"/>
      <c r="D221" s="317"/>
      <c r="E221" s="317"/>
      <c r="F221" s="317"/>
      <c r="G221" s="272"/>
      <c r="H221" s="272"/>
      <c r="I221" s="272"/>
      <c r="J221" s="272"/>
      <c r="K221" s="272"/>
      <c r="L221" s="272"/>
      <c r="M221" s="272"/>
      <c r="N221" s="272"/>
      <c r="O221" s="272"/>
      <c r="P221" s="272"/>
      <c r="Q221" s="279"/>
      <c r="R221" s="360">
        <f>'April 17'!R221+'July 17'!R220</f>
        <v>4387</v>
      </c>
      <c r="S221" s="272"/>
      <c r="T221" s="364"/>
      <c r="U221" s="369"/>
      <c r="V221" s="5"/>
    </row>
    <row r="222" spans="1:22" ht="15.6" x14ac:dyDescent="0.3">
      <c r="A222" s="366"/>
      <c r="B222" s="293" t="s">
        <v>288</v>
      </c>
      <c r="C222" s="367"/>
      <c r="D222" s="367"/>
      <c r="E222" s="367"/>
      <c r="F222" s="367"/>
      <c r="G222" s="337"/>
      <c r="H222" s="337"/>
      <c r="I222" s="337"/>
      <c r="J222" s="337"/>
      <c r="K222" s="337"/>
      <c r="L222" s="337"/>
      <c r="M222" s="337"/>
      <c r="N222" s="337"/>
      <c r="O222" s="337"/>
      <c r="P222" s="337"/>
      <c r="Q222" s="374"/>
      <c r="R222" s="368"/>
      <c r="S222" s="337"/>
      <c r="T222" s="364"/>
      <c r="U222" s="369"/>
      <c r="V222" s="5"/>
    </row>
    <row r="223" spans="1:22" ht="15.6" x14ac:dyDescent="0.3">
      <c r="A223" s="375"/>
      <c r="B223" s="272" t="s">
        <v>286</v>
      </c>
      <c r="C223" s="272"/>
      <c r="D223" s="272"/>
      <c r="E223" s="272"/>
      <c r="F223" s="272"/>
      <c r="G223" s="272"/>
      <c r="H223" s="272"/>
      <c r="I223" s="272"/>
      <c r="J223" s="272"/>
      <c r="K223" s="272"/>
      <c r="L223" s="272"/>
      <c r="M223" s="272"/>
      <c r="N223" s="272"/>
      <c r="O223" s="272"/>
      <c r="P223" s="272"/>
      <c r="Q223" s="279">
        <v>0</v>
      </c>
      <c r="R223" s="360">
        <v>0</v>
      </c>
      <c r="S223" s="272"/>
      <c r="T223" s="361"/>
      <c r="U223" s="369"/>
      <c r="V223" s="5"/>
    </row>
    <row r="224" spans="1:22" ht="15.6" x14ac:dyDescent="0.3">
      <c r="A224" s="376"/>
      <c r="B224" s="272" t="s">
        <v>92</v>
      </c>
      <c r="C224" s="306"/>
      <c r="D224" s="306"/>
      <c r="E224" s="306"/>
      <c r="F224" s="377"/>
      <c r="G224" s="272"/>
      <c r="H224" s="272"/>
      <c r="I224" s="272"/>
      <c r="J224" s="272"/>
      <c r="K224" s="272"/>
      <c r="L224" s="272"/>
      <c r="M224" s="272"/>
      <c r="N224" s="272"/>
      <c r="O224" s="272"/>
      <c r="P224" s="272"/>
      <c r="Q224" s="279"/>
      <c r="R224" s="365">
        <v>0</v>
      </c>
      <c r="S224" s="272"/>
      <c r="T224" s="361"/>
      <c r="U224" s="369"/>
      <c r="V224" s="5"/>
    </row>
    <row r="225" spans="1:23" ht="15.6" x14ac:dyDescent="0.3">
      <c r="A225" s="376"/>
      <c r="B225" s="272" t="s">
        <v>93</v>
      </c>
      <c r="C225" s="306"/>
      <c r="D225" s="306"/>
      <c r="E225" s="306"/>
      <c r="F225" s="377"/>
      <c r="G225" s="272"/>
      <c r="H225" s="272"/>
      <c r="I225" s="272"/>
      <c r="J225" s="272"/>
      <c r="K225" s="272"/>
      <c r="L225" s="272"/>
      <c r="M225" s="272"/>
      <c r="N225" s="272"/>
      <c r="O225" s="272"/>
      <c r="P225" s="272"/>
      <c r="Q225" s="279"/>
      <c r="R225" s="365">
        <v>0</v>
      </c>
      <c r="S225" s="272"/>
      <c r="T225" s="361"/>
      <c r="U225" s="369"/>
      <c r="V225" s="5"/>
    </row>
    <row r="226" spans="1:23" ht="15.6" x14ac:dyDescent="0.3">
      <c r="A226" s="358"/>
      <c r="B226" s="293" t="s">
        <v>258</v>
      </c>
      <c r="C226" s="378"/>
      <c r="D226" s="378"/>
      <c r="E226" s="378"/>
      <c r="F226" s="379"/>
      <c r="G226" s="337"/>
      <c r="H226" s="337"/>
      <c r="I226" s="337"/>
      <c r="J226" s="337"/>
      <c r="K226" s="337"/>
      <c r="L226" s="337"/>
      <c r="M226" s="337"/>
      <c r="N226" s="337"/>
      <c r="O226" s="337"/>
      <c r="P226" s="337"/>
      <c r="Q226" s="374"/>
      <c r="R226" s="380"/>
      <c r="S226" s="337"/>
      <c r="T226" s="364"/>
      <c r="U226" s="369"/>
      <c r="V226" s="5"/>
    </row>
    <row r="227" spans="1:23" ht="15.6" x14ac:dyDescent="0.3">
      <c r="A227" s="376"/>
      <c r="B227" s="272" t="s">
        <v>286</v>
      </c>
      <c r="C227" s="306"/>
      <c r="D227" s="306"/>
      <c r="E227" s="306"/>
      <c r="F227" s="377"/>
      <c r="G227" s="272"/>
      <c r="H227" s="272"/>
      <c r="I227" s="272"/>
      <c r="J227" s="272"/>
      <c r="K227" s="272"/>
      <c r="L227" s="272"/>
      <c r="M227" s="272"/>
      <c r="N227" s="272"/>
      <c r="O227" s="272"/>
      <c r="P227" s="272"/>
      <c r="Q227" s="279">
        <v>2</v>
      </c>
      <c r="R227" s="360">
        <v>342</v>
      </c>
      <c r="S227" s="272"/>
      <c r="T227" s="364"/>
      <c r="U227" s="369"/>
      <c r="V227" s="5"/>
    </row>
    <row r="228" spans="1:23" ht="15.6" x14ac:dyDescent="0.3">
      <c r="A228" s="376"/>
      <c r="B228" s="272" t="s">
        <v>259</v>
      </c>
      <c r="C228" s="306"/>
      <c r="D228" s="306"/>
      <c r="E228" s="306"/>
      <c r="F228" s="377"/>
      <c r="G228" s="272"/>
      <c r="H228" s="272"/>
      <c r="I228" s="272"/>
      <c r="J228" s="272"/>
      <c r="K228" s="272"/>
      <c r="L228" s="272"/>
      <c r="M228" s="272"/>
      <c r="N228" s="272"/>
      <c r="O228" s="272"/>
      <c r="P228" s="272"/>
      <c r="Q228" s="272"/>
      <c r="R228" s="365">
        <v>0.06</v>
      </c>
      <c r="S228" s="272"/>
      <c r="T228" s="364"/>
      <c r="U228" s="369"/>
      <c r="V228" s="5"/>
    </row>
    <row r="229" spans="1:23" ht="15.6" x14ac:dyDescent="0.3">
      <c r="A229" s="358"/>
      <c r="B229" s="367"/>
      <c r="C229" s="378"/>
      <c r="D229" s="378"/>
      <c r="E229" s="378"/>
      <c r="F229" s="379"/>
      <c r="G229" s="337"/>
      <c r="H229" s="337"/>
      <c r="I229" s="337"/>
      <c r="J229" s="337"/>
      <c r="K229" s="337"/>
      <c r="L229" s="337"/>
      <c r="M229" s="337"/>
      <c r="N229" s="337"/>
      <c r="O229" s="337"/>
      <c r="P229" s="337"/>
      <c r="Q229" s="337"/>
      <c r="R229" s="381"/>
      <c r="S229" s="337"/>
      <c r="T229" s="364"/>
      <c r="U229" s="369"/>
      <c r="V229" s="5"/>
    </row>
    <row r="230" spans="1:23" ht="17.399999999999999" x14ac:dyDescent="0.3">
      <c r="A230" s="358"/>
      <c r="B230" s="382" t="s">
        <v>208</v>
      </c>
      <c r="C230" s="378"/>
      <c r="D230" s="378"/>
      <c r="E230" s="378"/>
      <c r="F230" s="379"/>
      <c r="G230" s="337"/>
      <c r="H230" s="337"/>
      <c r="I230" s="337"/>
      <c r="J230" s="337"/>
      <c r="K230" s="337"/>
      <c r="L230" s="337"/>
      <c r="M230" s="337"/>
      <c r="N230" s="383" t="s">
        <v>207</v>
      </c>
      <c r="O230" s="337"/>
      <c r="P230" s="337"/>
      <c r="Q230" s="337"/>
      <c r="R230" s="381"/>
      <c r="S230" s="337"/>
      <c r="T230" s="364"/>
      <c r="U230" s="369"/>
      <c r="V230" s="5"/>
    </row>
    <row r="231" spans="1:23" ht="15.6" x14ac:dyDescent="0.3">
      <c r="A231" s="351"/>
      <c r="B231" s="352"/>
      <c r="C231" s="353"/>
      <c r="D231" s="353"/>
      <c r="E231" s="353"/>
      <c r="F231" s="354"/>
      <c r="G231" s="314"/>
      <c r="H231" s="314"/>
      <c r="I231" s="314"/>
      <c r="J231" s="314"/>
      <c r="K231" s="314"/>
      <c r="L231" s="314"/>
      <c r="M231" s="314"/>
      <c r="N231" s="314"/>
      <c r="O231" s="314"/>
      <c r="P231" s="314"/>
      <c r="Q231" s="314"/>
      <c r="R231" s="355"/>
      <c r="S231" s="314"/>
      <c r="T231" s="356"/>
      <c r="U231" s="357"/>
      <c r="V231" s="5"/>
    </row>
    <row r="232" spans="1:23" ht="15.6" x14ac:dyDescent="0.3">
      <c r="A232" s="258"/>
      <c r="B232" s="259" t="s">
        <v>302</v>
      </c>
      <c r="C232" s="260"/>
      <c r="D232" s="260"/>
      <c r="E232" s="260"/>
      <c r="F232" s="261"/>
      <c r="G232" s="260"/>
      <c r="H232" s="260"/>
      <c r="I232" s="260"/>
      <c r="J232" s="260"/>
      <c r="K232" s="260"/>
      <c r="L232" s="260"/>
      <c r="M232" s="260"/>
      <c r="N232" s="260"/>
      <c r="O232" s="260"/>
      <c r="P232" s="261" t="s">
        <v>108</v>
      </c>
      <c r="Q232" s="260" t="s">
        <v>109</v>
      </c>
      <c r="R232" s="261" t="s">
        <v>117</v>
      </c>
      <c r="S232" s="260" t="s">
        <v>109</v>
      </c>
      <c r="T232" s="262"/>
      <c r="U232" s="259"/>
      <c r="V232" s="5"/>
    </row>
    <row r="233" spans="1:23" ht="15.6" x14ac:dyDescent="0.3">
      <c r="A233" s="232"/>
      <c r="B233" s="231" t="s">
        <v>94</v>
      </c>
      <c r="C233" s="249"/>
      <c r="D233" s="249"/>
      <c r="E233" s="249"/>
      <c r="F233" s="228"/>
      <c r="G233" s="249"/>
      <c r="H233" s="249"/>
      <c r="I233" s="249"/>
      <c r="J233" s="249"/>
      <c r="K233" s="249"/>
      <c r="L233" s="249"/>
      <c r="M233" s="249"/>
      <c r="N233" s="249"/>
      <c r="O233" s="249"/>
      <c r="P233" s="317">
        <f t="shared" ref="P233:P240" si="1">+P245+P257+P269</f>
        <v>1920</v>
      </c>
      <c r="Q233" s="388">
        <f t="shared" ref="Q233:Q240" si="2">P233/$P$242</f>
        <v>0.99947943779281623</v>
      </c>
      <c r="R233" s="318">
        <f t="shared" ref="R233:R240" si="3">+R245+R257+R269</f>
        <v>233644</v>
      </c>
      <c r="S233" s="388">
        <f t="shared" ref="S233:S240" si="4">R233/$R$242</f>
        <v>0.99967054736202565</v>
      </c>
      <c r="T233" s="247"/>
      <c r="U233" s="229"/>
      <c r="V233" s="5"/>
    </row>
    <row r="234" spans="1:23" ht="15.6" x14ac:dyDescent="0.3">
      <c r="A234" s="302"/>
      <c r="B234" s="317" t="s">
        <v>95</v>
      </c>
      <c r="C234" s="387"/>
      <c r="D234" s="387"/>
      <c r="E234" s="387"/>
      <c r="F234" s="272"/>
      <c r="G234" s="388"/>
      <c r="H234" s="387"/>
      <c r="I234" s="387"/>
      <c r="J234" s="387"/>
      <c r="K234" s="387"/>
      <c r="L234" s="387"/>
      <c r="M234" s="387"/>
      <c r="N234" s="387"/>
      <c r="O234" s="387"/>
      <c r="P234" s="317">
        <f t="shared" si="1"/>
        <v>1</v>
      </c>
      <c r="Q234" s="388">
        <f t="shared" si="2"/>
        <v>5.2056220718375845E-4</v>
      </c>
      <c r="R234" s="318">
        <f t="shared" si="3"/>
        <v>77</v>
      </c>
      <c r="S234" s="388">
        <f t="shared" si="4"/>
        <v>3.2945263797433692E-4</v>
      </c>
      <c r="T234" s="361"/>
      <c r="U234" s="389"/>
      <c r="V234" s="5"/>
      <c r="W234" s="110"/>
    </row>
    <row r="235" spans="1:23" ht="15.6" x14ac:dyDescent="0.3">
      <c r="A235" s="302"/>
      <c r="B235" s="317" t="s">
        <v>96</v>
      </c>
      <c r="C235" s="387"/>
      <c r="D235" s="387"/>
      <c r="E235" s="387"/>
      <c r="F235" s="272"/>
      <c r="G235" s="388"/>
      <c r="H235" s="387"/>
      <c r="I235" s="387"/>
      <c r="J235" s="387"/>
      <c r="K235" s="387"/>
      <c r="L235" s="387"/>
      <c r="M235" s="387"/>
      <c r="N235" s="387"/>
      <c r="O235" s="387"/>
      <c r="P235" s="317">
        <f t="shared" si="1"/>
        <v>0</v>
      </c>
      <c r="Q235" s="388">
        <f t="shared" si="2"/>
        <v>0</v>
      </c>
      <c r="R235" s="318">
        <f t="shared" si="3"/>
        <v>0</v>
      </c>
      <c r="S235" s="388">
        <f t="shared" si="4"/>
        <v>0</v>
      </c>
      <c r="T235" s="361"/>
      <c r="U235" s="389"/>
      <c r="V235" s="5"/>
    </row>
    <row r="236" spans="1:23" ht="15.6" x14ac:dyDescent="0.3">
      <c r="A236" s="302"/>
      <c r="B236" s="317" t="s">
        <v>171</v>
      </c>
      <c r="C236" s="387"/>
      <c r="D236" s="387"/>
      <c r="E236" s="387"/>
      <c r="F236" s="272"/>
      <c r="G236" s="388"/>
      <c r="H236" s="387"/>
      <c r="I236" s="387"/>
      <c r="J236" s="387"/>
      <c r="K236" s="387"/>
      <c r="L236" s="387"/>
      <c r="M236" s="387"/>
      <c r="N236" s="387"/>
      <c r="O236" s="387"/>
      <c r="P236" s="317">
        <f t="shared" si="1"/>
        <v>0</v>
      </c>
      <c r="Q236" s="388">
        <f t="shared" si="2"/>
        <v>0</v>
      </c>
      <c r="R236" s="318">
        <f t="shared" si="3"/>
        <v>0</v>
      </c>
      <c r="S236" s="388">
        <f t="shared" si="4"/>
        <v>0</v>
      </c>
      <c r="T236" s="361"/>
      <c r="U236" s="389"/>
      <c r="V236" s="5"/>
      <c r="W236" s="110"/>
    </row>
    <row r="237" spans="1:23" ht="15.6" x14ac:dyDescent="0.3">
      <c r="A237" s="302"/>
      <c r="B237" s="317" t="s">
        <v>172</v>
      </c>
      <c r="C237" s="387"/>
      <c r="D237" s="387"/>
      <c r="E237" s="387"/>
      <c r="F237" s="272"/>
      <c r="G237" s="388"/>
      <c r="H237" s="387"/>
      <c r="I237" s="387"/>
      <c r="J237" s="387"/>
      <c r="K237" s="387"/>
      <c r="L237" s="387"/>
      <c r="M237" s="387"/>
      <c r="N237" s="387"/>
      <c r="O237" s="387"/>
      <c r="P237" s="317">
        <f t="shared" si="1"/>
        <v>0</v>
      </c>
      <c r="Q237" s="388">
        <f t="shared" si="2"/>
        <v>0</v>
      </c>
      <c r="R237" s="318">
        <f t="shared" si="3"/>
        <v>0</v>
      </c>
      <c r="S237" s="388">
        <f t="shared" si="4"/>
        <v>0</v>
      </c>
      <c r="T237" s="361"/>
      <c r="U237" s="389"/>
      <c r="V237" s="5"/>
    </row>
    <row r="238" spans="1:23" ht="15.6" x14ac:dyDescent="0.3">
      <c r="A238" s="302"/>
      <c r="B238" s="317" t="s">
        <v>173</v>
      </c>
      <c r="C238" s="387"/>
      <c r="D238" s="387"/>
      <c r="E238" s="387"/>
      <c r="F238" s="272"/>
      <c r="G238" s="388"/>
      <c r="H238" s="387"/>
      <c r="I238" s="387"/>
      <c r="J238" s="387"/>
      <c r="K238" s="387"/>
      <c r="L238" s="387"/>
      <c r="M238" s="387"/>
      <c r="N238" s="387"/>
      <c r="O238" s="387"/>
      <c r="P238" s="317">
        <f t="shared" si="1"/>
        <v>0</v>
      </c>
      <c r="Q238" s="388">
        <f t="shared" si="2"/>
        <v>0</v>
      </c>
      <c r="R238" s="318">
        <f t="shared" si="3"/>
        <v>0</v>
      </c>
      <c r="S238" s="388">
        <f t="shared" si="4"/>
        <v>0</v>
      </c>
      <c r="T238" s="361"/>
      <c r="U238" s="389"/>
      <c r="V238" s="5"/>
      <c r="W238" s="110"/>
    </row>
    <row r="239" spans="1:23" ht="15.6" x14ac:dyDescent="0.3">
      <c r="A239" s="302"/>
      <c r="B239" s="317" t="s">
        <v>174</v>
      </c>
      <c r="C239" s="387"/>
      <c r="D239" s="387"/>
      <c r="E239" s="387"/>
      <c r="F239" s="272"/>
      <c r="G239" s="388"/>
      <c r="H239" s="387"/>
      <c r="I239" s="387"/>
      <c r="J239" s="387"/>
      <c r="K239" s="387"/>
      <c r="L239" s="387"/>
      <c r="M239" s="387"/>
      <c r="N239" s="387"/>
      <c r="O239" s="387"/>
      <c r="P239" s="317">
        <f t="shared" si="1"/>
        <v>0</v>
      </c>
      <c r="Q239" s="388">
        <f t="shared" si="2"/>
        <v>0</v>
      </c>
      <c r="R239" s="318">
        <f t="shared" si="3"/>
        <v>0</v>
      </c>
      <c r="S239" s="388">
        <f t="shared" si="4"/>
        <v>0</v>
      </c>
      <c r="T239" s="361"/>
      <c r="U239" s="389"/>
      <c r="V239" s="5"/>
    </row>
    <row r="240" spans="1:23" ht="15.6" x14ac:dyDescent="0.3">
      <c r="A240" s="302"/>
      <c r="B240" s="317" t="s">
        <v>175</v>
      </c>
      <c r="C240" s="387"/>
      <c r="D240" s="387"/>
      <c r="E240" s="387"/>
      <c r="F240" s="272"/>
      <c r="G240" s="388"/>
      <c r="H240" s="387"/>
      <c r="I240" s="387"/>
      <c r="J240" s="387"/>
      <c r="K240" s="387"/>
      <c r="L240" s="387"/>
      <c r="M240" s="387"/>
      <c r="N240" s="387"/>
      <c r="O240" s="387"/>
      <c r="P240" s="317">
        <f t="shared" si="1"/>
        <v>0</v>
      </c>
      <c r="Q240" s="388">
        <f t="shared" si="2"/>
        <v>0</v>
      </c>
      <c r="R240" s="318">
        <f t="shared" si="3"/>
        <v>0</v>
      </c>
      <c r="S240" s="388">
        <f t="shared" si="4"/>
        <v>0</v>
      </c>
      <c r="T240" s="361"/>
      <c r="U240" s="389"/>
      <c r="V240" s="5"/>
      <c r="W240" s="110"/>
    </row>
    <row r="241" spans="1:23" ht="15.6" x14ac:dyDescent="0.3">
      <c r="A241" s="302"/>
      <c r="B241" s="317"/>
      <c r="C241" s="387"/>
      <c r="D241" s="387"/>
      <c r="E241" s="387"/>
      <c r="F241" s="272"/>
      <c r="G241" s="388"/>
      <c r="H241" s="387"/>
      <c r="I241" s="387"/>
      <c r="J241" s="387"/>
      <c r="K241" s="387"/>
      <c r="L241" s="387"/>
      <c r="M241" s="387"/>
      <c r="N241" s="387"/>
      <c r="O241" s="387"/>
      <c r="P241" s="317"/>
      <c r="Q241" s="388"/>
      <c r="R241" s="318"/>
      <c r="S241" s="388"/>
      <c r="T241" s="361"/>
      <c r="U241" s="389"/>
      <c r="V241" s="5"/>
    </row>
    <row r="242" spans="1:23" ht="15.6" x14ac:dyDescent="0.3">
      <c r="A242" s="302"/>
      <c r="B242" s="272"/>
      <c r="C242" s="272"/>
      <c r="D242" s="272"/>
      <c r="E242" s="272"/>
      <c r="F242" s="272"/>
      <c r="G242" s="272"/>
      <c r="H242" s="390"/>
      <c r="I242" s="390"/>
      <c r="J242" s="390"/>
      <c r="K242" s="390"/>
      <c r="L242" s="390"/>
      <c r="M242" s="390"/>
      <c r="N242" s="390"/>
      <c r="O242" s="390"/>
      <c r="P242" s="317">
        <f>SUM(P233:P241)</f>
        <v>1921</v>
      </c>
      <c r="Q242" s="388">
        <f>SUM(Q233:Q241)</f>
        <v>1</v>
      </c>
      <c r="R242" s="318">
        <f>SUM(R233:R241)</f>
        <v>233721</v>
      </c>
      <c r="S242" s="388">
        <f>SUM(S233:S241)</f>
        <v>1</v>
      </c>
      <c r="T242" s="272"/>
      <c r="U242" s="275"/>
      <c r="V242" s="5"/>
    </row>
    <row r="243" spans="1:23" ht="15.6" x14ac:dyDescent="0.3">
      <c r="A243" s="351"/>
      <c r="B243" s="352"/>
      <c r="C243" s="353"/>
      <c r="D243" s="353"/>
      <c r="E243" s="353"/>
      <c r="F243" s="354"/>
      <c r="G243" s="314"/>
      <c r="H243" s="314"/>
      <c r="I243" s="314"/>
      <c r="J243" s="314"/>
      <c r="K243" s="314"/>
      <c r="L243" s="314"/>
      <c r="M243" s="314"/>
      <c r="N243" s="314"/>
      <c r="O243" s="314"/>
      <c r="P243" s="314"/>
      <c r="Q243" s="314"/>
      <c r="R243" s="355"/>
      <c r="S243" s="314"/>
      <c r="T243" s="356"/>
      <c r="U243" s="357"/>
      <c r="V243" s="5"/>
    </row>
    <row r="244" spans="1:23" ht="15.6" x14ac:dyDescent="0.3">
      <c r="A244" s="258"/>
      <c r="B244" s="259" t="s">
        <v>177</v>
      </c>
      <c r="C244" s="260"/>
      <c r="D244" s="260"/>
      <c r="E244" s="260"/>
      <c r="F244" s="261"/>
      <c r="G244" s="260"/>
      <c r="H244" s="260"/>
      <c r="I244" s="260"/>
      <c r="J244" s="260"/>
      <c r="K244" s="260"/>
      <c r="L244" s="260"/>
      <c r="M244" s="260"/>
      <c r="N244" s="260"/>
      <c r="O244" s="260"/>
      <c r="P244" s="261" t="s">
        <v>108</v>
      </c>
      <c r="Q244" s="260" t="s">
        <v>109</v>
      </c>
      <c r="R244" s="261" t="s">
        <v>117</v>
      </c>
      <c r="S244" s="260" t="s">
        <v>109</v>
      </c>
      <c r="T244" s="262"/>
      <c r="U244" s="259"/>
      <c r="V244" s="5"/>
    </row>
    <row r="245" spans="1:23" ht="15.6" x14ac:dyDescent="0.3">
      <c r="A245" s="232"/>
      <c r="B245" s="231" t="s">
        <v>94</v>
      </c>
      <c r="C245" s="249"/>
      <c r="D245" s="249"/>
      <c r="E245" s="249"/>
      <c r="F245" s="228"/>
      <c r="G245" s="249"/>
      <c r="H245" s="249"/>
      <c r="I245" s="249"/>
      <c r="J245" s="249"/>
      <c r="K245" s="249"/>
      <c r="L245" s="249"/>
      <c r="M245" s="249"/>
      <c r="N245" s="249"/>
      <c r="O245" s="249"/>
      <c r="P245" s="231">
        <v>1893</v>
      </c>
      <c r="Q245" s="250">
        <f t="shared" ref="Q245:Q252" si="5">P245/$P$254</f>
        <v>1</v>
      </c>
      <c r="R245" s="242">
        <v>230079</v>
      </c>
      <c r="S245" s="250">
        <f t="shared" ref="S245:S252" si="6">R245/$R$254</f>
        <v>1</v>
      </c>
      <c r="T245" s="247"/>
      <c r="U245" s="229"/>
      <c r="V245" s="5"/>
    </row>
    <row r="246" spans="1:23" ht="15.6" x14ac:dyDescent="0.3">
      <c r="A246" s="302"/>
      <c r="B246" s="317" t="s">
        <v>95</v>
      </c>
      <c r="C246" s="387"/>
      <c r="D246" s="387"/>
      <c r="E246" s="387"/>
      <c r="F246" s="272"/>
      <c r="G246" s="388"/>
      <c r="H246" s="387"/>
      <c r="I246" s="387"/>
      <c r="J246" s="387"/>
      <c r="K246" s="387"/>
      <c r="L246" s="387"/>
      <c r="M246" s="387"/>
      <c r="N246" s="387"/>
      <c r="O246" s="387"/>
      <c r="P246" s="317">
        <v>0</v>
      </c>
      <c r="Q246" s="388">
        <f t="shared" si="5"/>
        <v>0</v>
      </c>
      <c r="R246" s="318">
        <v>0</v>
      </c>
      <c r="S246" s="388">
        <f t="shared" si="6"/>
        <v>0</v>
      </c>
      <c r="T246" s="361"/>
      <c r="U246" s="389"/>
      <c r="V246" s="5"/>
      <c r="W246" s="110"/>
    </row>
    <row r="247" spans="1:23" ht="15.6" x14ac:dyDescent="0.3">
      <c r="A247" s="302"/>
      <c r="B247" s="317" t="s">
        <v>96</v>
      </c>
      <c r="C247" s="387"/>
      <c r="D247" s="387"/>
      <c r="E247" s="387"/>
      <c r="F247" s="272"/>
      <c r="G247" s="388"/>
      <c r="H247" s="387"/>
      <c r="I247" s="387"/>
      <c r="J247" s="387"/>
      <c r="K247" s="387"/>
      <c r="L247" s="387"/>
      <c r="M247" s="387"/>
      <c r="N247" s="387"/>
      <c r="O247" s="387"/>
      <c r="P247" s="317">
        <v>0</v>
      </c>
      <c r="Q247" s="388">
        <f t="shared" si="5"/>
        <v>0</v>
      </c>
      <c r="R247" s="318">
        <v>0</v>
      </c>
      <c r="S247" s="388">
        <f t="shared" si="6"/>
        <v>0</v>
      </c>
      <c r="T247" s="361"/>
      <c r="U247" s="389"/>
      <c r="V247" s="5"/>
    </row>
    <row r="248" spans="1:23" ht="15.6" x14ac:dyDescent="0.3">
      <c r="A248" s="302"/>
      <c r="B248" s="317" t="s">
        <v>171</v>
      </c>
      <c r="C248" s="387"/>
      <c r="D248" s="387"/>
      <c r="E248" s="387"/>
      <c r="F248" s="272"/>
      <c r="G248" s="388"/>
      <c r="H248" s="387"/>
      <c r="I248" s="387"/>
      <c r="J248" s="387"/>
      <c r="K248" s="387"/>
      <c r="L248" s="387"/>
      <c r="M248" s="387"/>
      <c r="N248" s="387"/>
      <c r="O248" s="387"/>
      <c r="P248" s="317">
        <v>0</v>
      </c>
      <c r="Q248" s="388">
        <f t="shared" si="5"/>
        <v>0</v>
      </c>
      <c r="R248" s="318">
        <v>0</v>
      </c>
      <c r="S248" s="388">
        <f t="shared" si="6"/>
        <v>0</v>
      </c>
      <c r="T248" s="361"/>
      <c r="U248" s="389"/>
      <c r="V248" s="5"/>
      <c r="W248" s="110"/>
    </row>
    <row r="249" spans="1:23" ht="15.6" x14ac:dyDescent="0.3">
      <c r="A249" s="302"/>
      <c r="B249" s="317" t="s">
        <v>172</v>
      </c>
      <c r="C249" s="387"/>
      <c r="D249" s="387"/>
      <c r="E249" s="387"/>
      <c r="F249" s="272"/>
      <c r="G249" s="388"/>
      <c r="H249" s="387"/>
      <c r="I249" s="387"/>
      <c r="J249" s="387"/>
      <c r="K249" s="387"/>
      <c r="L249" s="387"/>
      <c r="M249" s="387"/>
      <c r="N249" s="387"/>
      <c r="O249" s="387"/>
      <c r="P249" s="317">
        <v>0</v>
      </c>
      <c r="Q249" s="388">
        <f t="shared" si="5"/>
        <v>0</v>
      </c>
      <c r="R249" s="318">
        <v>0</v>
      </c>
      <c r="S249" s="388">
        <f t="shared" si="6"/>
        <v>0</v>
      </c>
      <c r="T249" s="361"/>
      <c r="U249" s="389"/>
      <c r="V249" s="5"/>
    </row>
    <row r="250" spans="1:23" ht="15.6" x14ac:dyDescent="0.3">
      <c r="A250" s="302"/>
      <c r="B250" s="317" t="s">
        <v>173</v>
      </c>
      <c r="C250" s="387"/>
      <c r="D250" s="387"/>
      <c r="E250" s="387"/>
      <c r="F250" s="272"/>
      <c r="G250" s="388"/>
      <c r="H250" s="387"/>
      <c r="I250" s="387"/>
      <c r="J250" s="387"/>
      <c r="K250" s="387"/>
      <c r="L250" s="387"/>
      <c r="M250" s="387"/>
      <c r="N250" s="387"/>
      <c r="O250" s="387"/>
      <c r="P250" s="317">
        <v>0</v>
      </c>
      <c r="Q250" s="388">
        <f t="shared" si="5"/>
        <v>0</v>
      </c>
      <c r="R250" s="318">
        <v>0</v>
      </c>
      <c r="S250" s="388">
        <f t="shared" si="6"/>
        <v>0</v>
      </c>
      <c r="T250" s="361"/>
      <c r="U250" s="389"/>
      <c r="V250" s="5"/>
      <c r="W250" s="110"/>
    </row>
    <row r="251" spans="1:23" ht="15.6" x14ac:dyDescent="0.3">
      <c r="A251" s="302"/>
      <c r="B251" s="317" t="s">
        <v>174</v>
      </c>
      <c r="C251" s="387"/>
      <c r="D251" s="387"/>
      <c r="E251" s="387"/>
      <c r="F251" s="272"/>
      <c r="G251" s="388"/>
      <c r="H251" s="387"/>
      <c r="I251" s="387"/>
      <c r="J251" s="387"/>
      <c r="K251" s="387"/>
      <c r="L251" s="387"/>
      <c r="M251" s="387"/>
      <c r="N251" s="387"/>
      <c r="O251" s="387"/>
      <c r="P251" s="317">
        <v>0</v>
      </c>
      <c r="Q251" s="388">
        <f t="shared" si="5"/>
        <v>0</v>
      </c>
      <c r="R251" s="318">
        <v>0</v>
      </c>
      <c r="S251" s="388">
        <f t="shared" si="6"/>
        <v>0</v>
      </c>
      <c r="T251" s="361"/>
      <c r="U251" s="389"/>
      <c r="V251" s="5"/>
    </row>
    <row r="252" spans="1:23" ht="15.6" x14ac:dyDescent="0.3">
      <c r="A252" s="302"/>
      <c r="B252" s="317" t="s">
        <v>175</v>
      </c>
      <c r="C252" s="387"/>
      <c r="D252" s="387"/>
      <c r="E252" s="387"/>
      <c r="F252" s="272"/>
      <c r="G252" s="388"/>
      <c r="H252" s="387"/>
      <c r="I252" s="387"/>
      <c r="J252" s="387"/>
      <c r="K252" s="387"/>
      <c r="L252" s="387"/>
      <c r="M252" s="387"/>
      <c r="N252" s="387"/>
      <c r="O252" s="387"/>
      <c r="P252" s="317">
        <v>0</v>
      </c>
      <c r="Q252" s="388">
        <f t="shared" si="5"/>
        <v>0</v>
      </c>
      <c r="R252" s="318">
        <v>0</v>
      </c>
      <c r="S252" s="388">
        <f t="shared" si="6"/>
        <v>0</v>
      </c>
      <c r="T252" s="361"/>
      <c r="U252" s="389"/>
      <c r="V252" s="5"/>
      <c r="W252" s="110"/>
    </row>
    <row r="253" spans="1:23" ht="15.6" x14ac:dyDescent="0.3">
      <c r="A253" s="302"/>
      <c r="B253" s="317"/>
      <c r="C253" s="387"/>
      <c r="D253" s="387"/>
      <c r="E253" s="387"/>
      <c r="F253" s="272"/>
      <c r="G253" s="388"/>
      <c r="H253" s="387"/>
      <c r="I253" s="387"/>
      <c r="J253" s="387"/>
      <c r="K253" s="387"/>
      <c r="L253" s="387"/>
      <c r="M253" s="387"/>
      <c r="N253" s="387"/>
      <c r="O253" s="387"/>
      <c r="P253" s="317"/>
      <c r="Q253" s="388"/>
      <c r="R253" s="318"/>
      <c r="S253" s="388"/>
      <c r="T253" s="361"/>
      <c r="U253" s="389"/>
      <c r="V253" s="5"/>
    </row>
    <row r="254" spans="1:23" ht="15.6" x14ac:dyDescent="0.3">
      <c r="A254" s="302"/>
      <c r="B254" s="272"/>
      <c r="C254" s="272"/>
      <c r="D254" s="272"/>
      <c r="E254" s="272"/>
      <c r="F254" s="272"/>
      <c r="G254" s="272"/>
      <c r="H254" s="390"/>
      <c r="I254" s="390"/>
      <c r="J254" s="390"/>
      <c r="K254" s="390"/>
      <c r="L254" s="390"/>
      <c r="M254" s="390"/>
      <c r="N254" s="390"/>
      <c r="O254" s="390"/>
      <c r="P254" s="317">
        <f>SUM(P245:P253)</f>
        <v>1893</v>
      </c>
      <c r="Q254" s="388">
        <f>SUM(Q245:Q253)</f>
        <v>1</v>
      </c>
      <c r="R254" s="318">
        <f>SUM(R245:R253)</f>
        <v>230079</v>
      </c>
      <c r="S254" s="388">
        <f>SUM(S245:S253)</f>
        <v>1</v>
      </c>
      <c r="T254" s="272"/>
      <c r="U254" s="275"/>
      <c r="V254" s="5"/>
    </row>
    <row r="255" spans="1:23" ht="15.6" x14ac:dyDescent="0.3">
      <c r="A255" s="177"/>
      <c r="B255" s="314"/>
      <c r="C255" s="314"/>
      <c r="D255" s="314"/>
      <c r="E255" s="314"/>
      <c r="F255" s="314"/>
      <c r="G255" s="314"/>
      <c r="H255" s="384"/>
      <c r="I255" s="384"/>
      <c r="J255" s="384"/>
      <c r="K255" s="384"/>
      <c r="L255" s="384"/>
      <c r="M255" s="384"/>
      <c r="N255" s="384"/>
      <c r="O255" s="384"/>
      <c r="P255" s="315"/>
      <c r="Q255" s="385"/>
      <c r="R255" s="386"/>
      <c r="S255" s="385"/>
      <c r="T255" s="314"/>
      <c r="U255" s="314"/>
      <c r="V255" s="5"/>
    </row>
    <row r="256" spans="1:23" ht="15.6" x14ac:dyDescent="0.3">
      <c r="A256" s="263"/>
      <c r="B256" s="259" t="s">
        <v>279</v>
      </c>
      <c r="C256" s="260"/>
      <c r="D256" s="260"/>
      <c r="E256" s="260"/>
      <c r="F256" s="261"/>
      <c r="G256" s="260"/>
      <c r="H256" s="260"/>
      <c r="I256" s="260"/>
      <c r="J256" s="260"/>
      <c r="K256" s="260"/>
      <c r="L256" s="260"/>
      <c r="M256" s="260"/>
      <c r="N256" s="260"/>
      <c r="O256" s="260"/>
      <c r="P256" s="261" t="s">
        <v>108</v>
      </c>
      <c r="Q256" s="260" t="s">
        <v>109</v>
      </c>
      <c r="R256" s="261" t="s">
        <v>117</v>
      </c>
      <c r="S256" s="260" t="s">
        <v>109</v>
      </c>
      <c r="T256" s="264"/>
      <c r="U256" s="265"/>
      <c r="V256" s="5"/>
    </row>
    <row r="257" spans="1:22" ht="15.6" x14ac:dyDescent="0.3">
      <c r="A257" s="232"/>
      <c r="B257" s="231" t="s">
        <v>94</v>
      </c>
      <c r="C257" s="249"/>
      <c r="D257" s="249"/>
      <c r="E257" s="249"/>
      <c r="F257" s="228"/>
      <c r="G257" s="249"/>
      <c r="H257" s="249"/>
      <c r="I257" s="249"/>
      <c r="J257" s="249"/>
      <c r="K257" s="249"/>
      <c r="L257" s="249"/>
      <c r="M257" s="249"/>
      <c r="N257" s="249"/>
      <c r="O257" s="249"/>
      <c r="P257" s="231">
        <v>27</v>
      </c>
      <c r="Q257" s="250">
        <f t="shared" ref="Q257:Q264" si="7">P257/$P$266</f>
        <v>0.9642857142857143</v>
      </c>
      <c r="R257" s="242">
        <v>3565</v>
      </c>
      <c r="S257" s="250">
        <f t="shared" ref="S257:S264" si="8">R257/$R$266</f>
        <v>0.97885777045579347</v>
      </c>
      <c r="T257" s="228"/>
      <c r="U257" s="194"/>
      <c r="V257" s="5"/>
    </row>
    <row r="258" spans="1:22" ht="15.6" x14ac:dyDescent="0.3">
      <c r="A258" s="302"/>
      <c r="B258" s="317" t="s">
        <v>95</v>
      </c>
      <c r="C258" s="387"/>
      <c r="D258" s="387"/>
      <c r="E258" s="387"/>
      <c r="F258" s="272"/>
      <c r="G258" s="388"/>
      <c r="H258" s="387"/>
      <c r="I258" s="387"/>
      <c r="J258" s="387"/>
      <c r="K258" s="387"/>
      <c r="L258" s="387"/>
      <c r="M258" s="387"/>
      <c r="N258" s="387"/>
      <c r="O258" s="387"/>
      <c r="P258" s="317">
        <v>1</v>
      </c>
      <c r="Q258" s="388">
        <f t="shared" si="7"/>
        <v>3.5714285714285712E-2</v>
      </c>
      <c r="R258" s="318">
        <v>77</v>
      </c>
      <c r="S258" s="388">
        <f t="shared" si="8"/>
        <v>2.114222954420648E-2</v>
      </c>
      <c r="T258" s="272"/>
      <c r="U258" s="340"/>
      <c r="V258" s="5"/>
    </row>
    <row r="259" spans="1:22" ht="15.6" x14ac:dyDescent="0.3">
      <c r="A259" s="302"/>
      <c r="B259" s="317" t="s">
        <v>96</v>
      </c>
      <c r="C259" s="387"/>
      <c r="D259" s="387"/>
      <c r="E259" s="387"/>
      <c r="F259" s="272"/>
      <c r="G259" s="388"/>
      <c r="H259" s="387"/>
      <c r="I259" s="387"/>
      <c r="J259" s="387"/>
      <c r="K259" s="387"/>
      <c r="L259" s="387"/>
      <c r="M259" s="387"/>
      <c r="N259" s="387"/>
      <c r="O259" s="387"/>
      <c r="P259" s="317">
        <v>0</v>
      </c>
      <c r="Q259" s="388">
        <f t="shared" si="7"/>
        <v>0</v>
      </c>
      <c r="R259" s="318">
        <v>0</v>
      </c>
      <c r="S259" s="388">
        <f t="shared" si="8"/>
        <v>0</v>
      </c>
      <c r="T259" s="272"/>
      <c r="U259" s="340"/>
      <c r="V259" s="5"/>
    </row>
    <row r="260" spans="1:22" ht="15.6" x14ac:dyDescent="0.3">
      <c r="A260" s="302"/>
      <c r="B260" s="317" t="s">
        <v>171</v>
      </c>
      <c r="C260" s="387"/>
      <c r="D260" s="387"/>
      <c r="E260" s="387"/>
      <c r="F260" s="272"/>
      <c r="G260" s="388"/>
      <c r="H260" s="387"/>
      <c r="I260" s="387"/>
      <c r="J260" s="387"/>
      <c r="K260" s="387"/>
      <c r="L260" s="387"/>
      <c r="M260" s="387"/>
      <c r="N260" s="387"/>
      <c r="O260" s="387"/>
      <c r="P260" s="317">
        <v>0</v>
      </c>
      <c r="Q260" s="388">
        <f t="shared" si="7"/>
        <v>0</v>
      </c>
      <c r="R260" s="318">
        <v>0</v>
      </c>
      <c r="S260" s="388">
        <f t="shared" si="8"/>
        <v>0</v>
      </c>
      <c r="T260" s="272"/>
      <c r="U260" s="340"/>
      <c r="V260" s="5"/>
    </row>
    <row r="261" spans="1:22" ht="15.6" x14ac:dyDescent="0.3">
      <c r="A261" s="302"/>
      <c r="B261" s="317" t="s">
        <v>172</v>
      </c>
      <c r="C261" s="387"/>
      <c r="D261" s="387"/>
      <c r="E261" s="387"/>
      <c r="F261" s="272"/>
      <c r="G261" s="388"/>
      <c r="H261" s="387"/>
      <c r="I261" s="387"/>
      <c r="J261" s="387"/>
      <c r="K261" s="387"/>
      <c r="L261" s="387"/>
      <c r="M261" s="387"/>
      <c r="N261" s="387"/>
      <c r="O261" s="387"/>
      <c r="P261" s="317">
        <v>0</v>
      </c>
      <c r="Q261" s="388">
        <f t="shared" si="7"/>
        <v>0</v>
      </c>
      <c r="R261" s="318">
        <v>0</v>
      </c>
      <c r="S261" s="388">
        <f t="shared" si="8"/>
        <v>0</v>
      </c>
      <c r="T261" s="272"/>
      <c r="U261" s="340"/>
      <c r="V261" s="5"/>
    </row>
    <row r="262" spans="1:22" ht="15.6" x14ac:dyDescent="0.3">
      <c r="A262" s="302"/>
      <c r="B262" s="317" t="s">
        <v>173</v>
      </c>
      <c r="C262" s="387"/>
      <c r="D262" s="387"/>
      <c r="E262" s="387"/>
      <c r="F262" s="272"/>
      <c r="G262" s="388"/>
      <c r="H262" s="387"/>
      <c r="I262" s="387"/>
      <c r="J262" s="387"/>
      <c r="K262" s="387"/>
      <c r="L262" s="387"/>
      <c r="M262" s="387"/>
      <c r="N262" s="387"/>
      <c r="O262" s="387"/>
      <c r="P262" s="317">
        <v>0</v>
      </c>
      <c r="Q262" s="388">
        <f t="shared" si="7"/>
        <v>0</v>
      </c>
      <c r="R262" s="318">
        <v>0</v>
      </c>
      <c r="S262" s="388">
        <f t="shared" si="8"/>
        <v>0</v>
      </c>
      <c r="T262" s="272"/>
      <c r="U262" s="340"/>
      <c r="V262" s="5"/>
    </row>
    <row r="263" spans="1:22" ht="15.6" x14ac:dyDescent="0.3">
      <c r="A263" s="302"/>
      <c r="B263" s="317" t="s">
        <v>174</v>
      </c>
      <c r="C263" s="387"/>
      <c r="D263" s="387"/>
      <c r="E263" s="387"/>
      <c r="F263" s="272"/>
      <c r="G263" s="388"/>
      <c r="H263" s="387"/>
      <c r="I263" s="387"/>
      <c r="J263" s="387"/>
      <c r="K263" s="387"/>
      <c r="L263" s="387"/>
      <c r="M263" s="387"/>
      <c r="N263" s="387"/>
      <c r="O263" s="387"/>
      <c r="P263" s="317">
        <v>0</v>
      </c>
      <c r="Q263" s="388">
        <f t="shared" si="7"/>
        <v>0</v>
      </c>
      <c r="R263" s="318">
        <v>0</v>
      </c>
      <c r="S263" s="388">
        <f t="shared" si="8"/>
        <v>0</v>
      </c>
      <c r="T263" s="272"/>
      <c r="U263" s="340"/>
      <c r="V263" s="5"/>
    </row>
    <row r="264" spans="1:22" ht="15.6" x14ac:dyDescent="0.3">
      <c r="A264" s="302"/>
      <c r="B264" s="317" t="s">
        <v>175</v>
      </c>
      <c r="C264" s="387"/>
      <c r="D264" s="387"/>
      <c r="E264" s="387"/>
      <c r="F264" s="272"/>
      <c r="G264" s="388"/>
      <c r="H264" s="387"/>
      <c r="I264" s="387"/>
      <c r="J264" s="387"/>
      <c r="K264" s="387"/>
      <c r="L264" s="387"/>
      <c r="M264" s="387"/>
      <c r="N264" s="387"/>
      <c r="O264" s="387"/>
      <c r="P264" s="317">
        <v>0</v>
      </c>
      <c r="Q264" s="388">
        <f t="shared" si="7"/>
        <v>0</v>
      </c>
      <c r="R264" s="318">
        <v>0</v>
      </c>
      <c r="S264" s="388">
        <f t="shared" si="8"/>
        <v>0</v>
      </c>
      <c r="T264" s="272"/>
      <c r="U264" s="340"/>
      <c r="V264" s="5"/>
    </row>
    <row r="265" spans="1:22" ht="15.6" x14ac:dyDescent="0.3">
      <c r="A265" s="302"/>
      <c r="B265" s="317"/>
      <c r="C265" s="387"/>
      <c r="D265" s="387"/>
      <c r="E265" s="387"/>
      <c r="F265" s="272"/>
      <c r="G265" s="388"/>
      <c r="H265" s="387"/>
      <c r="I265" s="387"/>
      <c r="J265" s="387"/>
      <c r="K265" s="387"/>
      <c r="L265" s="387"/>
      <c r="M265" s="387"/>
      <c r="N265" s="387"/>
      <c r="O265" s="387"/>
      <c r="P265" s="317"/>
      <c r="Q265" s="388"/>
      <c r="R265" s="318"/>
      <c r="S265" s="388"/>
      <c r="T265" s="272"/>
      <c r="U265" s="340"/>
      <c r="V265" s="5"/>
    </row>
    <row r="266" spans="1:22" ht="15.6" x14ac:dyDescent="0.3">
      <c r="A266" s="302"/>
      <c r="B266" s="272"/>
      <c r="C266" s="272"/>
      <c r="D266" s="272"/>
      <c r="E266" s="272"/>
      <c r="F266" s="272"/>
      <c r="G266" s="272"/>
      <c r="H266" s="390"/>
      <c r="I266" s="390"/>
      <c r="J266" s="390"/>
      <c r="K266" s="390"/>
      <c r="L266" s="390"/>
      <c r="M266" s="390"/>
      <c r="N266" s="390"/>
      <c r="O266" s="390"/>
      <c r="P266" s="317">
        <f>SUM(P257:P265)</f>
        <v>28</v>
      </c>
      <c r="Q266" s="388">
        <f>SUM(Q257:Q265)</f>
        <v>1</v>
      </c>
      <c r="R266" s="318">
        <f>SUM(R257:R265)</f>
        <v>3642</v>
      </c>
      <c r="S266" s="388">
        <f>SUM(S257:S265)</f>
        <v>1</v>
      </c>
      <c r="T266" s="272"/>
      <c r="U266" s="340"/>
      <c r="V266" s="5"/>
    </row>
    <row r="267" spans="1:22" ht="15.6" x14ac:dyDescent="0.3">
      <c r="A267" s="233"/>
      <c r="B267" s="268"/>
      <c r="C267" s="268"/>
      <c r="D267" s="268"/>
      <c r="E267" s="268"/>
      <c r="F267" s="268"/>
      <c r="G267" s="268"/>
      <c r="H267" s="391"/>
      <c r="I267" s="391"/>
      <c r="J267" s="391"/>
      <c r="K267" s="391"/>
      <c r="L267" s="391"/>
      <c r="M267" s="391"/>
      <c r="N267" s="391"/>
      <c r="O267" s="391"/>
      <c r="P267" s="333"/>
      <c r="Q267" s="392"/>
      <c r="R267" s="393"/>
      <c r="S267" s="392"/>
      <c r="T267" s="268"/>
      <c r="U267" s="314"/>
      <c r="V267" s="5"/>
    </row>
    <row r="268" spans="1:22" ht="15.6" x14ac:dyDescent="0.3">
      <c r="A268" s="263"/>
      <c r="B268" s="259" t="s">
        <v>179</v>
      </c>
      <c r="C268" s="264"/>
      <c r="D268" s="264"/>
      <c r="E268" s="264"/>
      <c r="F268" s="264"/>
      <c r="G268" s="264"/>
      <c r="H268" s="266"/>
      <c r="I268" s="266"/>
      <c r="J268" s="266"/>
      <c r="K268" s="266"/>
      <c r="L268" s="266"/>
      <c r="M268" s="266"/>
      <c r="N268" s="266"/>
      <c r="O268" s="266"/>
      <c r="P268" s="261" t="s">
        <v>108</v>
      </c>
      <c r="Q268" s="260" t="s">
        <v>109</v>
      </c>
      <c r="R268" s="261" t="s">
        <v>117</v>
      </c>
      <c r="S268" s="260" t="s">
        <v>109</v>
      </c>
      <c r="T268" s="264"/>
      <c r="U268" s="265"/>
      <c r="V268" s="5"/>
    </row>
    <row r="269" spans="1:22" ht="15.6" x14ac:dyDescent="0.3">
      <c r="A269" s="232"/>
      <c r="B269" s="231" t="s">
        <v>94</v>
      </c>
      <c r="C269" s="228"/>
      <c r="D269" s="228"/>
      <c r="E269" s="228"/>
      <c r="F269" s="228"/>
      <c r="G269" s="228"/>
      <c r="H269" s="251"/>
      <c r="I269" s="251"/>
      <c r="J269" s="251"/>
      <c r="K269" s="251"/>
      <c r="L269" s="251"/>
      <c r="M269" s="251"/>
      <c r="N269" s="251"/>
      <c r="O269" s="251"/>
      <c r="P269" s="231">
        <v>0</v>
      </c>
      <c r="Q269" s="250">
        <v>0</v>
      </c>
      <c r="R269" s="242">
        <v>0</v>
      </c>
      <c r="S269" s="250">
        <v>0</v>
      </c>
      <c r="T269" s="228"/>
      <c r="U269" s="194"/>
      <c r="V269" s="5"/>
    </row>
    <row r="270" spans="1:22" ht="15.6" x14ac:dyDescent="0.3">
      <c r="A270" s="302"/>
      <c r="B270" s="317" t="s">
        <v>95</v>
      </c>
      <c r="C270" s="272"/>
      <c r="D270" s="272"/>
      <c r="E270" s="272"/>
      <c r="F270" s="272"/>
      <c r="G270" s="272"/>
      <c r="H270" s="390"/>
      <c r="I270" s="390"/>
      <c r="J270" s="390"/>
      <c r="K270" s="390"/>
      <c r="L270" s="390"/>
      <c r="M270" s="390"/>
      <c r="N270" s="390"/>
      <c r="O270" s="390"/>
      <c r="P270" s="317">
        <v>0</v>
      </c>
      <c r="Q270" s="388">
        <v>0</v>
      </c>
      <c r="R270" s="318">
        <v>0</v>
      </c>
      <c r="S270" s="388">
        <v>0</v>
      </c>
      <c r="T270" s="272"/>
      <c r="U270" s="340"/>
      <c r="V270" s="5"/>
    </row>
    <row r="271" spans="1:22" ht="15.6" x14ac:dyDescent="0.3">
      <c r="A271" s="302"/>
      <c r="B271" s="317" t="s">
        <v>96</v>
      </c>
      <c r="C271" s="272"/>
      <c r="D271" s="272"/>
      <c r="E271" s="272"/>
      <c r="F271" s="272"/>
      <c r="G271" s="272"/>
      <c r="H271" s="390"/>
      <c r="I271" s="390"/>
      <c r="J271" s="390"/>
      <c r="K271" s="390"/>
      <c r="L271" s="390"/>
      <c r="M271" s="390"/>
      <c r="N271" s="390"/>
      <c r="O271" s="390"/>
      <c r="P271" s="317">
        <v>0</v>
      </c>
      <c r="Q271" s="388">
        <v>0</v>
      </c>
      <c r="R271" s="318">
        <v>0</v>
      </c>
      <c r="S271" s="388">
        <v>0</v>
      </c>
      <c r="T271" s="272"/>
      <c r="U271" s="340"/>
      <c r="V271" s="5"/>
    </row>
    <row r="272" spans="1:22" ht="15.6" x14ac:dyDescent="0.3">
      <c r="A272" s="302"/>
      <c r="B272" s="317" t="s">
        <v>171</v>
      </c>
      <c r="C272" s="272"/>
      <c r="D272" s="272"/>
      <c r="E272" s="272"/>
      <c r="F272" s="272"/>
      <c r="G272" s="272"/>
      <c r="H272" s="390"/>
      <c r="I272" s="390"/>
      <c r="J272" s="390"/>
      <c r="K272" s="390"/>
      <c r="L272" s="390"/>
      <c r="M272" s="390"/>
      <c r="N272" s="390"/>
      <c r="O272" s="390"/>
      <c r="P272" s="317">
        <v>0</v>
      </c>
      <c r="Q272" s="388">
        <v>0</v>
      </c>
      <c r="R272" s="318">
        <v>0</v>
      </c>
      <c r="S272" s="388">
        <v>0</v>
      </c>
      <c r="T272" s="272"/>
      <c r="U272" s="340"/>
      <c r="V272" s="5"/>
    </row>
    <row r="273" spans="1:22" ht="15.6" x14ac:dyDescent="0.3">
      <c r="A273" s="302"/>
      <c r="B273" s="317" t="s">
        <v>172</v>
      </c>
      <c r="C273" s="272"/>
      <c r="D273" s="272"/>
      <c r="E273" s="272"/>
      <c r="F273" s="272"/>
      <c r="G273" s="272"/>
      <c r="H273" s="390"/>
      <c r="I273" s="390"/>
      <c r="J273" s="390"/>
      <c r="K273" s="390"/>
      <c r="L273" s="390"/>
      <c r="M273" s="390"/>
      <c r="N273" s="390"/>
      <c r="O273" s="390"/>
      <c r="P273" s="317">
        <v>0</v>
      </c>
      <c r="Q273" s="388">
        <v>0</v>
      </c>
      <c r="R273" s="318">
        <v>0</v>
      </c>
      <c r="S273" s="388">
        <v>0</v>
      </c>
      <c r="T273" s="272"/>
      <c r="U273" s="340"/>
      <c r="V273" s="5"/>
    </row>
    <row r="274" spans="1:22" ht="15.6" x14ac:dyDescent="0.3">
      <c r="A274" s="302"/>
      <c r="B274" s="317" t="s">
        <v>173</v>
      </c>
      <c r="C274" s="272"/>
      <c r="D274" s="272"/>
      <c r="E274" s="272"/>
      <c r="F274" s="272"/>
      <c r="G274" s="272"/>
      <c r="H274" s="390"/>
      <c r="I274" s="390"/>
      <c r="J274" s="390"/>
      <c r="K274" s="390"/>
      <c r="L274" s="390"/>
      <c r="M274" s="390"/>
      <c r="N274" s="390"/>
      <c r="O274" s="390"/>
      <c r="P274" s="317">
        <v>0</v>
      </c>
      <c r="Q274" s="388">
        <v>0</v>
      </c>
      <c r="R274" s="318">
        <v>0</v>
      </c>
      <c r="S274" s="388">
        <v>0</v>
      </c>
      <c r="T274" s="272"/>
      <c r="U274" s="340"/>
      <c r="V274" s="5"/>
    </row>
    <row r="275" spans="1:22" ht="15.6" x14ac:dyDescent="0.3">
      <c r="A275" s="302"/>
      <c r="B275" s="317" t="s">
        <v>174</v>
      </c>
      <c r="C275" s="272"/>
      <c r="D275" s="272"/>
      <c r="E275" s="272"/>
      <c r="F275" s="272"/>
      <c r="G275" s="272"/>
      <c r="H275" s="390"/>
      <c r="I275" s="390"/>
      <c r="J275" s="390"/>
      <c r="K275" s="390"/>
      <c r="L275" s="390"/>
      <c r="M275" s="390"/>
      <c r="N275" s="390"/>
      <c r="O275" s="390"/>
      <c r="P275" s="317">
        <v>0</v>
      </c>
      <c r="Q275" s="388">
        <v>0</v>
      </c>
      <c r="R275" s="318">
        <v>0</v>
      </c>
      <c r="S275" s="388">
        <v>0</v>
      </c>
      <c r="T275" s="272"/>
      <c r="U275" s="340"/>
      <c r="V275" s="5"/>
    </row>
    <row r="276" spans="1:22" ht="15.6" x14ac:dyDescent="0.3">
      <c r="A276" s="302"/>
      <c r="B276" s="317" t="s">
        <v>175</v>
      </c>
      <c r="C276" s="272"/>
      <c r="D276" s="272"/>
      <c r="E276" s="272"/>
      <c r="F276" s="272"/>
      <c r="G276" s="272"/>
      <c r="H276" s="390"/>
      <c r="I276" s="390"/>
      <c r="J276" s="390"/>
      <c r="K276" s="390"/>
      <c r="L276" s="390"/>
      <c r="M276" s="390"/>
      <c r="N276" s="390"/>
      <c r="O276" s="390"/>
      <c r="P276" s="317">
        <v>0</v>
      </c>
      <c r="Q276" s="388">
        <v>0</v>
      </c>
      <c r="R276" s="318">
        <v>0</v>
      </c>
      <c r="S276" s="388">
        <v>0</v>
      </c>
      <c r="T276" s="272"/>
      <c r="U276" s="340"/>
      <c r="V276" s="5"/>
    </row>
    <row r="277" spans="1:22" ht="15.6" x14ac:dyDescent="0.3">
      <c r="A277" s="302"/>
      <c r="B277" s="317"/>
      <c r="C277" s="272"/>
      <c r="D277" s="272"/>
      <c r="E277" s="272"/>
      <c r="F277" s="272"/>
      <c r="G277" s="272"/>
      <c r="H277" s="390"/>
      <c r="I277" s="390"/>
      <c r="J277" s="390"/>
      <c r="K277" s="390"/>
      <c r="L277" s="390"/>
      <c r="M277" s="390"/>
      <c r="N277" s="390"/>
      <c r="O277" s="390"/>
      <c r="P277" s="317"/>
      <c r="Q277" s="388"/>
      <c r="R277" s="318"/>
      <c r="S277" s="388"/>
      <c r="T277" s="272"/>
      <c r="U277" s="340"/>
      <c r="V277" s="5"/>
    </row>
    <row r="278" spans="1:22" ht="15.6" x14ac:dyDescent="0.3">
      <c r="A278" s="302"/>
      <c r="B278" s="272" t="s">
        <v>123</v>
      </c>
      <c r="C278" s="272"/>
      <c r="D278" s="272"/>
      <c r="E278" s="272"/>
      <c r="F278" s="272"/>
      <c r="G278" s="272"/>
      <c r="H278" s="390"/>
      <c r="I278" s="390"/>
      <c r="J278" s="390"/>
      <c r="K278" s="390"/>
      <c r="L278" s="390"/>
      <c r="M278" s="390"/>
      <c r="N278" s="390"/>
      <c r="O278" s="390"/>
      <c r="P278" s="317">
        <f>SUM(P269:P276)</f>
        <v>0</v>
      </c>
      <c r="Q278" s="388">
        <f>SUM(Q269:Q276)</f>
        <v>0</v>
      </c>
      <c r="R278" s="318">
        <f>SUM(R269:R276)</f>
        <v>0</v>
      </c>
      <c r="S278" s="388">
        <f>SUM(S269:S276)</f>
        <v>0</v>
      </c>
      <c r="T278" s="272"/>
      <c r="U278" s="340"/>
      <c r="V278" s="5"/>
    </row>
    <row r="279" spans="1:22" ht="15.6" x14ac:dyDescent="0.3">
      <c r="A279" s="302"/>
      <c r="B279" s="272"/>
      <c r="C279" s="272"/>
      <c r="D279" s="272"/>
      <c r="E279" s="272"/>
      <c r="F279" s="272"/>
      <c r="G279" s="272"/>
      <c r="H279" s="390"/>
      <c r="I279" s="390"/>
      <c r="J279" s="390"/>
      <c r="K279" s="390"/>
      <c r="L279" s="390"/>
      <c r="M279" s="390"/>
      <c r="N279" s="390"/>
      <c r="O279" s="390"/>
      <c r="P279" s="317"/>
      <c r="Q279" s="388"/>
      <c r="R279" s="318"/>
      <c r="S279" s="388"/>
      <c r="T279" s="272"/>
      <c r="U279" s="340"/>
      <c r="V279" s="5"/>
    </row>
    <row r="280" spans="1:22" ht="15.6" x14ac:dyDescent="0.3">
      <c r="A280" s="302"/>
      <c r="B280" s="277" t="s">
        <v>180</v>
      </c>
      <c r="C280" s="272"/>
      <c r="D280" s="272"/>
      <c r="E280" s="272"/>
      <c r="F280" s="272"/>
      <c r="G280" s="272"/>
      <c r="H280" s="390"/>
      <c r="I280" s="390"/>
      <c r="J280" s="390"/>
      <c r="K280" s="390"/>
      <c r="L280" s="390"/>
      <c r="M280" s="390"/>
      <c r="N280" s="390"/>
      <c r="O280" s="390"/>
      <c r="P280" s="399">
        <f>+P254+P266+P278</f>
        <v>1921</v>
      </c>
      <c r="Q280" s="388"/>
      <c r="R280" s="396">
        <f>+R278+R266+R254</f>
        <v>233721</v>
      </c>
      <c r="S280" s="388"/>
      <c r="T280" s="272"/>
      <c r="U280" s="340"/>
      <c r="V280" s="5"/>
    </row>
    <row r="281" spans="1:22" ht="15.6" x14ac:dyDescent="0.3">
      <c r="A281" s="233"/>
      <c r="B281" s="268"/>
      <c r="C281" s="268"/>
      <c r="D281" s="268"/>
      <c r="E281" s="268"/>
      <c r="F281" s="268"/>
      <c r="G281" s="268"/>
      <c r="H281" s="391"/>
      <c r="I281" s="391"/>
      <c r="J281" s="391"/>
      <c r="K281" s="391"/>
      <c r="L281" s="391"/>
      <c r="M281" s="391"/>
      <c r="N281" s="391"/>
      <c r="O281" s="391"/>
      <c r="P281" s="391"/>
      <c r="Q281" s="391"/>
      <c r="R281" s="393"/>
      <c r="S281" s="391"/>
      <c r="T281" s="268"/>
      <c r="U281" s="314"/>
      <c r="V281" s="5"/>
    </row>
    <row r="282" spans="1:22" ht="15.6" x14ac:dyDescent="0.3">
      <c r="A282" s="233"/>
      <c r="B282" s="234"/>
      <c r="C282" s="234"/>
      <c r="D282" s="234"/>
      <c r="E282" s="234"/>
      <c r="F282" s="234"/>
      <c r="G282" s="234"/>
      <c r="H282" s="252"/>
      <c r="I282" s="252"/>
      <c r="J282" s="252"/>
      <c r="K282" s="252"/>
      <c r="L282" s="252"/>
      <c r="M282" s="252"/>
      <c r="N282" s="252"/>
      <c r="O282" s="252"/>
      <c r="P282" s="252"/>
      <c r="Q282" s="252"/>
      <c r="R282" s="253"/>
      <c r="S282" s="252"/>
      <c r="T282" s="234"/>
      <c r="U282" s="179"/>
      <c r="V282" s="5"/>
    </row>
    <row r="283" spans="1:22" ht="15.6" x14ac:dyDescent="0.3">
      <c r="A283" s="254"/>
      <c r="B283" s="220" t="s">
        <v>97</v>
      </c>
      <c r="C283" s="234"/>
      <c r="D283" s="234"/>
      <c r="E283" s="234"/>
      <c r="F283" s="225" t="s">
        <v>103</v>
      </c>
      <c r="G283" s="234"/>
      <c r="H283" s="220" t="s">
        <v>105</v>
      </c>
      <c r="I283" s="255"/>
      <c r="J283" s="255"/>
      <c r="K283" s="255"/>
      <c r="L283" s="255"/>
      <c r="M283" s="255"/>
      <c r="N283" s="255"/>
      <c r="O283" s="255"/>
      <c r="P283" s="255"/>
      <c r="Q283" s="255"/>
      <c r="R283" s="255"/>
      <c r="S283" s="255"/>
      <c r="T283" s="255"/>
      <c r="U283" s="192"/>
      <c r="V283" s="5"/>
    </row>
    <row r="284" spans="1:22" ht="15.6" x14ac:dyDescent="0.3">
      <c r="A284" s="254"/>
      <c r="B284" s="255"/>
      <c r="C284" s="234"/>
      <c r="D284" s="234"/>
      <c r="E284" s="234"/>
      <c r="F284" s="234"/>
      <c r="G284" s="234"/>
      <c r="H284" s="234"/>
      <c r="I284" s="255"/>
      <c r="J284" s="255"/>
      <c r="K284" s="255"/>
      <c r="L284" s="255"/>
      <c r="M284" s="255"/>
      <c r="N284" s="255"/>
      <c r="O284" s="255"/>
      <c r="P284" s="255"/>
      <c r="Q284" s="255"/>
      <c r="R284" s="255"/>
      <c r="S284" s="255"/>
      <c r="T284" s="255"/>
      <c r="U284" s="192"/>
      <c r="V284" s="5"/>
    </row>
    <row r="285" spans="1:22" ht="15.6" x14ac:dyDescent="0.3">
      <c r="A285" s="254"/>
      <c r="B285" s="220" t="s">
        <v>323</v>
      </c>
      <c r="C285" s="220"/>
      <c r="D285" s="220"/>
      <c r="E285" s="220"/>
      <c r="F285" s="256" t="s">
        <v>274</v>
      </c>
      <c r="G285" s="220"/>
      <c r="H285" s="220" t="s">
        <v>275</v>
      </c>
      <c r="I285" s="255"/>
      <c r="J285" s="255"/>
      <c r="K285" s="255"/>
      <c r="L285" s="255"/>
      <c r="M285" s="255"/>
      <c r="N285" s="255"/>
      <c r="O285" s="255"/>
      <c r="P285" s="255"/>
      <c r="Q285" s="255"/>
      <c r="R285" s="255"/>
      <c r="S285" s="255"/>
      <c r="T285" s="255"/>
      <c r="U285" s="192"/>
      <c r="V285" s="5"/>
    </row>
    <row r="286" spans="1:22" ht="15.6" x14ac:dyDescent="0.3">
      <c r="A286" s="254"/>
      <c r="B286" s="220" t="s">
        <v>324</v>
      </c>
      <c r="C286" s="220"/>
      <c r="D286" s="220"/>
      <c r="E286" s="220"/>
      <c r="F286" s="256" t="s">
        <v>158</v>
      </c>
      <c r="G286" s="220"/>
      <c r="H286" s="220" t="s">
        <v>168</v>
      </c>
      <c r="I286" s="255"/>
      <c r="J286" s="255"/>
      <c r="K286" s="255"/>
      <c r="L286" s="255"/>
      <c r="M286" s="255"/>
      <c r="N286" s="255"/>
      <c r="O286" s="255"/>
      <c r="P286" s="255"/>
      <c r="Q286" s="255"/>
      <c r="R286" s="255"/>
      <c r="S286" s="255"/>
      <c r="T286" s="255"/>
      <c r="U286" s="192"/>
      <c r="V286" s="5"/>
    </row>
    <row r="287" spans="1:22" ht="15.6" x14ac:dyDescent="0.3">
      <c r="A287" s="254"/>
      <c r="B287" s="220"/>
      <c r="C287" s="220"/>
      <c r="D287" s="220"/>
      <c r="E287" s="220"/>
      <c r="F287" s="220"/>
      <c r="G287" s="257"/>
      <c r="H287" s="255"/>
      <c r="I287" s="255"/>
      <c r="J287" s="255"/>
      <c r="K287" s="255"/>
      <c r="L287" s="255"/>
      <c r="M287" s="255"/>
      <c r="N287" s="255"/>
      <c r="O287" s="255"/>
      <c r="P287" s="255"/>
      <c r="Q287" s="255"/>
      <c r="R287" s="255"/>
      <c r="S287" s="255"/>
      <c r="T287" s="255"/>
      <c r="U287" s="192"/>
      <c r="V287" s="5"/>
    </row>
    <row r="288" spans="1:22" ht="15.6" x14ac:dyDescent="0.3">
      <c r="A288" s="216"/>
      <c r="B288" s="185"/>
      <c r="C288" s="185"/>
      <c r="D288" s="185"/>
      <c r="E288" s="185"/>
      <c r="F288" s="185"/>
      <c r="G288" s="217"/>
      <c r="H288" s="192"/>
      <c r="I288" s="192"/>
      <c r="J288" s="192"/>
      <c r="K288" s="192"/>
      <c r="L288" s="192"/>
      <c r="M288" s="192"/>
      <c r="N288" s="192"/>
      <c r="O288" s="192"/>
      <c r="P288" s="192"/>
      <c r="Q288" s="192"/>
      <c r="R288" s="192"/>
      <c r="S288" s="192"/>
      <c r="T288" s="192"/>
      <c r="U288" s="192"/>
      <c r="V288" s="5"/>
    </row>
    <row r="289" spans="1:22" ht="18" thickBot="1" x14ac:dyDescent="0.35">
      <c r="A289" s="216"/>
      <c r="B289" s="267" t="str">
        <f>B195</f>
        <v>PM9 INVESTOR REPORT QUARTER ENDING JULY 2017</v>
      </c>
      <c r="C289" s="185"/>
      <c r="D289" s="185"/>
      <c r="E289" s="185"/>
      <c r="F289" s="185"/>
      <c r="G289" s="217"/>
      <c r="H289" s="192"/>
      <c r="I289" s="192"/>
      <c r="J289" s="192"/>
      <c r="K289" s="192"/>
      <c r="L289" s="192"/>
      <c r="M289" s="192"/>
      <c r="N289" s="192"/>
      <c r="O289" s="192"/>
      <c r="P289" s="192"/>
      <c r="Q289" s="192"/>
      <c r="R289" s="192"/>
      <c r="S289" s="192"/>
      <c r="T289" s="192"/>
      <c r="U289" s="192"/>
      <c r="V289" s="5"/>
    </row>
    <row r="290" spans="1:22" x14ac:dyDescent="0.25">
      <c r="A290" s="101"/>
      <c r="B290" s="101"/>
      <c r="C290" s="101"/>
      <c r="D290" s="101"/>
      <c r="E290" s="101"/>
      <c r="F290" s="101"/>
      <c r="G290" s="101"/>
      <c r="H290" s="101"/>
      <c r="I290" s="101"/>
      <c r="J290" s="101"/>
      <c r="K290" s="101"/>
      <c r="L290" s="101"/>
      <c r="M290" s="101"/>
      <c r="N290" s="101"/>
      <c r="O290" s="101"/>
      <c r="P290" s="101"/>
      <c r="Q290" s="101"/>
      <c r="R290" s="101"/>
      <c r="S290" s="101"/>
      <c r="T290" s="101"/>
      <c r="U290" s="101"/>
    </row>
  </sheetData>
  <hyperlinks>
    <hyperlink ref="J9" r:id="rId1" xr:uid="{00000000-0004-0000-2F00-000000000000}"/>
    <hyperlink ref="N230" r:id="rId2" xr:uid="{00000000-0004-0000-2F00-000001000000}"/>
  </hyperlinks>
  <printOptions horizontalCentered="1" verticalCentered="1"/>
  <pageMargins left="0.19685039370078741" right="0.19685039370078741" top="0.27559055118110237" bottom="0.27559055118110237" header="0" footer="0"/>
  <pageSetup scale="41" orientation="landscape" r:id="rId3"/>
  <headerFooter alignWithMargins="0"/>
  <rowBreaks count="3" manualBreakCount="3">
    <brk id="61" max="20" man="1"/>
    <brk id="134" max="20" man="1"/>
    <brk id="195" max="20" man="1"/>
  </rowBreaks>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89CB31"/>
  </sheetPr>
  <dimension ref="A1:W290"/>
  <sheetViews>
    <sheetView showGridLines="0" showOutlineSymbols="0" zoomScale="70" zoomScaleNormal="70" workbookViewId="0"/>
  </sheetViews>
  <sheetFormatPr defaultColWidth="9.6328125" defaultRowHeight="15.6" x14ac:dyDescent="0.3"/>
  <cols>
    <col min="1" max="1" width="4" style="406" customWidth="1"/>
    <col min="2" max="2" width="71.1796875" style="406" customWidth="1"/>
    <col min="3" max="3" width="2.1796875" style="406" customWidth="1"/>
    <col min="4" max="4" width="19.36328125" style="406" customWidth="1"/>
    <col min="5" max="5" width="2.1796875" style="406" customWidth="1"/>
    <col min="6" max="6" width="25.08984375" style="406" customWidth="1"/>
    <col min="7" max="7" width="2.1796875" style="406" customWidth="1"/>
    <col min="8" max="8" width="16.1796875" style="406" customWidth="1"/>
    <col min="9" max="9" width="2.1796875" style="406" customWidth="1"/>
    <col min="10" max="10" width="17.90625" style="406" customWidth="1"/>
    <col min="11" max="11" width="2.36328125" style="406" customWidth="1"/>
    <col min="12" max="12" width="14.90625" style="406" customWidth="1"/>
    <col min="13" max="13" width="2.36328125" style="406" customWidth="1"/>
    <col min="14" max="14" width="15.54296875" style="406" customWidth="1"/>
    <col min="15" max="15" width="2.1796875" style="406" customWidth="1"/>
    <col min="16" max="16" width="15.54296875" style="406" customWidth="1"/>
    <col min="17" max="18" width="12.6328125" style="406" customWidth="1"/>
    <col min="19" max="19" width="9.6328125" style="406" customWidth="1"/>
    <col min="20" max="20" width="14.6328125" style="406" customWidth="1"/>
    <col min="21" max="21" width="11.81640625" style="406" customWidth="1"/>
    <col min="22" max="16384" width="9.6328125" style="406"/>
  </cols>
  <sheetData>
    <row r="1" spans="1:22" ht="21" x14ac:dyDescent="0.4">
      <c r="A1" s="403"/>
      <c r="B1" s="602" t="s">
        <v>181</v>
      </c>
      <c r="C1" s="404" t="s">
        <v>263</v>
      </c>
      <c r="D1" s="404"/>
      <c r="E1" s="404"/>
      <c r="F1" s="404"/>
      <c r="G1" s="404"/>
      <c r="H1" s="404"/>
      <c r="I1" s="404"/>
      <c r="J1" s="404"/>
      <c r="K1" s="404"/>
      <c r="L1" s="404"/>
      <c r="M1" s="404"/>
      <c r="N1" s="404"/>
      <c r="O1" s="404"/>
      <c r="P1" s="404"/>
      <c r="Q1" s="404"/>
      <c r="R1" s="404"/>
      <c r="S1" s="404"/>
      <c r="T1" s="404"/>
      <c r="U1" s="404"/>
      <c r="V1" s="405"/>
    </row>
    <row r="2" spans="1:22" x14ac:dyDescent="0.3">
      <c r="A2" s="407"/>
      <c r="B2" s="408"/>
      <c r="C2" s="409"/>
      <c r="D2" s="409"/>
      <c r="E2" s="409"/>
      <c r="F2" s="409"/>
      <c r="G2" s="409"/>
      <c r="H2" s="409"/>
      <c r="I2" s="409"/>
      <c r="J2" s="409"/>
      <c r="K2" s="409"/>
      <c r="L2" s="409"/>
      <c r="M2" s="409"/>
      <c r="N2" s="409"/>
      <c r="O2" s="409"/>
      <c r="P2" s="409"/>
      <c r="Q2" s="409"/>
      <c r="R2" s="409"/>
      <c r="S2" s="409"/>
      <c r="T2" s="409"/>
      <c r="U2" s="409"/>
      <c r="V2" s="405"/>
    </row>
    <row r="3" spans="1:22" x14ac:dyDescent="0.3">
      <c r="A3" s="410"/>
      <c r="B3" s="411" t="s">
        <v>182</v>
      </c>
      <c r="C3" s="409"/>
      <c r="D3" s="409"/>
      <c r="E3" s="409"/>
      <c r="F3" s="409"/>
      <c r="G3" s="409"/>
      <c r="H3" s="409"/>
      <c r="I3" s="409"/>
      <c r="J3" s="409"/>
      <c r="K3" s="409"/>
      <c r="L3" s="409"/>
      <c r="M3" s="409"/>
      <c r="N3" s="409"/>
      <c r="O3" s="409"/>
      <c r="P3" s="409"/>
      <c r="Q3" s="409"/>
      <c r="R3" s="409"/>
      <c r="S3" s="409"/>
      <c r="T3" s="409"/>
      <c r="U3" s="409"/>
      <c r="V3" s="405"/>
    </row>
    <row r="4" spans="1:22" x14ac:dyDescent="0.3">
      <c r="A4" s="407"/>
      <c r="B4" s="408"/>
      <c r="C4" s="409"/>
      <c r="D4" s="409"/>
      <c r="E4" s="409"/>
      <c r="F4" s="409"/>
      <c r="G4" s="409"/>
      <c r="H4" s="409"/>
      <c r="I4" s="409"/>
      <c r="J4" s="409"/>
      <c r="K4" s="409"/>
      <c r="L4" s="409"/>
      <c r="M4" s="409"/>
      <c r="N4" s="409"/>
      <c r="O4" s="409"/>
      <c r="P4" s="409"/>
      <c r="Q4" s="409"/>
      <c r="R4" s="409"/>
      <c r="S4" s="409"/>
      <c r="T4" s="409"/>
      <c r="U4" s="409"/>
      <c r="V4" s="405"/>
    </row>
    <row r="5" spans="1:22" x14ac:dyDescent="0.3">
      <c r="A5" s="407"/>
      <c r="B5" s="601" t="s">
        <v>146</v>
      </c>
      <c r="C5" s="409"/>
      <c r="D5" s="409"/>
      <c r="E5" s="409"/>
      <c r="F5" s="409"/>
      <c r="G5" s="409"/>
      <c r="H5" s="409"/>
      <c r="I5" s="409"/>
      <c r="J5" s="409"/>
      <c r="K5" s="409"/>
      <c r="L5" s="409"/>
      <c r="M5" s="409"/>
      <c r="N5" s="409"/>
      <c r="O5" s="409"/>
      <c r="P5" s="409"/>
      <c r="Q5" s="409"/>
      <c r="R5" s="409"/>
      <c r="S5" s="409"/>
      <c r="T5" s="409"/>
      <c r="U5" s="409"/>
      <c r="V5" s="405"/>
    </row>
    <row r="6" spans="1:22" x14ac:dyDescent="0.3">
      <c r="A6" s="407"/>
      <c r="B6" s="601" t="s">
        <v>148</v>
      </c>
      <c r="C6" s="409"/>
      <c r="D6" s="409"/>
      <c r="E6" s="409"/>
      <c r="F6" s="409"/>
      <c r="G6" s="409"/>
      <c r="H6" s="409"/>
      <c r="I6" s="409"/>
      <c r="J6" s="409"/>
      <c r="K6" s="409"/>
      <c r="L6" s="409"/>
      <c r="M6" s="409"/>
      <c r="N6" s="409"/>
      <c r="O6" s="409"/>
      <c r="P6" s="409"/>
      <c r="Q6" s="409"/>
      <c r="R6" s="409"/>
      <c r="S6" s="409"/>
      <c r="T6" s="409"/>
      <c r="U6" s="409"/>
      <c r="V6" s="405"/>
    </row>
    <row r="7" spans="1:22" x14ac:dyDescent="0.3">
      <c r="A7" s="407"/>
      <c r="B7" s="601" t="s">
        <v>147</v>
      </c>
      <c r="C7" s="409"/>
      <c r="D7" s="409"/>
      <c r="E7" s="409"/>
      <c r="F7" s="409"/>
      <c r="G7" s="409"/>
      <c r="H7" s="409"/>
      <c r="I7" s="409"/>
      <c r="J7" s="409"/>
      <c r="K7" s="409"/>
      <c r="L7" s="409"/>
      <c r="M7" s="409"/>
      <c r="N7" s="409"/>
      <c r="O7" s="409"/>
      <c r="P7" s="409"/>
      <c r="Q7" s="409"/>
      <c r="R7" s="409"/>
      <c r="S7" s="409"/>
      <c r="T7" s="409"/>
      <c r="U7" s="409"/>
      <c r="V7" s="405"/>
    </row>
    <row r="8" spans="1:22" x14ac:dyDescent="0.3">
      <c r="A8" s="407"/>
      <c r="B8" s="412"/>
      <c r="C8" s="409"/>
      <c r="D8" s="409"/>
      <c r="E8" s="409"/>
      <c r="F8" s="409"/>
      <c r="G8" s="409"/>
      <c r="H8" s="409"/>
      <c r="I8" s="409"/>
      <c r="J8" s="409"/>
      <c r="K8" s="409"/>
      <c r="L8" s="409"/>
      <c r="M8" s="409"/>
      <c r="N8" s="409"/>
      <c r="O8" s="409"/>
      <c r="P8" s="409"/>
      <c r="Q8" s="409"/>
      <c r="R8" s="409"/>
      <c r="S8" s="409"/>
      <c r="T8" s="409"/>
      <c r="U8" s="409"/>
      <c r="V8" s="405"/>
    </row>
    <row r="9" spans="1:22" ht="18" x14ac:dyDescent="0.35">
      <c r="A9" s="407"/>
      <c r="B9" s="413" t="s">
        <v>206</v>
      </c>
      <c r="C9" s="409"/>
      <c r="D9" s="409"/>
      <c r="E9" s="409"/>
      <c r="F9" s="409"/>
      <c r="G9" s="409"/>
      <c r="H9" s="409"/>
      <c r="I9" s="409"/>
      <c r="J9" s="414" t="s">
        <v>347</v>
      </c>
      <c r="K9" s="409"/>
      <c r="L9" s="409"/>
      <c r="M9" s="409"/>
      <c r="N9" s="409"/>
      <c r="O9" s="409"/>
      <c r="P9" s="409"/>
      <c r="Q9" s="409"/>
      <c r="R9" s="409"/>
      <c r="S9" s="409"/>
      <c r="T9" s="409"/>
      <c r="U9" s="409"/>
      <c r="V9" s="405"/>
    </row>
    <row r="10" spans="1:22" x14ac:dyDescent="0.3">
      <c r="A10" s="407"/>
      <c r="B10" s="412"/>
      <c r="C10" s="415"/>
      <c r="D10" s="415"/>
      <c r="E10" s="415"/>
      <c r="F10" s="409"/>
      <c r="G10" s="409"/>
      <c r="H10" s="409"/>
      <c r="I10" s="409"/>
      <c r="J10" s="409"/>
      <c r="K10" s="409"/>
      <c r="L10" s="409"/>
      <c r="M10" s="409"/>
      <c r="N10" s="409"/>
      <c r="O10" s="409"/>
      <c r="P10" s="409"/>
      <c r="Q10" s="409"/>
      <c r="R10" s="409"/>
      <c r="S10" s="409"/>
      <c r="T10" s="409"/>
      <c r="U10" s="409"/>
      <c r="V10" s="405"/>
    </row>
    <row r="11" spans="1:22" x14ac:dyDescent="0.3">
      <c r="A11" s="407"/>
      <c r="B11" s="545" t="s">
        <v>0</v>
      </c>
      <c r="C11" s="542"/>
      <c r="D11" s="542"/>
      <c r="E11" s="542"/>
      <c r="F11" s="542"/>
      <c r="G11" s="542"/>
      <c r="H11" s="542"/>
      <c r="I11" s="542"/>
      <c r="J11" s="542"/>
      <c r="K11" s="542"/>
      <c r="L11" s="542"/>
      <c r="M11" s="542"/>
      <c r="N11" s="542"/>
      <c r="O11" s="542"/>
      <c r="P11" s="542"/>
      <c r="Q11" s="542"/>
      <c r="R11" s="542"/>
      <c r="S11" s="542"/>
      <c r="T11" s="542"/>
      <c r="U11" s="409"/>
      <c r="V11" s="405"/>
    </row>
    <row r="12" spans="1:22" ht="16.2" thickBot="1" x14ac:dyDescent="0.35">
      <c r="A12" s="407"/>
      <c r="B12" s="545"/>
      <c r="C12" s="542"/>
      <c r="D12" s="542"/>
      <c r="E12" s="542"/>
      <c r="F12" s="542"/>
      <c r="G12" s="542"/>
      <c r="H12" s="542"/>
      <c r="I12" s="542"/>
      <c r="J12" s="542"/>
      <c r="K12" s="542"/>
      <c r="L12" s="542"/>
      <c r="M12" s="542"/>
      <c r="N12" s="542"/>
      <c r="O12" s="542"/>
      <c r="P12" s="542"/>
      <c r="Q12" s="542"/>
      <c r="R12" s="542"/>
      <c r="S12" s="542"/>
      <c r="T12" s="542"/>
      <c r="U12" s="409"/>
      <c r="V12" s="405"/>
    </row>
    <row r="13" spans="1:22" x14ac:dyDescent="0.3">
      <c r="A13" s="403"/>
      <c r="B13" s="593"/>
      <c r="C13" s="593"/>
      <c r="D13" s="593"/>
      <c r="E13" s="593"/>
      <c r="F13" s="593"/>
      <c r="G13" s="593"/>
      <c r="H13" s="593"/>
      <c r="I13" s="593"/>
      <c r="J13" s="593"/>
      <c r="K13" s="593"/>
      <c r="L13" s="593"/>
      <c r="M13" s="593"/>
      <c r="N13" s="593"/>
      <c r="O13" s="593"/>
      <c r="P13" s="593"/>
      <c r="Q13" s="593"/>
      <c r="R13" s="593"/>
      <c r="S13" s="593"/>
      <c r="T13" s="593"/>
      <c r="U13" s="404"/>
      <c r="V13" s="405"/>
    </row>
    <row r="14" spans="1:22" x14ac:dyDescent="0.3">
      <c r="A14" s="407"/>
      <c r="B14" s="545" t="s">
        <v>1</v>
      </c>
      <c r="C14" s="542"/>
      <c r="D14" s="542"/>
      <c r="E14" s="542"/>
      <c r="F14" s="542"/>
      <c r="G14" s="542"/>
      <c r="H14" s="542"/>
      <c r="I14" s="542"/>
      <c r="J14" s="542"/>
      <c r="K14" s="542"/>
      <c r="L14" s="542"/>
      <c r="M14" s="542"/>
      <c r="N14" s="542"/>
      <c r="O14" s="542"/>
      <c r="P14" s="542"/>
      <c r="Q14" s="542"/>
      <c r="R14" s="542"/>
      <c r="S14" s="542"/>
      <c r="T14" s="594" t="s">
        <v>183</v>
      </c>
      <c r="U14" s="416"/>
      <c r="V14" s="405"/>
    </row>
    <row r="15" spans="1:22" x14ac:dyDescent="0.3">
      <c r="A15" s="407"/>
      <c r="B15" s="545" t="s">
        <v>2</v>
      </c>
      <c r="C15" s="542"/>
      <c r="D15" s="542"/>
      <c r="E15" s="542"/>
      <c r="F15" s="542"/>
      <c r="G15" s="542"/>
      <c r="H15" s="595"/>
      <c r="I15" s="595"/>
      <c r="J15" s="595"/>
      <c r="K15" s="595"/>
      <c r="L15" s="595"/>
      <c r="M15" s="595"/>
      <c r="N15" s="595"/>
      <c r="O15" s="595"/>
      <c r="P15" s="595" t="s">
        <v>110</v>
      </c>
      <c r="Q15" s="596">
        <v>0.59430000000000005</v>
      </c>
      <c r="R15" s="546" t="s">
        <v>149</v>
      </c>
      <c r="S15" s="596">
        <v>0.40570000000000001</v>
      </c>
      <c r="T15" s="594"/>
      <c r="U15" s="416"/>
      <c r="V15" s="405"/>
    </row>
    <row r="16" spans="1:22" x14ac:dyDescent="0.3">
      <c r="A16" s="407"/>
      <c r="B16" s="545" t="s">
        <v>3</v>
      </c>
      <c r="C16" s="542"/>
      <c r="D16" s="542"/>
      <c r="E16" s="542"/>
      <c r="F16" s="542"/>
      <c r="G16" s="542"/>
      <c r="H16" s="595"/>
      <c r="I16" s="595"/>
      <c r="J16" s="595"/>
      <c r="K16" s="595"/>
      <c r="L16" s="595"/>
      <c r="M16" s="595"/>
      <c r="N16" s="595"/>
      <c r="O16" s="595"/>
      <c r="P16" s="595" t="s">
        <v>110</v>
      </c>
      <c r="Q16" s="596">
        <v>0.73029999999999995</v>
      </c>
      <c r="R16" s="546" t="s">
        <v>149</v>
      </c>
      <c r="S16" s="596">
        <v>0.2697</v>
      </c>
      <c r="T16" s="594"/>
      <c r="U16" s="416"/>
      <c r="V16" s="405"/>
    </row>
    <row r="17" spans="1:22" x14ac:dyDescent="0.3">
      <c r="A17" s="407"/>
      <c r="B17" s="545" t="s">
        <v>4</v>
      </c>
      <c r="C17" s="542"/>
      <c r="D17" s="542"/>
      <c r="E17" s="542"/>
      <c r="F17" s="542"/>
      <c r="G17" s="542"/>
      <c r="H17" s="542"/>
      <c r="I17" s="542"/>
      <c r="J17" s="542"/>
      <c r="K17" s="542"/>
      <c r="L17" s="542"/>
      <c r="M17" s="542"/>
      <c r="N17" s="542"/>
      <c r="O17" s="542"/>
      <c r="P17" s="542"/>
      <c r="Q17" s="597"/>
      <c r="R17" s="542"/>
      <c r="S17" s="542"/>
      <c r="T17" s="598">
        <v>38552</v>
      </c>
      <c r="U17" s="416"/>
      <c r="V17" s="405"/>
    </row>
    <row r="18" spans="1:22" x14ac:dyDescent="0.3">
      <c r="A18" s="407"/>
      <c r="B18" s="545" t="s">
        <v>5</v>
      </c>
      <c r="C18" s="542"/>
      <c r="D18" s="542"/>
      <c r="E18" s="542"/>
      <c r="F18" s="542"/>
      <c r="G18" s="542"/>
      <c r="H18" s="542"/>
      <c r="I18" s="542"/>
      <c r="J18" s="542"/>
      <c r="K18" s="542"/>
      <c r="L18" s="542"/>
      <c r="M18" s="542"/>
      <c r="N18" s="542"/>
      <c r="O18" s="542"/>
      <c r="P18" s="542"/>
      <c r="Q18" s="542"/>
      <c r="R18" s="542"/>
      <c r="S18" s="542"/>
      <c r="T18" s="598">
        <v>43055</v>
      </c>
      <c r="U18" s="416"/>
      <c r="V18" s="405"/>
    </row>
    <row r="19" spans="1:22" x14ac:dyDescent="0.3">
      <c r="A19" s="407"/>
      <c r="B19" s="542"/>
      <c r="C19" s="542"/>
      <c r="D19" s="542"/>
      <c r="E19" s="542"/>
      <c r="F19" s="542"/>
      <c r="G19" s="542"/>
      <c r="H19" s="542"/>
      <c r="I19" s="542"/>
      <c r="J19" s="542"/>
      <c r="K19" s="542"/>
      <c r="L19" s="542"/>
      <c r="M19" s="542"/>
      <c r="N19" s="542"/>
      <c r="O19" s="542"/>
      <c r="P19" s="542"/>
      <c r="Q19" s="542"/>
      <c r="R19" s="542"/>
      <c r="S19" s="542"/>
      <c r="T19" s="599"/>
      <c r="U19" s="409"/>
      <c r="V19" s="405"/>
    </row>
    <row r="20" spans="1:22" x14ac:dyDescent="0.3">
      <c r="A20" s="407"/>
      <c r="B20" s="600" t="s">
        <v>6</v>
      </c>
      <c r="C20" s="542"/>
      <c r="D20" s="542"/>
      <c r="E20" s="542"/>
      <c r="F20" s="542"/>
      <c r="G20" s="542"/>
      <c r="H20" s="542"/>
      <c r="I20" s="542"/>
      <c r="J20" s="542"/>
      <c r="K20" s="542"/>
      <c r="L20" s="542"/>
      <c r="M20" s="542"/>
      <c r="N20" s="542"/>
      <c r="O20" s="542"/>
      <c r="P20" s="542"/>
      <c r="Q20" s="542"/>
      <c r="R20" s="599" t="s">
        <v>111</v>
      </c>
      <c r="S20" s="542"/>
      <c r="T20" s="542"/>
      <c r="U20" s="409"/>
      <c r="V20" s="405"/>
    </row>
    <row r="21" spans="1:22" x14ac:dyDescent="0.3">
      <c r="A21" s="407"/>
      <c r="B21" s="409"/>
      <c r="C21" s="409"/>
      <c r="D21" s="409"/>
      <c r="E21" s="409"/>
      <c r="F21" s="409"/>
      <c r="G21" s="409"/>
      <c r="H21" s="409"/>
      <c r="I21" s="409"/>
      <c r="J21" s="409"/>
      <c r="K21" s="409"/>
      <c r="L21" s="409"/>
      <c r="M21" s="409"/>
      <c r="N21" s="409"/>
      <c r="O21" s="409"/>
      <c r="P21" s="409"/>
      <c r="Q21" s="409"/>
      <c r="R21" s="409"/>
      <c r="S21" s="409"/>
      <c r="T21" s="417"/>
      <c r="U21" s="409"/>
      <c r="V21" s="405"/>
    </row>
    <row r="22" spans="1:22" x14ac:dyDescent="0.3">
      <c r="A22" s="503"/>
      <c r="B22" s="608"/>
      <c r="C22" s="609"/>
      <c r="D22" s="609" t="s">
        <v>185</v>
      </c>
      <c r="E22" s="609"/>
      <c r="F22" s="609" t="s">
        <v>186</v>
      </c>
      <c r="G22" s="609"/>
      <c r="H22" s="609" t="s">
        <v>187</v>
      </c>
      <c r="I22" s="609"/>
      <c r="J22" s="609" t="s">
        <v>188</v>
      </c>
      <c r="K22" s="609"/>
      <c r="L22" s="609" t="s">
        <v>189</v>
      </c>
      <c r="M22" s="609"/>
      <c r="N22" s="609" t="s">
        <v>190</v>
      </c>
      <c r="O22" s="609"/>
      <c r="P22" s="609" t="s">
        <v>191</v>
      </c>
      <c r="Q22" s="610"/>
      <c r="R22" s="610"/>
      <c r="S22" s="608"/>
      <c r="T22" s="608"/>
      <c r="U22" s="611"/>
      <c r="V22" s="405"/>
    </row>
    <row r="23" spans="1:22" x14ac:dyDescent="0.3">
      <c r="A23" s="604"/>
      <c r="B23" s="605" t="s">
        <v>7</v>
      </c>
      <c r="C23" s="606"/>
      <c r="D23" s="606" t="s">
        <v>150</v>
      </c>
      <c r="E23" s="606"/>
      <c r="F23" s="606" t="s">
        <v>150</v>
      </c>
      <c r="G23" s="606"/>
      <c r="H23" s="606" t="s">
        <v>150</v>
      </c>
      <c r="I23" s="606"/>
      <c r="J23" s="606" t="s">
        <v>192</v>
      </c>
      <c r="K23" s="606"/>
      <c r="L23" s="606" t="s">
        <v>192</v>
      </c>
      <c r="M23" s="606"/>
      <c r="N23" s="606" t="s">
        <v>151</v>
      </c>
      <c r="O23" s="606"/>
      <c r="P23" s="606" t="s">
        <v>151</v>
      </c>
      <c r="Q23" s="606"/>
      <c r="R23" s="606"/>
      <c r="S23" s="605"/>
      <c r="T23" s="605"/>
      <c r="U23" s="607"/>
      <c r="V23" s="405"/>
    </row>
    <row r="24" spans="1:22" x14ac:dyDescent="0.3">
      <c r="A24" s="418"/>
      <c r="B24" s="532" t="s">
        <v>8</v>
      </c>
      <c r="C24" s="582"/>
      <c r="D24" s="582" t="s">
        <v>152</v>
      </c>
      <c r="E24" s="582"/>
      <c r="F24" s="582" t="s">
        <v>152</v>
      </c>
      <c r="G24" s="582"/>
      <c r="H24" s="582" t="s">
        <v>152</v>
      </c>
      <c r="I24" s="582"/>
      <c r="J24" s="582" t="s">
        <v>193</v>
      </c>
      <c r="K24" s="582"/>
      <c r="L24" s="582" t="s">
        <v>193</v>
      </c>
      <c r="M24" s="582"/>
      <c r="N24" s="582" t="s">
        <v>153</v>
      </c>
      <c r="O24" s="582"/>
      <c r="P24" s="582" t="s">
        <v>153</v>
      </c>
      <c r="Q24" s="582"/>
      <c r="R24" s="582"/>
      <c r="S24" s="532"/>
      <c r="T24" s="532"/>
      <c r="U24" s="420"/>
      <c r="V24" s="405"/>
    </row>
    <row r="25" spans="1:22" x14ac:dyDescent="0.3">
      <c r="A25" s="421"/>
      <c r="B25" s="536" t="s">
        <v>9</v>
      </c>
      <c r="C25" s="583"/>
      <c r="D25" s="583" t="s">
        <v>329</v>
      </c>
      <c r="E25" s="583"/>
      <c r="F25" s="583" t="s">
        <v>329</v>
      </c>
      <c r="G25" s="583"/>
      <c r="H25" s="583" t="s">
        <v>329</v>
      </c>
      <c r="I25" s="583"/>
      <c r="J25" s="583" t="s">
        <v>192</v>
      </c>
      <c r="K25" s="583"/>
      <c r="L25" s="583" t="s">
        <v>192</v>
      </c>
      <c r="M25" s="583"/>
      <c r="N25" s="583" t="s">
        <v>340</v>
      </c>
      <c r="O25" s="583"/>
      <c r="P25" s="583" t="s">
        <v>340</v>
      </c>
      <c r="Q25" s="583"/>
      <c r="R25" s="582"/>
      <c r="S25" s="532"/>
      <c r="T25" s="532"/>
      <c r="U25" s="420"/>
      <c r="V25" s="405"/>
    </row>
    <row r="26" spans="1:22" x14ac:dyDescent="0.3">
      <c r="A26" s="421"/>
      <c r="B26" s="536" t="s">
        <v>10</v>
      </c>
      <c r="C26" s="583"/>
      <c r="D26" s="583" t="s">
        <v>339</v>
      </c>
      <c r="E26" s="583"/>
      <c r="F26" s="583" t="s">
        <v>339</v>
      </c>
      <c r="G26" s="583"/>
      <c r="H26" s="583" t="s">
        <v>339</v>
      </c>
      <c r="I26" s="583"/>
      <c r="J26" s="583" t="s">
        <v>339</v>
      </c>
      <c r="K26" s="583"/>
      <c r="L26" s="583" t="s">
        <v>339</v>
      </c>
      <c r="M26" s="583"/>
      <c r="N26" s="583" t="s">
        <v>314</v>
      </c>
      <c r="O26" s="583"/>
      <c r="P26" s="583" t="s">
        <v>314</v>
      </c>
      <c r="Q26" s="583"/>
      <c r="R26" s="582"/>
      <c r="S26" s="532"/>
      <c r="T26" s="532"/>
      <c r="U26" s="420"/>
      <c r="V26" s="405"/>
    </row>
    <row r="27" spans="1:22" x14ac:dyDescent="0.3">
      <c r="A27" s="418"/>
      <c r="B27" s="532" t="s">
        <v>11</v>
      </c>
      <c r="C27" s="582"/>
      <c r="D27" s="582" t="s">
        <v>194</v>
      </c>
      <c r="E27" s="582"/>
      <c r="F27" s="552" t="s">
        <v>195</v>
      </c>
      <c r="G27" s="582"/>
      <c r="H27" s="582" t="s">
        <v>196</v>
      </c>
      <c r="I27" s="582"/>
      <c r="J27" s="582" t="s">
        <v>198</v>
      </c>
      <c r="K27" s="582"/>
      <c r="L27" s="582" t="s">
        <v>199</v>
      </c>
      <c r="M27" s="582"/>
      <c r="N27" s="582" t="s">
        <v>200</v>
      </c>
      <c r="O27" s="582"/>
      <c r="P27" s="582" t="s">
        <v>201</v>
      </c>
      <c r="Q27" s="582"/>
      <c r="R27" s="552"/>
      <c r="S27" s="532"/>
      <c r="T27" s="532"/>
      <c r="U27" s="420"/>
      <c r="V27" s="405"/>
    </row>
    <row r="28" spans="1:22" x14ac:dyDescent="0.3">
      <c r="A28" s="418"/>
      <c r="B28" s="532" t="s">
        <v>11</v>
      </c>
      <c r="C28" s="582"/>
      <c r="D28" s="582" t="s">
        <v>127</v>
      </c>
      <c r="E28" s="582"/>
      <c r="F28" s="552" t="s">
        <v>127</v>
      </c>
      <c r="G28" s="582"/>
      <c r="H28" s="582" t="s">
        <v>197</v>
      </c>
      <c r="I28" s="582"/>
      <c r="J28" s="582" t="s">
        <v>127</v>
      </c>
      <c r="K28" s="582"/>
      <c r="L28" s="582" t="s">
        <v>127</v>
      </c>
      <c r="M28" s="582"/>
      <c r="N28" s="582" t="s">
        <v>127</v>
      </c>
      <c r="O28" s="582"/>
      <c r="P28" s="582" t="s">
        <v>127</v>
      </c>
      <c r="Q28" s="582"/>
      <c r="R28" s="552"/>
      <c r="S28" s="532"/>
      <c r="T28" s="532"/>
      <c r="U28" s="420"/>
      <c r="V28" s="405"/>
    </row>
    <row r="29" spans="1:22" x14ac:dyDescent="0.3">
      <c r="A29" s="418"/>
      <c r="B29" s="532" t="s">
        <v>142</v>
      </c>
      <c r="C29" s="584"/>
      <c r="D29" s="577">
        <v>346000</v>
      </c>
      <c r="E29" s="584"/>
      <c r="F29" s="585">
        <v>355000</v>
      </c>
      <c r="G29" s="577"/>
      <c r="H29" s="586">
        <v>60000</v>
      </c>
      <c r="I29" s="577"/>
      <c r="J29" s="577">
        <v>7000</v>
      </c>
      <c r="K29" s="577"/>
      <c r="L29" s="585">
        <v>29500</v>
      </c>
      <c r="M29" s="577"/>
      <c r="N29" s="587">
        <v>3000</v>
      </c>
      <c r="O29" s="577"/>
      <c r="P29" s="585">
        <v>66000</v>
      </c>
      <c r="Q29" s="577"/>
      <c r="R29" s="577"/>
      <c r="S29" s="584"/>
      <c r="T29" s="577"/>
      <c r="U29" s="423"/>
      <c r="V29" s="405"/>
    </row>
    <row r="30" spans="1:22" x14ac:dyDescent="0.3">
      <c r="A30" s="418"/>
      <c r="B30" s="532" t="s">
        <v>141</v>
      </c>
      <c r="C30" s="584"/>
      <c r="D30" s="577">
        <f>D29*D36</f>
        <v>101537.9212</v>
      </c>
      <c r="E30" s="584"/>
      <c r="F30" s="585">
        <f>F29*F36</f>
        <v>104179.08100000001</v>
      </c>
      <c r="G30" s="577"/>
      <c r="H30" s="586">
        <f>H29*H36</f>
        <v>17607.599999999999</v>
      </c>
      <c r="I30" s="577"/>
      <c r="J30" s="577">
        <f>J29*J36</f>
        <v>4674.4068000000007</v>
      </c>
      <c r="K30" s="577"/>
      <c r="L30" s="585">
        <f>L29*L36</f>
        <v>19699.285800000001</v>
      </c>
      <c r="M30" s="577"/>
      <c r="N30" s="587">
        <f>N29*N36</f>
        <v>2003.3172000000002</v>
      </c>
      <c r="O30" s="577"/>
      <c r="P30" s="585">
        <f>P29*P36</f>
        <v>44072.9784</v>
      </c>
      <c r="Q30" s="577"/>
      <c r="R30" s="577"/>
      <c r="S30" s="584"/>
      <c r="T30" s="577"/>
      <c r="U30" s="423"/>
      <c r="V30" s="405"/>
    </row>
    <row r="31" spans="1:22" x14ac:dyDescent="0.3">
      <c r="A31" s="421"/>
      <c r="B31" s="536" t="s">
        <v>143</v>
      </c>
      <c r="C31" s="588"/>
      <c r="D31" s="589">
        <f>D35*D29</f>
        <v>100450.72</v>
      </c>
      <c r="E31" s="588"/>
      <c r="F31" s="590">
        <f>F35*F29</f>
        <v>103063.6</v>
      </c>
      <c r="G31" s="589"/>
      <c r="H31" s="591">
        <f>H35*H29</f>
        <v>17419.067999999999</v>
      </c>
      <c r="I31" s="589"/>
      <c r="J31" s="589">
        <f>J35*J29</f>
        <v>4624.3554000000004</v>
      </c>
      <c r="K31" s="589"/>
      <c r="L31" s="590">
        <f>L35*L29</f>
        <v>19488.354900000002</v>
      </c>
      <c r="M31" s="589"/>
      <c r="N31" s="592">
        <f>N35*N29</f>
        <v>1981.8666000000001</v>
      </c>
      <c r="O31" s="589"/>
      <c r="P31" s="590">
        <f>P35*P29</f>
        <v>43601.065200000005</v>
      </c>
      <c r="Q31" s="589"/>
      <c r="R31" s="589"/>
      <c r="S31" s="588"/>
      <c r="T31" s="589"/>
      <c r="U31" s="423"/>
      <c r="V31" s="405"/>
    </row>
    <row r="32" spans="1:22" x14ac:dyDescent="0.3">
      <c r="A32" s="418"/>
      <c r="B32" s="532" t="s">
        <v>289</v>
      </c>
      <c r="C32" s="584"/>
      <c r="D32" s="577">
        <v>346000</v>
      </c>
      <c r="E32" s="584"/>
      <c r="F32" s="577">
        <v>244500</v>
      </c>
      <c r="G32" s="577"/>
      <c r="H32" s="577">
        <v>33900</v>
      </c>
      <c r="I32" s="577"/>
      <c r="J32" s="577">
        <v>7000</v>
      </c>
      <c r="K32" s="577"/>
      <c r="L32" s="577">
        <v>20300</v>
      </c>
      <c r="M32" s="577"/>
      <c r="N32" s="577">
        <v>3000</v>
      </c>
      <c r="O32" s="577"/>
      <c r="P32" s="577">
        <v>45300</v>
      </c>
      <c r="Q32" s="577"/>
      <c r="R32" s="577"/>
      <c r="S32" s="584"/>
      <c r="T32" s="577">
        <f>SUM(C32:P32)</f>
        <v>700000</v>
      </c>
      <c r="U32" s="423"/>
      <c r="V32" s="405"/>
    </row>
    <row r="33" spans="1:22" x14ac:dyDescent="0.3">
      <c r="A33" s="418"/>
      <c r="B33" s="532" t="s">
        <v>290</v>
      </c>
      <c r="C33" s="584"/>
      <c r="D33" s="577">
        <f>D32*D36</f>
        <v>101537.9212</v>
      </c>
      <c r="E33" s="584"/>
      <c r="F33" s="577">
        <f>F32*F36</f>
        <v>71751.507899999997</v>
      </c>
      <c r="G33" s="577"/>
      <c r="H33" s="577">
        <f>H32*H36</f>
        <v>9948.2939999999999</v>
      </c>
      <c r="I33" s="577"/>
      <c r="J33" s="577">
        <f>J32*J36</f>
        <v>4674.4068000000007</v>
      </c>
      <c r="K33" s="577"/>
      <c r="L33" s="577">
        <f>L32*L36</f>
        <v>13555.77972</v>
      </c>
      <c r="M33" s="577"/>
      <c r="N33" s="577">
        <f>N32*N36</f>
        <v>2003.3172000000002</v>
      </c>
      <c r="O33" s="577"/>
      <c r="P33" s="577">
        <f>P32*P36</f>
        <v>30250.089720000004</v>
      </c>
      <c r="Q33" s="577"/>
      <c r="R33" s="577"/>
      <c r="S33" s="584"/>
      <c r="T33" s="577">
        <f>SUM(C33:P33)</f>
        <v>233721.31653999997</v>
      </c>
      <c r="U33" s="423"/>
      <c r="V33" s="405"/>
    </row>
    <row r="34" spans="1:22" x14ac:dyDescent="0.3">
      <c r="A34" s="421"/>
      <c r="B34" s="536" t="s">
        <v>291</v>
      </c>
      <c r="C34" s="588"/>
      <c r="D34" s="589">
        <f>D35*D32</f>
        <v>100450.72</v>
      </c>
      <c r="E34" s="588"/>
      <c r="F34" s="589">
        <f>F35*F32</f>
        <v>70983.240000000005</v>
      </c>
      <c r="G34" s="589"/>
      <c r="H34" s="589">
        <f>H35*H32</f>
        <v>9841.7734200000014</v>
      </c>
      <c r="I34" s="589"/>
      <c r="J34" s="589">
        <f>J35*J32</f>
        <v>4624.3554000000004</v>
      </c>
      <c r="K34" s="589"/>
      <c r="L34" s="589">
        <f>L35*L32</f>
        <v>13410.630660000001</v>
      </c>
      <c r="M34" s="589"/>
      <c r="N34" s="589">
        <f>N35*N32</f>
        <v>1981.8666000000001</v>
      </c>
      <c r="O34" s="589"/>
      <c r="P34" s="589">
        <f>P35*P32</f>
        <v>29926.185660000003</v>
      </c>
      <c r="Q34" s="589"/>
      <c r="R34" s="589"/>
      <c r="S34" s="588"/>
      <c r="T34" s="589">
        <f>SUM(C34:P34)</f>
        <v>231218.77174000005</v>
      </c>
      <c r="U34" s="423"/>
      <c r="V34" s="405"/>
    </row>
    <row r="35" spans="1:22" x14ac:dyDescent="0.3">
      <c r="A35" s="421"/>
      <c r="B35" s="514" t="s">
        <v>139</v>
      </c>
      <c r="C35" s="515"/>
      <c r="D35" s="516">
        <v>0.29032000000000002</v>
      </c>
      <c r="E35" s="517"/>
      <c r="F35" s="516">
        <v>0.29032000000000002</v>
      </c>
      <c r="G35" s="516"/>
      <c r="H35" s="516">
        <v>0.29031780000000001</v>
      </c>
      <c r="I35" s="518"/>
      <c r="J35" s="516">
        <v>0.66062220000000005</v>
      </c>
      <c r="K35" s="516"/>
      <c r="L35" s="516">
        <v>0.66062220000000005</v>
      </c>
      <c r="M35" s="518"/>
      <c r="N35" s="516">
        <v>0.66062220000000005</v>
      </c>
      <c r="O35" s="516"/>
      <c r="P35" s="516">
        <v>0.66062220000000005</v>
      </c>
      <c r="Q35" s="424"/>
      <c r="R35" s="424"/>
      <c r="S35" s="425"/>
      <c r="T35" s="424"/>
      <c r="U35" s="426"/>
      <c r="V35" s="405"/>
    </row>
    <row r="36" spans="1:22" x14ac:dyDescent="0.3">
      <c r="A36" s="421"/>
      <c r="B36" s="514" t="s">
        <v>140</v>
      </c>
      <c r="C36" s="515"/>
      <c r="D36" s="516">
        <v>0.29346220000000001</v>
      </c>
      <c r="E36" s="517"/>
      <c r="F36" s="516">
        <v>0.29346220000000001</v>
      </c>
      <c r="G36" s="516"/>
      <c r="H36" s="516">
        <v>0.29346</v>
      </c>
      <c r="I36" s="518"/>
      <c r="J36" s="516">
        <v>0.66777240000000004</v>
      </c>
      <c r="K36" s="516"/>
      <c r="L36" s="516">
        <v>0.66777240000000004</v>
      </c>
      <c r="M36" s="518"/>
      <c r="N36" s="516">
        <v>0.66777240000000004</v>
      </c>
      <c r="O36" s="516"/>
      <c r="P36" s="516">
        <v>0.66777240000000004</v>
      </c>
      <c r="Q36" s="427"/>
      <c r="R36" s="427"/>
      <c r="S36" s="425"/>
      <c r="T36" s="424"/>
      <c r="U36" s="426"/>
      <c r="V36" s="405"/>
    </row>
    <row r="37" spans="1:22" x14ac:dyDescent="0.3">
      <c r="A37" s="428"/>
      <c r="B37" s="532" t="s">
        <v>12</v>
      </c>
      <c r="C37" s="532"/>
      <c r="D37" s="552" t="s">
        <v>166</v>
      </c>
      <c r="E37" s="532"/>
      <c r="F37" s="552" t="s">
        <v>166</v>
      </c>
      <c r="G37" s="552"/>
      <c r="H37" s="552" t="s">
        <v>166</v>
      </c>
      <c r="I37" s="552"/>
      <c r="J37" s="552" t="s">
        <v>204</v>
      </c>
      <c r="K37" s="552"/>
      <c r="L37" s="552" t="s">
        <v>204</v>
      </c>
      <c r="M37" s="552"/>
      <c r="N37" s="552" t="s">
        <v>205</v>
      </c>
      <c r="O37" s="552"/>
      <c r="P37" s="552" t="s">
        <v>205</v>
      </c>
      <c r="Q37" s="552"/>
      <c r="R37" s="552"/>
      <c r="S37" s="532"/>
      <c r="T37" s="532"/>
      <c r="U37" s="562"/>
      <c r="V37" s="405"/>
    </row>
    <row r="38" spans="1:22" x14ac:dyDescent="0.3">
      <c r="A38" s="428"/>
      <c r="B38" s="532" t="s">
        <v>13</v>
      </c>
      <c r="C38" s="532"/>
      <c r="D38" s="574">
        <v>6.3962999999999997E-3</v>
      </c>
      <c r="E38" s="532"/>
      <c r="F38" s="574">
        <v>3.1E-4</v>
      </c>
      <c r="G38" s="558"/>
      <c r="H38" s="574">
        <v>1.6750000000000001E-2</v>
      </c>
      <c r="I38" s="558"/>
      <c r="J38" s="574">
        <v>8.5962999999999994E-3</v>
      </c>
      <c r="K38" s="558"/>
      <c r="L38" s="574">
        <v>2.5100000000000001E-3</v>
      </c>
      <c r="M38" s="558"/>
      <c r="N38" s="574">
        <v>1.3196299999999999E-2</v>
      </c>
      <c r="O38" s="558"/>
      <c r="P38" s="574">
        <v>7.11E-3</v>
      </c>
      <c r="Q38" s="558"/>
      <c r="R38" s="574"/>
      <c r="S38" s="532"/>
      <c r="T38" s="558"/>
      <c r="U38" s="562"/>
      <c r="V38" s="405"/>
    </row>
    <row r="39" spans="1:22" x14ac:dyDescent="0.3">
      <c r="A39" s="428"/>
      <c r="B39" s="532" t="s">
        <v>14</v>
      </c>
      <c r="C39" s="532"/>
      <c r="D39" s="574">
        <v>6.7524999999999998E-3</v>
      </c>
      <c r="E39" s="532"/>
      <c r="F39" s="574">
        <v>3.1E-4</v>
      </c>
      <c r="G39" s="558"/>
      <c r="H39" s="574">
        <v>1.5417800000000001E-2</v>
      </c>
      <c r="I39" s="558"/>
      <c r="J39" s="574">
        <v>8.9525000000000004E-3</v>
      </c>
      <c r="K39" s="558"/>
      <c r="L39" s="574">
        <v>2.5100000000000001E-3</v>
      </c>
      <c r="M39" s="558"/>
      <c r="N39" s="574">
        <v>1.35525E-2</v>
      </c>
      <c r="O39" s="558"/>
      <c r="P39" s="574">
        <v>7.11E-3</v>
      </c>
      <c r="Q39" s="558"/>
      <c r="R39" s="574"/>
      <c r="S39" s="532"/>
      <c r="T39" s="532"/>
      <c r="U39" s="562"/>
      <c r="V39" s="405"/>
    </row>
    <row r="40" spans="1:22" x14ac:dyDescent="0.3">
      <c r="A40" s="428"/>
      <c r="B40" s="532" t="s">
        <v>292</v>
      </c>
      <c r="C40" s="532"/>
      <c r="D40" s="552" t="s">
        <v>166</v>
      </c>
      <c r="E40" s="532"/>
      <c r="F40" s="552" t="s">
        <v>209</v>
      </c>
      <c r="G40" s="552"/>
      <c r="H40" s="552" t="s">
        <v>210</v>
      </c>
      <c r="I40" s="552"/>
      <c r="J40" s="552" t="s">
        <v>204</v>
      </c>
      <c r="K40" s="552"/>
      <c r="L40" s="552" t="s">
        <v>211</v>
      </c>
      <c r="M40" s="552"/>
      <c r="N40" s="552" t="s">
        <v>205</v>
      </c>
      <c r="O40" s="552"/>
      <c r="P40" s="552" t="s">
        <v>212</v>
      </c>
      <c r="Q40" s="558"/>
      <c r="R40" s="574"/>
      <c r="S40" s="532"/>
      <c r="T40" s="558"/>
      <c r="U40" s="562"/>
      <c r="V40" s="405"/>
    </row>
    <row r="41" spans="1:22" x14ac:dyDescent="0.3">
      <c r="A41" s="428"/>
      <c r="B41" s="532" t="s">
        <v>293</v>
      </c>
      <c r="C41" s="532"/>
      <c r="D41" s="574">
        <f>+D38</f>
        <v>6.3962999999999997E-3</v>
      </c>
      <c r="E41" s="532"/>
      <c r="F41" s="574">
        <v>6.5963000000000003E-3</v>
      </c>
      <c r="G41" s="558"/>
      <c r="H41" s="574">
        <v>6.8563000000000001E-3</v>
      </c>
      <c r="I41" s="558"/>
      <c r="J41" s="574">
        <f>+J38</f>
        <v>8.5962999999999994E-3</v>
      </c>
      <c r="K41" s="558"/>
      <c r="L41" s="574">
        <v>9.1862999999999997E-3</v>
      </c>
      <c r="M41" s="558"/>
      <c r="N41" s="574">
        <f>+N38</f>
        <v>1.3196299999999999E-2</v>
      </c>
      <c r="O41" s="558"/>
      <c r="P41" s="574">
        <v>1.40763E-2</v>
      </c>
      <c r="Q41" s="558"/>
      <c r="R41" s="574"/>
      <c r="S41" s="532"/>
      <c r="T41" s="558">
        <f>SUMPRODUCT(D41:P41,D33:P33)/T33</f>
        <v>7.7353908790077633E-3</v>
      </c>
      <c r="U41" s="562"/>
      <c r="V41" s="405"/>
    </row>
    <row r="42" spans="1:22" x14ac:dyDescent="0.3">
      <c r="A42" s="428"/>
      <c r="B42" s="532" t="s">
        <v>294</v>
      </c>
      <c r="C42" s="532"/>
      <c r="D42" s="574">
        <f>+D39</f>
        <v>6.7524999999999998E-3</v>
      </c>
      <c r="E42" s="532"/>
      <c r="F42" s="574">
        <v>6.9525000000000003E-3</v>
      </c>
      <c r="G42" s="558"/>
      <c r="H42" s="574">
        <v>7.2125000000000002E-3</v>
      </c>
      <c r="I42" s="558"/>
      <c r="J42" s="574">
        <f>+J39</f>
        <v>8.9525000000000004E-3</v>
      </c>
      <c r="K42" s="558"/>
      <c r="L42" s="574">
        <v>9.5425000000000006E-3</v>
      </c>
      <c r="M42" s="558"/>
      <c r="N42" s="574">
        <f>+N39</f>
        <v>1.35525E-2</v>
      </c>
      <c r="O42" s="558"/>
      <c r="P42" s="574">
        <v>1.4432499999999999E-2</v>
      </c>
      <c r="Q42" s="558"/>
      <c r="R42" s="574"/>
      <c r="S42" s="532"/>
      <c r="T42" s="532"/>
      <c r="U42" s="562"/>
      <c r="V42" s="405"/>
    </row>
    <row r="43" spans="1:22" x14ac:dyDescent="0.3">
      <c r="A43" s="428"/>
      <c r="B43" s="532" t="s">
        <v>15</v>
      </c>
      <c r="C43" s="575"/>
      <c r="D43" s="575">
        <v>39948</v>
      </c>
      <c r="E43" s="575"/>
      <c r="F43" s="575">
        <v>39948</v>
      </c>
      <c r="G43" s="575"/>
      <c r="H43" s="575">
        <v>39948</v>
      </c>
      <c r="I43" s="575"/>
      <c r="J43" s="575">
        <v>39948</v>
      </c>
      <c r="K43" s="575"/>
      <c r="L43" s="575">
        <v>39948</v>
      </c>
      <c r="M43" s="575"/>
      <c r="N43" s="575">
        <v>39948</v>
      </c>
      <c r="O43" s="575"/>
      <c r="P43" s="575">
        <v>39948</v>
      </c>
      <c r="Q43" s="552"/>
      <c r="R43" s="552"/>
      <c r="S43" s="532"/>
      <c r="T43" s="532"/>
      <c r="U43" s="562"/>
      <c r="V43" s="405"/>
    </row>
    <row r="44" spans="1:22" x14ac:dyDescent="0.3">
      <c r="A44" s="428"/>
      <c r="B44" s="532" t="s">
        <v>16</v>
      </c>
      <c r="C44" s="575"/>
      <c r="D44" s="575">
        <v>40313</v>
      </c>
      <c r="E44" s="575"/>
      <c r="F44" s="575">
        <v>40313</v>
      </c>
      <c r="G44" s="575"/>
      <c r="H44" s="575">
        <v>40313</v>
      </c>
      <c r="I44" s="552"/>
      <c r="J44" s="575">
        <v>40313</v>
      </c>
      <c r="K44" s="552"/>
      <c r="L44" s="575">
        <v>40313</v>
      </c>
      <c r="M44" s="552"/>
      <c r="N44" s="575">
        <v>40313</v>
      </c>
      <c r="O44" s="552"/>
      <c r="P44" s="575">
        <v>40313</v>
      </c>
      <c r="Q44" s="552"/>
      <c r="R44" s="552"/>
      <c r="S44" s="532"/>
      <c r="T44" s="532"/>
      <c r="U44" s="562"/>
      <c r="V44" s="405"/>
    </row>
    <row r="45" spans="1:22" x14ac:dyDescent="0.3">
      <c r="A45" s="428"/>
      <c r="B45" s="532" t="s">
        <v>128</v>
      </c>
      <c r="C45" s="532"/>
      <c r="D45" s="552" t="s">
        <v>166</v>
      </c>
      <c r="E45" s="532"/>
      <c r="F45" s="552" t="s">
        <v>166</v>
      </c>
      <c r="G45" s="552"/>
      <c r="H45" s="552" t="s">
        <v>166</v>
      </c>
      <c r="I45" s="552"/>
      <c r="J45" s="552" t="s">
        <v>204</v>
      </c>
      <c r="K45" s="552"/>
      <c r="L45" s="552" t="s">
        <v>204</v>
      </c>
      <c r="M45" s="552"/>
      <c r="N45" s="552" t="s">
        <v>205</v>
      </c>
      <c r="O45" s="552"/>
      <c r="P45" s="552" t="s">
        <v>205</v>
      </c>
      <c r="Q45" s="552"/>
      <c r="R45" s="552"/>
      <c r="S45" s="532"/>
      <c r="T45" s="532"/>
      <c r="U45" s="562"/>
      <c r="V45" s="405"/>
    </row>
    <row r="46" spans="1:22" x14ac:dyDescent="0.3">
      <c r="A46" s="428"/>
      <c r="B46" s="532" t="s">
        <v>295</v>
      </c>
      <c r="C46" s="532"/>
      <c r="D46" s="552" t="s">
        <v>166</v>
      </c>
      <c r="E46" s="532"/>
      <c r="F46" s="552" t="s">
        <v>209</v>
      </c>
      <c r="G46" s="552"/>
      <c r="H46" s="552" t="s">
        <v>210</v>
      </c>
      <c r="I46" s="552"/>
      <c r="J46" s="552" t="s">
        <v>204</v>
      </c>
      <c r="K46" s="552"/>
      <c r="L46" s="552" t="s">
        <v>211</v>
      </c>
      <c r="M46" s="552"/>
      <c r="N46" s="552" t="s">
        <v>205</v>
      </c>
      <c r="O46" s="552"/>
      <c r="P46" s="552" t="s">
        <v>212</v>
      </c>
      <c r="Q46" s="552"/>
      <c r="R46" s="552"/>
      <c r="S46" s="532"/>
      <c r="T46" s="532"/>
      <c r="U46" s="562"/>
      <c r="V46" s="405"/>
    </row>
    <row r="47" spans="1:22" x14ac:dyDescent="0.3">
      <c r="A47" s="428"/>
      <c r="B47" s="532"/>
      <c r="C47" s="532"/>
      <c r="D47" s="532"/>
      <c r="E47" s="532"/>
      <c r="F47" s="552"/>
      <c r="G47" s="552"/>
      <c r="H47" s="550"/>
      <c r="I47" s="550"/>
      <c r="J47" s="550"/>
      <c r="K47" s="550"/>
      <c r="L47" s="550"/>
      <c r="M47" s="550"/>
      <c r="N47" s="550"/>
      <c r="O47" s="550"/>
      <c r="P47" s="550"/>
      <c r="Q47" s="550"/>
      <c r="R47" s="550"/>
      <c r="S47" s="550"/>
      <c r="T47" s="550"/>
      <c r="U47" s="562"/>
      <c r="V47" s="405"/>
    </row>
    <row r="48" spans="1:22" x14ac:dyDescent="0.3">
      <c r="A48" s="428"/>
      <c r="B48" s="532" t="s">
        <v>224</v>
      </c>
      <c r="C48" s="532"/>
      <c r="D48" s="532"/>
      <c r="E48" s="532"/>
      <c r="F48" s="576"/>
      <c r="G48" s="532"/>
      <c r="H48" s="532"/>
      <c r="I48" s="532"/>
      <c r="J48" s="532"/>
      <c r="K48" s="532"/>
      <c r="L48" s="532"/>
      <c r="M48" s="532"/>
      <c r="N48" s="532"/>
      <c r="O48" s="532"/>
      <c r="P48" s="532"/>
      <c r="Q48" s="532"/>
      <c r="R48" s="532"/>
      <c r="S48" s="532"/>
      <c r="T48" s="558">
        <f>SUM(J32:P32)/SUM(D32:H32)</f>
        <v>0.1210762331838565</v>
      </c>
      <c r="U48" s="562"/>
      <c r="V48" s="405"/>
    </row>
    <row r="49" spans="1:23" x14ac:dyDescent="0.3">
      <c r="A49" s="428"/>
      <c r="B49" s="532" t="s">
        <v>225</v>
      </c>
      <c r="C49" s="532"/>
      <c r="D49" s="532"/>
      <c r="E49" s="532"/>
      <c r="F49" s="576"/>
      <c r="G49" s="532"/>
      <c r="H49" s="532"/>
      <c r="I49" s="532"/>
      <c r="J49" s="532"/>
      <c r="K49" s="532"/>
      <c r="L49" s="532"/>
      <c r="M49" s="532"/>
      <c r="N49" s="532"/>
      <c r="O49" s="532"/>
      <c r="P49" s="532"/>
      <c r="Q49" s="532"/>
      <c r="R49" s="532"/>
      <c r="S49" s="532"/>
      <c r="T49" s="558">
        <f>SUM(J34:P34)/SUM(D34:H34)</f>
        <v>0.27550868159659492</v>
      </c>
      <c r="U49" s="562"/>
      <c r="V49" s="405"/>
    </row>
    <row r="50" spans="1:23" x14ac:dyDescent="0.3">
      <c r="A50" s="428"/>
      <c r="B50" s="532" t="s">
        <v>226</v>
      </c>
      <c r="C50" s="532"/>
      <c r="D50" s="532"/>
      <c r="E50" s="532"/>
      <c r="F50" s="532"/>
      <c r="G50" s="532"/>
      <c r="H50" s="532"/>
      <c r="I50" s="532"/>
      <c r="J50" s="532"/>
      <c r="K50" s="532"/>
      <c r="L50" s="532"/>
      <c r="M50" s="532"/>
      <c r="N50" s="532"/>
      <c r="O50" s="532"/>
      <c r="P50" s="532"/>
      <c r="Q50" s="532"/>
      <c r="R50" s="552" t="s">
        <v>112</v>
      </c>
      <c r="S50" s="552" t="s">
        <v>118</v>
      </c>
      <c r="T50" s="577">
        <f>+T32/2-SUM(J32:P32)</f>
        <v>274400</v>
      </c>
      <c r="U50" s="562"/>
      <c r="V50" s="405"/>
    </row>
    <row r="51" spans="1:23" x14ac:dyDescent="0.3">
      <c r="A51" s="428"/>
      <c r="B51" s="532"/>
      <c r="C51" s="532"/>
      <c r="D51" s="532"/>
      <c r="E51" s="532"/>
      <c r="F51" s="532"/>
      <c r="G51" s="532"/>
      <c r="H51" s="532"/>
      <c r="I51" s="532"/>
      <c r="J51" s="532"/>
      <c r="K51" s="532"/>
      <c r="L51" s="532"/>
      <c r="M51" s="532"/>
      <c r="N51" s="532"/>
      <c r="O51" s="532"/>
      <c r="P51" s="532"/>
      <c r="Q51" s="532"/>
      <c r="R51" s="532" t="s">
        <v>284</v>
      </c>
      <c r="S51" s="532"/>
      <c r="T51" s="560"/>
      <c r="U51" s="562"/>
      <c r="V51" s="405"/>
    </row>
    <row r="52" spans="1:23" x14ac:dyDescent="0.3">
      <c r="A52" s="428"/>
      <c r="B52" s="532" t="s">
        <v>154</v>
      </c>
      <c r="C52" s="532"/>
      <c r="D52" s="532"/>
      <c r="E52" s="532"/>
      <c r="F52" s="532"/>
      <c r="G52" s="532"/>
      <c r="H52" s="532"/>
      <c r="I52" s="532"/>
      <c r="J52" s="532"/>
      <c r="K52" s="532"/>
      <c r="L52" s="532"/>
      <c r="M52" s="532"/>
      <c r="N52" s="532"/>
      <c r="O52" s="532"/>
      <c r="P52" s="532"/>
      <c r="Q52" s="532"/>
      <c r="R52" s="552"/>
      <c r="S52" s="552"/>
      <c r="T52" s="552" t="s">
        <v>120</v>
      </c>
      <c r="U52" s="562"/>
      <c r="V52" s="405"/>
    </row>
    <row r="53" spans="1:23" x14ac:dyDescent="0.3">
      <c r="A53" s="428"/>
      <c r="B53" s="536" t="s">
        <v>155</v>
      </c>
      <c r="C53" s="536"/>
      <c r="D53" s="536"/>
      <c r="E53" s="536"/>
      <c r="F53" s="536"/>
      <c r="G53" s="536"/>
      <c r="H53" s="536"/>
      <c r="I53" s="536"/>
      <c r="J53" s="536"/>
      <c r="K53" s="536"/>
      <c r="L53" s="536"/>
      <c r="M53" s="536"/>
      <c r="N53" s="536"/>
      <c r="O53" s="536"/>
      <c r="P53" s="536"/>
      <c r="Q53" s="536"/>
      <c r="R53" s="557"/>
      <c r="S53" s="557"/>
      <c r="T53" s="578">
        <v>43054</v>
      </c>
      <c r="U53" s="562"/>
      <c r="V53" s="405"/>
    </row>
    <row r="54" spans="1:23" x14ac:dyDescent="0.3">
      <c r="A54" s="428"/>
      <c r="B54" s="532" t="s">
        <v>130</v>
      </c>
      <c r="C54" s="532"/>
      <c r="D54" s="532"/>
      <c r="E54" s="532"/>
      <c r="F54" s="532"/>
      <c r="G54" s="532"/>
      <c r="H54" s="579"/>
      <c r="I54" s="579"/>
      <c r="J54" s="579"/>
      <c r="K54" s="579"/>
      <c r="L54" s="579"/>
      <c r="M54" s="579"/>
      <c r="N54" s="579"/>
      <c r="O54" s="579"/>
      <c r="P54" s="532">
        <f>+T54-R54+1</f>
        <v>92</v>
      </c>
      <c r="Q54" s="532"/>
      <c r="R54" s="580">
        <v>42870</v>
      </c>
      <c r="S54" s="581"/>
      <c r="T54" s="580">
        <v>42961</v>
      </c>
      <c r="U54" s="562"/>
      <c r="V54" s="405"/>
    </row>
    <row r="55" spans="1:23" x14ac:dyDescent="0.3">
      <c r="A55" s="428"/>
      <c r="B55" s="532" t="s">
        <v>131</v>
      </c>
      <c r="C55" s="532"/>
      <c r="D55" s="532"/>
      <c r="E55" s="532"/>
      <c r="F55" s="532"/>
      <c r="G55" s="532"/>
      <c r="H55" s="532"/>
      <c r="I55" s="532"/>
      <c r="J55" s="532"/>
      <c r="K55" s="532"/>
      <c r="L55" s="532"/>
      <c r="M55" s="532"/>
      <c r="N55" s="532"/>
      <c r="O55" s="532"/>
      <c r="P55" s="532">
        <f>+T55-R55+1</f>
        <v>92</v>
      </c>
      <c r="Q55" s="532"/>
      <c r="R55" s="580">
        <v>42962</v>
      </c>
      <c r="S55" s="581"/>
      <c r="T55" s="580">
        <v>43053</v>
      </c>
      <c r="U55" s="562"/>
      <c r="V55" s="405"/>
    </row>
    <row r="56" spans="1:23" x14ac:dyDescent="0.3">
      <c r="A56" s="428"/>
      <c r="B56" s="532" t="s">
        <v>213</v>
      </c>
      <c r="C56" s="532"/>
      <c r="D56" s="532"/>
      <c r="E56" s="532"/>
      <c r="F56" s="532"/>
      <c r="G56" s="532"/>
      <c r="H56" s="532"/>
      <c r="I56" s="532"/>
      <c r="J56" s="532"/>
      <c r="K56" s="532"/>
      <c r="L56" s="532"/>
      <c r="M56" s="532"/>
      <c r="N56" s="532"/>
      <c r="O56" s="532"/>
      <c r="P56" s="532"/>
      <c r="Q56" s="532"/>
      <c r="R56" s="580"/>
      <c r="S56" s="581"/>
      <c r="T56" s="580" t="s">
        <v>129</v>
      </c>
      <c r="U56" s="562"/>
      <c r="V56" s="405"/>
    </row>
    <row r="57" spans="1:23" x14ac:dyDescent="0.3">
      <c r="A57" s="428"/>
      <c r="B57" s="532" t="s">
        <v>227</v>
      </c>
      <c r="C57" s="532"/>
      <c r="D57" s="532"/>
      <c r="E57" s="532"/>
      <c r="F57" s="532"/>
      <c r="G57" s="532"/>
      <c r="H57" s="532"/>
      <c r="I57" s="532"/>
      <c r="J57" s="532"/>
      <c r="K57" s="532"/>
      <c r="L57" s="532"/>
      <c r="M57" s="532"/>
      <c r="N57" s="532"/>
      <c r="O57" s="532"/>
      <c r="P57" s="532"/>
      <c r="Q57" s="532"/>
      <c r="R57" s="580"/>
      <c r="S57" s="581"/>
      <c r="T57" s="580" t="s">
        <v>169</v>
      </c>
      <c r="U57" s="562"/>
      <c r="V57" s="405"/>
      <c r="W57" s="429"/>
    </row>
    <row r="58" spans="1:23" x14ac:dyDescent="0.3">
      <c r="A58" s="428"/>
      <c r="B58" s="532" t="s">
        <v>17</v>
      </c>
      <c r="C58" s="532"/>
      <c r="D58" s="532"/>
      <c r="E58" s="532"/>
      <c r="F58" s="532"/>
      <c r="G58" s="532"/>
      <c r="H58" s="532"/>
      <c r="I58" s="532"/>
      <c r="J58" s="532"/>
      <c r="K58" s="532"/>
      <c r="L58" s="532"/>
      <c r="M58" s="532"/>
      <c r="N58" s="532"/>
      <c r="O58" s="532"/>
      <c r="P58" s="532"/>
      <c r="Q58" s="532"/>
      <c r="R58" s="580"/>
      <c r="S58" s="581"/>
      <c r="T58" s="580">
        <v>43040</v>
      </c>
      <c r="U58" s="562"/>
      <c r="V58" s="405"/>
    </row>
    <row r="59" spans="1:23" x14ac:dyDescent="0.3">
      <c r="A59" s="430"/>
      <c r="B59" s="431"/>
      <c r="C59" s="431"/>
      <c r="D59" s="431"/>
      <c r="E59" s="431"/>
      <c r="F59" s="431"/>
      <c r="G59" s="431"/>
      <c r="H59" s="431"/>
      <c r="I59" s="431"/>
      <c r="J59" s="431"/>
      <c r="K59" s="431"/>
      <c r="L59" s="431"/>
      <c r="M59" s="431"/>
      <c r="N59" s="431"/>
      <c r="O59" s="431"/>
      <c r="P59" s="431"/>
      <c r="Q59" s="431"/>
      <c r="R59" s="432"/>
      <c r="S59" s="433"/>
      <c r="T59" s="432"/>
      <c r="U59" s="431"/>
      <c r="V59" s="405"/>
    </row>
    <row r="60" spans="1:23" x14ac:dyDescent="0.3">
      <c r="A60" s="430"/>
      <c r="B60" s="434"/>
      <c r="C60" s="434"/>
      <c r="D60" s="434"/>
      <c r="E60" s="434"/>
      <c r="F60" s="434"/>
      <c r="G60" s="434"/>
      <c r="H60" s="434"/>
      <c r="I60" s="434"/>
      <c r="J60" s="434"/>
      <c r="K60" s="434"/>
      <c r="L60" s="434"/>
      <c r="M60" s="434"/>
      <c r="N60" s="434"/>
      <c r="O60" s="434"/>
      <c r="P60" s="434"/>
      <c r="Q60" s="434"/>
      <c r="R60" s="435"/>
      <c r="S60" s="436"/>
      <c r="T60" s="435"/>
      <c r="U60" s="434"/>
      <c r="V60" s="405"/>
    </row>
    <row r="61" spans="1:23" ht="18.600000000000001" thickBot="1" x14ac:dyDescent="0.4">
      <c r="A61" s="437"/>
      <c r="B61" s="565" t="s">
        <v>350</v>
      </c>
      <c r="C61" s="438"/>
      <c r="D61" s="438"/>
      <c r="E61" s="438"/>
      <c r="F61" s="438"/>
      <c r="G61" s="438"/>
      <c r="H61" s="438"/>
      <c r="I61" s="438"/>
      <c r="J61" s="438"/>
      <c r="K61" s="438"/>
      <c r="L61" s="438"/>
      <c r="M61" s="438"/>
      <c r="N61" s="438"/>
      <c r="O61" s="438"/>
      <c r="P61" s="438"/>
      <c r="Q61" s="438"/>
      <c r="R61" s="438"/>
      <c r="S61" s="438"/>
      <c r="T61" s="439"/>
      <c r="U61" s="440"/>
      <c r="V61" s="405"/>
    </row>
    <row r="62" spans="1:23" x14ac:dyDescent="0.3">
      <c r="A62" s="503"/>
      <c r="B62" s="505" t="s">
        <v>18</v>
      </c>
      <c r="C62" s="504"/>
      <c r="D62" s="504"/>
      <c r="E62" s="504"/>
      <c r="F62" s="504"/>
      <c r="G62" s="504"/>
      <c r="H62" s="504"/>
      <c r="I62" s="504"/>
      <c r="J62" s="504"/>
      <c r="K62" s="504"/>
      <c r="L62" s="504"/>
      <c r="M62" s="504"/>
      <c r="N62" s="504"/>
      <c r="O62" s="504"/>
      <c r="P62" s="504"/>
      <c r="Q62" s="504"/>
      <c r="R62" s="504"/>
      <c r="S62" s="504"/>
      <c r="T62" s="506"/>
      <c r="U62" s="504"/>
      <c r="V62" s="405"/>
    </row>
    <row r="63" spans="1:23" x14ac:dyDescent="0.3">
      <c r="A63" s="407"/>
      <c r="B63" s="415"/>
      <c r="C63" s="409"/>
      <c r="D63" s="409"/>
      <c r="E63" s="409"/>
      <c r="F63" s="409"/>
      <c r="G63" s="409"/>
      <c r="H63" s="409"/>
      <c r="I63" s="409"/>
      <c r="J63" s="409"/>
      <c r="K63" s="409"/>
      <c r="L63" s="409"/>
      <c r="M63" s="409"/>
      <c r="N63" s="409"/>
      <c r="O63" s="409"/>
      <c r="P63" s="409"/>
      <c r="Q63" s="409"/>
      <c r="R63" s="409"/>
      <c r="S63" s="409"/>
      <c r="T63" s="441"/>
      <c r="U63" s="409"/>
      <c r="V63" s="405"/>
    </row>
    <row r="64" spans="1:23" ht="46.8" x14ac:dyDescent="0.3">
      <c r="A64" s="407"/>
      <c r="B64" s="519" t="s">
        <v>19</v>
      </c>
      <c r="C64" s="520"/>
      <c r="D64" s="520"/>
      <c r="E64" s="520"/>
      <c r="F64" s="520"/>
      <c r="G64" s="520"/>
      <c r="H64" s="520"/>
      <c r="I64" s="520"/>
      <c r="J64" s="520" t="s">
        <v>100</v>
      </c>
      <c r="K64" s="520"/>
      <c r="L64" s="520" t="s">
        <v>102</v>
      </c>
      <c r="M64" s="520"/>
      <c r="N64" s="520" t="s">
        <v>104</v>
      </c>
      <c r="O64" s="520"/>
      <c r="P64" s="520" t="s">
        <v>106</v>
      </c>
      <c r="Q64" s="520"/>
      <c r="R64" s="520" t="s">
        <v>113</v>
      </c>
      <c r="S64" s="520"/>
      <c r="T64" s="521" t="s">
        <v>121</v>
      </c>
      <c r="U64" s="442"/>
      <c r="V64" s="405"/>
    </row>
    <row r="65" spans="1:22" x14ac:dyDescent="0.3">
      <c r="A65" s="418"/>
      <c r="B65" s="532" t="s">
        <v>20</v>
      </c>
      <c r="C65" s="531"/>
      <c r="D65" s="531"/>
      <c r="E65" s="531"/>
      <c r="F65" s="531"/>
      <c r="G65" s="531"/>
      <c r="H65" s="531"/>
      <c r="I65" s="531"/>
      <c r="J65" s="531">
        <v>699958</v>
      </c>
      <c r="K65" s="531"/>
      <c r="L65" s="535">
        <v>233721</v>
      </c>
      <c r="M65" s="531"/>
      <c r="N65" s="531">
        <f>2502+351</f>
        <v>2853</v>
      </c>
      <c r="O65" s="531"/>
      <c r="P65" s="531">
        <v>351</v>
      </c>
      <c r="Q65" s="531"/>
      <c r="R65" s="531">
        <v>0</v>
      </c>
      <c r="S65" s="531"/>
      <c r="T65" s="535">
        <f>+L65-N65+P65-R65</f>
        <v>231219</v>
      </c>
      <c r="U65" s="420"/>
      <c r="V65" s="405"/>
    </row>
    <row r="66" spans="1:22" x14ac:dyDescent="0.3">
      <c r="A66" s="418"/>
      <c r="B66" s="532" t="s">
        <v>21</v>
      </c>
      <c r="C66" s="531"/>
      <c r="D66" s="531"/>
      <c r="E66" s="531"/>
      <c r="F66" s="531"/>
      <c r="G66" s="531"/>
      <c r="H66" s="531"/>
      <c r="I66" s="531"/>
      <c r="J66" s="531">
        <v>42</v>
      </c>
      <c r="K66" s="531"/>
      <c r="L66" s="535">
        <v>0</v>
      </c>
      <c r="M66" s="531"/>
      <c r="N66" s="531">
        <v>0</v>
      </c>
      <c r="O66" s="531"/>
      <c r="P66" s="531">
        <v>0</v>
      </c>
      <c r="Q66" s="531"/>
      <c r="R66" s="531">
        <v>0</v>
      </c>
      <c r="S66" s="531"/>
      <c r="T66" s="535">
        <f>+L66-N66</f>
        <v>0</v>
      </c>
      <c r="U66" s="420"/>
      <c r="V66" s="405"/>
    </row>
    <row r="67" spans="1:22" x14ac:dyDescent="0.3">
      <c r="A67" s="418"/>
      <c r="B67" s="532"/>
      <c r="C67" s="531"/>
      <c r="D67" s="531"/>
      <c r="E67" s="531"/>
      <c r="F67" s="531"/>
      <c r="G67" s="531"/>
      <c r="H67" s="531"/>
      <c r="I67" s="531"/>
      <c r="J67" s="531"/>
      <c r="K67" s="531"/>
      <c r="L67" s="535"/>
      <c r="M67" s="531"/>
      <c r="N67" s="531"/>
      <c r="O67" s="531"/>
      <c r="P67" s="531"/>
      <c r="Q67" s="531"/>
      <c r="R67" s="531"/>
      <c r="S67" s="531"/>
      <c r="T67" s="535"/>
      <c r="U67" s="420"/>
      <c r="V67" s="405"/>
    </row>
    <row r="68" spans="1:22" x14ac:dyDescent="0.3">
      <c r="A68" s="418"/>
      <c r="B68" s="532" t="s">
        <v>22</v>
      </c>
      <c r="C68" s="531"/>
      <c r="D68" s="531"/>
      <c r="E68" s="531"/>
      <c r="F68" s="531"/>
      <c r="G68" s="531"/>
      <c r="H68" s="531"/>
      <c r="I68" s="531"/>
      <c r="J68" s="531">
        <f>SUM(J65:J67)</f>
        <v>700000</v>
      </c>
      <c r="K68" s="531"/>
      <c r="L68" s="531">
        <f>L65+L66</f>
        <v>233721</v>
      </c>
      <c r="M68" s="531"/>
      <c r="N68" s="531">
        <f>SUM(N65:N67)</f>
        <v>2853</v>
      </c>
      <c r="O68" s="531"/>
      <c r="P68" s="531">
        <f>SUM(P65:P67)</f>
        <v>351</v>
      </c>
      <c r="Q68" s="531"/>
      <c r="R68" s="531">
        <f>SUM(R65:R67)</f>
        <v>0</v>
      </c>
      <c r="S68" s="531"/>
      <c r="T68" s="531">
        <f>SUM(T65:T67)</f>
        <v>231219</v>
      </c>
      <c r="U68" s="420"/>
      <c r="V68" s="405"/>
    </row>
    <row r="69" spans="1:22" x14ac:dyDescent="0.3">
      <c r="A69" s="407"/>
      <c r="B69" s="539"/>
      <c r="C69" s="572"/>
      <c r="D69" s="572"/>
      <c r="E69" s="572"/>
      <c r="F69" s="572"/>
      <c r="G69" s="572"/>
      <c r="H69" s="572"/>
      <c r="I69" s="572"/>
      <c r="J69" s="572"/>
      <c r="K69" s="572"/>
      <c r="L69" s="572"/>
      <c r="M69" s="572"/>
      <c r="N69" s="572"/>
      <c r="O69" s="572"/>
      <c r="P69" s="572"/>
      <c r="Q69" s="572"/>
      <c r="R69" s="572"/>
      <c r="S69" s="572"/>
      <c r="T69" s="572"/>
      <c r="U69" s="444"/>
      <c r="V69" s="405"/>
    </row>
    <row r="70" spans="1:22" x14ac:dyDescent="0.3">
      <c r="A70" s="407"/>
      <c r="B70" s="545" t="s">
        <v>23</v>
      </c>
      <c r="C70" s="573"/>
      <c r="D70" s="573"/>
      <c r="E70" s="573"/>
      <c r="F70" s="573"/>
      <c r="G70" s="573"/>
      <c r="H70" s="573"/>
      <c r="I70" s="573"/>
      <c r="J70" s="573"/>
      <c r="K70" s="573"/>
      <c r="L70" s="573"/>
      <c r="M70" s="573"/>
      <c r="N70" s="573"/>
      <c r="O70" s="573"/>
      <c r="P70" s="573"/>
      <c r="Q70" s="573"/>
      <c r="R70" s="573"/>
      <c r="S70" s="573"/>
      <c r="T70" s="573"/>
      <c r="U70" s="409"/>
      <c r="V70" s="405"/>
    </row>
    <row r="71" spans="1:22" x14ac:dyDescent="0.3">
      <c r="A71" s="407"/>
      <c r="B71" s="542"/>
      <c r="C71" s="573"/>
      <c r="D71" s="573"/>
      <c r="E71" s="573"/>
      <c r="F71" s="573"/>
      <c r="G71" s="573"/>
      <c r="H71" s="573"/>
      <c r="I71" s="573"/>
      <c r="J71" s="573"/>
      <c r="K71" s="573"/>
      <c r="L71" s="573"/>
      <c r="M71" s="573"/>
      <c r="N71" s="573"/>
      <c r="O71" s="573"/>
      <c r="P71" s="573"/>
      <c r="Q71" s="573"/>
      <c r="R71" s="573"/>
      <c r="S71" s="573"/>
      <c r="T71" s="573"/>
      <c r="U71" s="409"/>
      <c r="V71" s="405"/>
    </row>
    <row r="72" spans="1:22" x14ac:dyDescent="0.3">
      <c r="A72" s="418"/>
      <c r="B72" s="532" t="s">
        <v>20</v>
      </c>
      <c r="C72" s="531"/>
      <c r="D72" s="531"/>
      <c r="E72" s="531"/>
      <c r="F72" s="531"/>
      <c r="G72" s="531"/>
      <c r="H72" s="531"/>
      <c r="I72" s="531"/>
      <c r="J72" s="531"/>
      <c r="K72" s="531"/>
      <c r="L72" s="531"/>
      <c r="M72" s="531"/>
      <c r="N72" s="531"/>
      <c r="O72" s="531"/>
      <c r="P72" s="531"/>
      <c r="Q72" s="531"/>
      <c r="R72" s="531"/>
      <c r="S72" s="531"/>
      <c r="T72" s="531"/>
      <c r="U72" s="420"/>
      <c r="V72" s="405"/>
    </row>
    <row r="73" spans="1:22" x14ac:dyDescent="0.3">
      <c r="A73" s="418"/>
      <c r="B73" s="532" t="s">
        <v>21</v>
      </c>
      <c r="C73" s="531"/>
      <c r="D73" s="531"/>
      <c r="E73" s="531"/>
      <c r="F73" s="531"/>
      <c r="G73" s="531"/>
      <c r="H73" s="531"/>
      <c r="I73" s="531"/>
      <c r="J73" s="531"/>
      <c r="K73" s="531"/>
      <c r="L73" s="531"/>
      <c r="M73" s="531"/>
      <c r="N73" s="531"/>
      <c r="O73" s="531"/>
      <c r="P73" s="531"/>
      <c r="Q73" s="531"/>
      <c r="R73" s="531"/>
      <c r="S73" s="531"/>
      <c r="T73" s="531"/>
      <c r="U73" s="420"/>
      <c r="V73" s="405"/>
    </row>
    <row r="74" spans="1:22" x14ac:dyDescent="0.3">
      <c r="A74" s="418"/>
      <c r="B74" s="532"/>
      <c r="C74" s="531"/>
      <c r="D74" s="531"/>
      <c r="E74" s="531"/>
      <c r="F74" s="531"/>
      <c r="G74" s="531"/>
      <c r="H74" s="531"/>
      <c r="I74" s="531"/>
      <c r="J74" s="531"/>
      <c r="K74" s="531"/>
      <c r="L74" s="531"/>
      <c r="M74" s="531"/>
      <c r="N74" s="531"/>
      <c r="O74" s="531"/>
      <c r="P74" s="531"/>
      <c r="Q74" s="531"/>
      <c r="R74" s="531"/>
      <c r="S74" s="531"/>
      <c r="T74" s="531"/>
      <c r="U74" s="420"/>
      <c r="V74" s="405"/>
    </row>
    <row r="75" spans="1:22" x14ac:dyDescent="0.3">
      <c r="A75" s="418"/>
      <c r="B75" s="532" t="s">
        <v>22</v>
      </c>
      <c r="C75" s="531"/>
      <c r="D75" s="531"/>
      <c r="E75" s="531"/>
      <c r="F75" s="531"/>
      <c r="G75" s="531"/>
      <c r="H75" s="531"/>
      <c r="I75" s="531"/>
      <c r="J75" s="531"/>
      <c r="K75" s="531"/>
      <c r="L75" s="531"/>
      <c r="M75" s="531"/>
      <c r="N75" s="531"/>
      <c r="O75" s="531"/>
      <c r="P75" s="531"/>
      <c r="Q75" s="531"/>
      <c r="R75" s="531"/>
      <c r="S75" s="531"/>
      <c r="T75" s="531"/>
      <c r="U75" s="420"/>
      <c r="V75" s="405"/>
    </row>
    <row r="76" spans="1:22" x14ac:dyDescent="0.3">
      <c r="A76" s="418"/>
      <c r="B76" s="532"/>
      <c r="C76" s="531"/>
      <c r="D76" s="531"/>
      <c r="E76" s="531"/>
      <c r="F76" s="531"/>
      <c r="G76" s="531"/>
      <c r="H76" s="531"/>
      <c r="I76" s="531"/>
      <c r="J76" s="531"/>
      <c r="K76" s="531"/>
      <c r="L76" s="531"/>
      <c r="M76" s="531"/>
      <c r="N76" s="531"/>
      <c r="O76" s="531"/>
      <c r="P76" s="531"/>
      <c r="Q76" s="531"/>
      <c r="R76" s="531"/>
      <c r="S76" s="531"/>
      <c r="T76" s="531"/>
      <c r="U76" s="420"/>
      <c r="V76" s="405"/>
    </row>
    <row r="77" spans="1:22" x14ac:dyDescent="0.3">
      <c r="A77" s="418"/>
      <c r="B77" s="532" t="s">
        <v>24</v>
      </c>
      <c r="C77" s="531"/>
      <c r="D77" s="531"/>
      <c r="E77" s="531"/>
      <c r="F77" s="531"/>
      <c r="G77" s="531"/>
      <c r="H77" s="531"/>
      <c r="I77" s="531"/>
      <c r="J77" s="531">
        <v>0</v>
      </c>
      <c r="K77" s="531"/>
      <c r="L77" s="531">
        <v>0</v>
      </c>
      <c r="M77" s="531"/>
      <c r="N77" s="531"/>
      <c r="O77" s="531"/>
      <c r="P77" s="531"/>
      <c r="Q77" s="531"/>
      <c r="R77" s="531"/>
      <c r="S77" s="531"/>
      <c r="T77" s="535">
        <v>0</v>
      </c>
      <c r="U77" s="420"/>
      <c r="V77" s="405"/>
    </row>
    <row r="78" spans="1:22" x14ac:dyDescent="0.3">
      <c r="A78" s="418"/>
      <c r="B78" s="532" t="s">
        <v>126</v>
      </c>
      <c r="C78" s="531"/>
      <c r="D78" s="531"/>
      <c r="E78" s="531"/>
      <c r="F78" s="531"/>
      <c r="G78" s="531"/>
      <c r="H78" s="531"/>
      <c r="I78" s="531"/>
      <c r="J78" s="531">
        <v>0</v>
      </c>
      <c r="K78" s="531"/>
      <c r="L78" s="531">
        <v>0</v>
      </c>
      <c r="M78" s="531"/>
      <c r="N78" s="531"/>
      <c r="O78" s="531"/>
      <c r="P78" s="531"/>
      <c r="Q78" s="531"/>
      <c r="R78" s="531"/>
      <c r="S78" s="531"/>
      <c r="T78" s="531">
        <f>SUM(J78:P78)</f>
        <v>0</v>
      </c>
      <c r="U78" s="420"/>
      <c r="V78" s="405"/>
    </row>
    <row r="79" spans="1:22" x14ac:dyDescent="0.3">
      <c r="A79" s="418"/>
      <c r="B79" s="532" t="s">
        <v>157</v>
      </c>
      <c r="C79" s="531"/>
      <c r="D79" s="531"/>
      <c r="E79" s="531"/>
      <c r="F79" s="531"/>
      <c r="G79" s="531"/>
      <c r="H79" s="531"/>
      <c r="I79" s="531"/>
      <c r="J79" s="531">
        <v>0</v>
      </c>
      <c r="K79" s="531"/>
      <c r="L79" s="531">
        <v>0</v>
      </c>
      <c r="M79" s="531"/>
      <c r="N79" s="531"/>
      <c r="O79" s="531"/>
      <c r="P79" s="531"/>
      <c r="Q79" s="531"/>
      <c r="R79" s="531"/>
      <c r="S79" s="531"/>
      <c r="T79" s="531">
        <v>0</v>
      </c>
      <c r="U79" s="420"/>
      <c r="V79" s="405"/>
    </row>
    <row r="80" spans="1:22" x14ac:dyDescent="0.3">
      <c r="A80" s="418"/>
      <c r="B80" s="532" t="s">
        <v>26</v>
      </c>
      <c r="C80" s="531"/>
      <c r="D80" s="531"/>
      <c r="E80" s="531"/>
      <c r="F80" s="531"/>
      <c r="G80" s="531"/>
      <c r="H80" s="531"/>
      <c r="I80" s="531"/>
      <c r="J80" s="531">
        <v>0</v>
      </c>
      <c r="K80" s="531"/>
      <c r="L80" s="531">
        <v>0</v>
      </c>
      <c r="M80" s="531"/>
      <c r="N80" s="531"/>
      <c r="O80" s="531"/>
      <c r="P80" s="531"/>
      <c r="Q80" s="531"/>
      <c r="R80" s="531"/>
      <c r="S80" s="531"/>
      <c r="T80" s="531">
        <v>0</v>
      </c>
      <c r="U80" s="420"/>
      <c r="V80" s="405"/>
    </row>
    <row r="81" spans="1:22" x14ac:dyDescent="0.3">
      <c r="A81" s="418"/>
      <c r="B81" s="532" t="s">
        <v>27</v>
      </c>
      <c r="C81" s="531"/>
      <c r="D81" s="531"/>
      <c r="E81" s="531"/>
      <c r="F81" s="531"/>
      <c r="G81" s="531"/>
      <c r="H81" s="531"/>
      <c r="I81" s="531"/>
      <c r="J81" s="531">
        <f>SUM(J68:J80)</f>
        <v>700000</v>
      </c>
      <c r="K81" s="531"/>
      <c r="L81" s="531">
        <f>SUM(L68:L80)</f>
        <v>233721</v>
      </c>
      <c r="M81" s="531"/>
      <c r="N81" s="531"/>
      <c r="O81" s="531"/>
      <c r="P81" s="531"/>
      <c r="Q81" s="531"/>
      <c r="R81" s="531"/>
      <c r="S81" s="531"/>
      <c r="T81" s="531">
        <f>SUM(T68:T80)</f>
        <v>231219</v>
      </c>
      <c r="U81" s="420"/>
      <c r="V81" s="405"/>
    </row>
    <row r="82" spans="1:22" x14ac:dyDescent="0.3">
      <c r="A82" s="407"/>
      <c r="B82" s="444"/>
      <c r="C82" s="445"/>
      <c r="D82" s="445"/>
      <c r="E82" s="445"/>
      <c r="F82" s="445"/>
      <c r="G82" s="445"/>
      <c r="H82" s="445"/>
      <c r="I82" s="445"/>
      <c r="J82" s="445"/>
      <c r="K82" s="445"/>
      <c r="L82" s="445"/>
      <c r="M82" s="445"/>
      <c r="N82" s="445"/>
      <c r="O82" s="445"/>
      <c r="P82" s="445"/>
      <c r="Q82" s="445"/>
      <c r="R82" s="445"/>
      <c r="S82" s="445"/>
      <c r="T82" s="446"/>
      <c r="U82" s="444"/>
      <c r="V82" s="405"/>
    </row>
    <row r="83" spans="1:22" x14ac:dyDescent="0.3">
      <c r="A83" s="407"/>
      <c r="B83" s="409"/>
      <c r="C83" s="409"/>
      <c r="D83" s="409"/>
      <c r="E83" s="409"/>
      <c r="F83" s="409"/>
      <c r="G83" s="409"/>
      <c r="H83" s="409"/>
      <c r="I83" s="409"/>
      <c r="J83" s="409"/>
      <c r="K83" s="409"/>
      <c r="L83" s="409"/>
      <c r="M83" s="409"/>
      <c r="N83" s="409"/>
      <c r="O83" s="409"/>
      <c r="P83" s="409"/>
      <c r="Q83" s="409"/>
      <c r="R83" s="409"/>
      <c r="S83" s="409"/>
      <c r="T83" s="409"/>
      <c r="U83" s="409"/>
      <c r="V83" s="405"/>
    </row>
    <row r="84" spans="1:22" x14ac:dyDescent="0.3">
      <c r="A84" s="503"/>
      <c r="B84" s="612" t="s">
        <v>28</v>
      </c>
      <c r="C84" s="612"/>
      <c r="D84" s="612"/>
      <c r="E84" s="612"/>
      <c r="F84" s="612"/>
      <c r="G84" s="612"/>
      <c r="H84" s="613"/>
      <c r="I84" s="613"/>
      <c r="J84" s="614" t="s">
        <v>101</v>
      </c>
      <c r="K84" s="613"/>
      <c r="L84" s="615">
        <f>+R196</f>
        <v>43039</v>
      </c>
      <c r="M84" s="613"/>
      <c r="N84" s="613"/>
      <c r="O84" s="613"/>
      <c r="P84" s="613"/>
      <c r="Q84" s="613"/>
      <c r="R84" s="613" t="s">
        <v>114</v>
      </c>
      <c r="S84" s="613"/>
      <c r="T84" s="613" t="s">
        <v>122</v>
      </c>
      <c r="U84" s="611"/>
      <c r="V84" s="405"/>
    </row>
    <row r="85" spans="1:22" x14ac:dyDescent="0.3">
      <c r="A85" s="430"/>
      <c r="B85" s="539" t="s">
        <v>29</v>
      </c>
      <c r="C85" s="539"/>
      <c r="D85" s="539"/>
      <c r="E85" s="539"/>
      <c r="F85" s="539"/>
      <c r="G85" s="539"/>
      <c r="H85" s="539"/>
      <c r="I85" s="539"/>
      <c r="J85" s="539"/>
      <c r="K85" s="539"/>
      <c r="L85" s="539"/>
      <c r="M85" s="539"/>
      <c r="N85" s="539"/>
      <c r="O85" s="539"/>
      <c r="P85" s="539"/>
      <c r="Q85" s="539"/>
      <c r="R85" s="572">
        <v>0</v>
      </c>
      <c r="S85" s="539"/>
      <c r="T85" s="541">
        <v>0</v>
      </c>
      <c r="U85" s="539"/>
      <c r="V85" s="405"/>
    </row>
    <row r="86" spans="1:22" x14ac:dyDescent="0.3">
      <c r="A86" s="428"/>
      <c r="B86" s="532" t="s">
        <v>30</v>
      </c>
      <c r="C86" s="532"/>
      <c r="D86" s="532"/>
      <c r="E86" s="532"/>
      <c r="F86" s="532"/>
      <c r="G86" s="532"/>
      <c r="H86" s="550"/>
      <c r="I86" s="570"/>
      <c r="J86" s="550"/>
      <c r="K86" s="532"/>
      <c r="L86" s="571"/>
      <c r="M86" s="532"/>
      <c r="N86" s="532"/>
      <c r="O86" s="532"/>
      <c r="P86" s="532"/>
      <c r="Q86" s="532"/>
      <c r="R86" s="531">
        <f>2853+34</f>
        <v>2887</v>
      </c>
      <c r="S86" s="532"/>
      <c r="T86" s="535"/>
      <c r="U86" s="562"/>
      <c r="V86" s="405"/>
    </row>
    <row r="87" spans="1:22" x14ac:dyDescent="0.3">
      <c r="A87" s="428"/>
      <c r="B87" s="532" t="s">
        <v>254</v>
      </c>
      <c r="C87" s="532"/>
      <c r="D87" s="532"/>
      <c r="E87" s="532"/>
      <c r="F87" s="532"/>
      <c r="G87" s="532"/>
      <c r="H87" s="550"/>
      <c r="I87" s="570"/>
      <c r="J87" s="550"/>
      <c r="K87" s="532"/>
      <c r="L87" s="571"/>
      <c r="M87" s="532"/>
      <c r="N87" s="532"/>
      <c r="O87" s="532"/>
      <c r="P87" s="532"/>
      <c r="Q87" s="532"/>
      <c r="R87" s="531"/>
      <c r="S87" s="532"/>
      <c r="T87" s="535">
        <f>1347+442-405-106</f>
        <v>1278</v>
      </c>
      <c r="U87" s="562"/>
      <c r="V87" s="405"/>
    </row>
    <row r="88" spans="1:22" x14ac:dyDescent="0.3">
      <c r="A88" s="428"/>
      <c r="B88" s="532" t="s">
        <v>255</v>
      </c>
      <c r="C88" s="532"/>
      <c r="D88" s="532"/>
      <c r="E88" s="532"/>
      <c r="F88" s="532"/>
      <c r="G88" s="532"/>
      <c r="H88" s="550"/>
      <c r="I88" s="570"/>
      <c r="J88" s="550"/>
      <c r="K88" s="532"/>
      <c r="L88" s="571"/>
      <c r="M88" s="532"/>
      <c r="N88" s="532"/>
      <c r="O88" s="532"/>
      <c r="P88" s="532"/>
      <c r="Q88" s="532"/>
      <c r="R88" s="531"/>
      <c r="S88" s="532"/>
      <c r="T88" s="535">
        <f>40+5</f>
        <v>45</v>
      </c>
      <c r="U88" s="562"/>
      <c r="V88" s="405"/>
    </row>
    <row r="89" spans="1:22" x14ac:dyDescent="0.3">
      <c r="A89" s="428"/>
      <c r="B89" s="532" t="s">
        <v>256</v>
      </c>
      <c r="C89" s="532"/>
      <c r="D89" s="532"/>
      <c r="E89" s="532"/>
      <c r="F89" s="532"/>
      <c r="G89" s="532"/>
      <c r="H89" s="550"/>
      <c r="I89" s="570"/>
      <c r="J89" s="550"/>
      <c r="K89" s="532"/>
      <c r="L89" s="571"/>
      <c r="M89" s="532"/>
      <c r="N89" s="532"/>
      <c r="O89" s="532"/>
      <c r="P89" s="532"/>
      <c r="Q89" s="532"/>
      <c r="R89" s="531"/>
      <c r="S89" s="532"/>
      <c r="T89" s="535">
        <v>8</v>
      </c>
      <c r="U89" s="562"/>
      <c r="V89" s="405"/>
    </row>
    <row r="90" spans="1:22" x14ac:dyDescent="0.3">
      <c r="A90" s="428"/>
      <c r="B90" s="532" t="s">
        <v>270</v>
      </c>
      <c r="C90" s="532"/>
      <c r="D90" s="532"/>
      <c r="E90" s="532"/>
      <c r="F90" s="532"/>
      <c r="G90" s="532"/>
      <c r="H90" s="550"/>
      <c r="I90" s="570"/>
      <c r="J90" s="550"/>
      <c r="K90" s="532"/>
      <c r="L90" s="571"/>
      <c r="M90" s="532"/>
      <c r="N90" s="532"/>
      <c r="O90" s="532"/>
      <c r="P90" s="532"/>
      <c r="Q90" s="532"/>
      <c r="R90" s="531"/>
      <c r="S90" s="532"/>
      <c r="T90" s="535">
        <v>0</v>
      </c>
      <c r="U90" s="562"/>
      <c r="V90" s="405"/>
    </row>
    <row r="91" spans="1:22" x14ac:dyDescent="0.3">
      <c r="A91" s="428"/>
      <c r="B91" s="532" t="s">
        <v>144</v>
      </c>
      <c r="C91" s="532"/>
      <c r="D91" s="532"/>
      <c r="E91" s="532"/>
      <c r="F91" s="532"/>
      <c r="G91" s="532"/>
      <c r="H91" s="532"/>
      <c r="I91" s="532"/>
      <c r="J91" s="532"/>
      <c r="K91" s="532"/>
      <c r="L91" s="532"/>
      <c r="M91" s="532"/>
      <c r="N91" s="532"/>
      <c r="O91" s="532"/>
      <c r="P91" s="532"/>
      <c r="Q91" s="532"/>
      <c r="R91" s="531"/>
      <c r="S91" s="532"/>
      <c r="T91" s="535">
        <v>0</v>
      </c>
      <c r="U91" s="562"/>
      <c r="V91" s="405"/>
    </row>
    <row r="92" spans="1:22" x14ac:dyDescent="0.3">
      <c r="A92" s="428"/>
      <c r="B92" s="532" t="s">
        <v>233</v>
      </c>
      <c r="C92" s="532"/>
      <c r="D92" s="532"/>
      <c r="E92" s="532"/>
      <c r="F92" s="532"/>
      <c r="G92" s="532"/>
      <c r="H92" s="532"/>
      <c r="I92" s="532"/>
      <c r="J92" s="532"/>
      <c r="K92" s="532"/>
      <c r="L92" s="532"/>
      <c r="M92" s="532"/>
      <c r="N92" s="532"/>
      <c r="O92" s="532"/>
      <c r="P92" s="532"/>
      <c r="Q92" s="532"/>
      <c r="R92" s="531"/>
      <c r="S92" s="532"/>
      <c r="T92" s="535">
        <v>36</v>
      </c>
      <c r="U92" s="562"/>
      <c r="V92" s="405"/>
    </row>
    <row r="93" spans="1:22" x14ac:dyDescent="0.3">
      <c r="A93" s="428"/>
      <c r="B93" s="532" t="s">
        <v>32</v>
      </c>
      <c r="C93" s="532"/>
      <c r="D93" s="532"/>
      <c r="E93" s="532"/>
      <c r="F93" s="532"/>
      <c r="G93" s="532"/>
      <c r="H93" s="532"/>
      <c r="I93" s="532"/>
      <c r="J93" s="532"/>
      <c r="K93" s="532"/>
      <c r="L93" s="532"/>
      <c r="M93" s="532"/>
      <c r="N93" s="532"/>
      <c r="O93" s="532"/>
      <c r="P93" s="532"/>
      <c r="Q93" s="532"/>
      <c r="R93" s="531">
        <f>SUM(R85:R92)</f>
        <v>2887</v>
      </c>
      <c r="S93" s="532"/>
      <c r="T93" s="531">
        <f>SUM(T85:T92)</f>
        <v>1367</v>
      </c>
      <c r="U93" s="562"/>
      <c r="V93" s="405"/>
    </row>
    <row r="94" spans="1:22" x14ac:dyDescent="0.3">
      <c r="A94" s="428"/>
      <c r="B94" s="532" t="s">
        <v>176</v>
      </c>
      <c r="C94" s="532"/>
      <c r="D94" s="532"/>
      <c r="E94" s="532"/>
      <c r="F94" s="532"/>
      <c r="G94" s="532"/>
      <c r="H94" s="532"/>
      <c r="I94" s="532"/>
      <c r="J94" s="532"/>
      <c r="K94" s="532"/>
      <c r="L94" s="532"/>
      <c r="M94" s="532"/>
      <c r="N94" s="532"/>
      <c r="O94" s="532"/>
      <c r="P94" s="532"/>
      <c r="Q94" s="532"/>
      <c r="R94" s="531">
        <v>0</v>
      </c>
      <c r="S94" s="532"/>
      <c r="T94" s="531">
        <f>-R94</f>
        <v>0</v>
      </c>
      <c r="U94" s="562"/>
      <c r="V94" s="405"/>
    </row>
    <row r="95" spans="1:22" x14ac:dyDescent="0.3">
      <c r="A95" s="428"/>
      <c r="B95" s="532" t="s">
        <v>33</v>
      </c>
      <c r="C95" s="532"/>
      <c r="D95" s="532"/>
      <c r="E95" s="532"/>
      <c r="F95" s="532"/>
      <c r="G95" s="532"/>
      <c r="H95" s="532"/>
      <c r="I95" s="532"/>
      <c r="J95" s="532"/>
      <c r="K95" s="532"/>
      <c r="L95" s="532"/>
      <c r="M95" s="532"/>
      <c r="N95" s="532"/>
      <c r="O95" s="532"/>
      <c r="P95" s="532"/>
      <c r="Q95" s="532"/>
      <c r="R95" s="531">
        <f>-T95</f>
        <v>0</v>
      </c>
      <c r="S95" s="532"/>
      <c r="T95" s="535">
        <v>0</v>
      </c>
      <c r="U95" s="562"/>
      <c r="V95" s="405"/>
    </row>
    <row r="96" spans="1:22" x14ac:dyDescent="0.3">
      <c r="A96" s="428"/>
      <c r="B96" s="532" t="s">
        <v>278</v>
      </c>
      <c r="C96" s="532"/>
      <c r="D96" s="532"/>
      <c r="E96" s="532"/>
      <c r="F96" s="532"/>
      <c r="G96" s="532"/>
      <c r="H96" s="532"/>
      <c r="I96" s="532"/>
      <c r="J96" s="532"/>
      <c r="K96" s="532"/>
      <c r="L96" s="532"/>
      <c r="M96" s="532"/>
      <c r="N96" s="532"/>
      <c r="O96" s="532"/>
      <c r="P96" s="532"/>
      <c r="Q96" s="532"/>
      <c r="R96" s="531"/>
      <c r="S96" s="532"/>
      <c r="T96" s="535">
        <v>0</v>
      </c>
      <c r="U96" s="562"/>
      <c r="V96" s="405"/>
    </row>
    <row r="97" spans="1:23" x14ac:dyDescent="0.3">
      <c r="A97" s="428"/>
      <c r="B97" s="532" t="s">
        <v>34</v>
      </c>
      <c r="C97" s="532"/>
      <c r="D97" s="532"/>
      <c r="E97" s="532"/>
      <c r="F97" s="532"/>
      <c r="G97" s="532"/>
      <c r="H97" s="532"/>
      <c r="I97" s="532"/>
      <c r="J97" s="532"/>
      <c r="K97" s="532"/>
      <c r="L97" s="532"/>
      <c r="M97" s="532"/>
      <c r="N97" s="532"/>
      <c r="O97" s="532"/>
      <c r="P97" s="532"/>
      <c r="Q97" s="532"/>
      <c r="R97" s="531">
        <f>R93+R95+R94</f>
        <v>2887</v>
      </c>
      <c r="S97" s="532"/>
      <c r="T97" s="531">
        <f>T93+T95+T94+T96</f>
        <v>1367</v>
      </c>
      <c r="U97" s="562"/>
      <c r="V97" s="405"/>
      <c r="W97" s="447"/>
    </row>
    <row r="98" spans="1:23" x14ac:dyDescent="0.3">
      <c r="A98" s="418"/>
      <c r="B98" s="522" t="s">
        <v>35</v>
      </c>
      <c r="C98" s="448"/>
      <c r="D98" s="448"/>
      <c r="E98" s="448"/>
      <c r="F98" s="448"/>
      <c r="G98" s="448"/>
      <c r="H98" s="448"/>
      <c r="I98" s="448"/>
      <c r="J98" s="448"/>
      <c r="K98" s="448"/>
      <c r="L98" s="448"/>
      <c r="M98" s="448"/>
      <c r="N98" s="448"/>
      <c r="O98" s="448"/>
      <c r="P98" s="448"/>
      <c r="Q98" s="448"/>
      <c r="R98" s="449"/>
      <c r="S98" s="448"/>
      <c r="T98" s="450"/>
      <c r="U98" s="451"/>
      <c r="V98" s="405"/>
    </row>
    <row r="99" spans="1:23" x14ac:dyDescent="0.3">
      <c r="A99" s="569">
        <v>1</v>
      </c>
      <c r="B99" s="532" t="s">
        <v>36</v>
      </c>
      <c r="C99" s="532"/>
      <c r="D99" s="532"/>
      <c r="E99" s="532"/>
      <c r="F99" s="532"/>
      <c r="G99" s="532"/>
      <c r="H99" s="532"/>
      <c r="I99" s="532"/>
      <c r="J99" s="532"/>
      <c r="K99" s="532"/>
      <c r="L99" s="532"/>
      <c r="M99" s="532"/>
      <c r="N99" s="532"/>
      <c r="O99" s="532"/>
      <c r="P99" s="532"/>
      <c r="Q99" s="532"/>
      <c r="R99" s="532"/>
      <c r="S99" s="532"/>
      <c r="T99" s="535">
        <v>0</v>
      </c>
      <c r="U99" s="451"/>
      <c r="V99" s="405"/>
    </row>
    <row r="100" spans="1:23" x14ac:dyDescent="0.3">
      <c r="A100" s="569">
        <f>+A99+1</f>
        <v>2</v>
      </c>
      <c r="B100" s="532" t="s">
        <v>317</v>
      </c>
      <c r="C100" s="532"/>
      <c r="D100" s="532"/>
      <c r="E100" s="532"/>
      <c r="F100" s="532"/>
      <c r="G100" s="532"/>
      <c r="H100" s="532"/>
      <c r="I100" s="532"/>
      <c r="J100" s="532"/>
      <c r="K100" s="532"/>
      <c r="L100" s="532"/>
      <c r="M100" s="532"/>
      <c r="N100" s="532"/>
      <c r="O100" s="532"/>
      <c r="P100" s="532"/>
      <c r="Q100" s="532"/>
      <c r="R100" s="532"/>
      <c r="S100" s="532"/>
      <c r="T100" s="535">
        <v>-2</v>
      </c>
      <c r="U100" s="451"/>
      <c r="V100" s="405"/>
    </row>
    <row r="101" spans="1:23" x14ac:dyDescent="0.3">
      <c r="A101" s="569">
        <f>+A100+1</f>
        <v>3</v>
      </c>
      <c r="B101" s="532" t="s">
        <v>319</v>
      </c>
      <c r="C101" s="532"/>
      <c r="D101" s="532"/>
      <c r="E101" s="532"/>
      <c r="F101" s="532"/>
      <c r="G101" s="532"/>
      <c r="H101" s="532"/>
      <c r="I101" s="532"/>
      <c r="J101" s="532"/>
      <c r="K101" s="532"/>
      <c r="L101" s="532"/>
      <c r="M101" s="532"/>
      <c r="N101" s="532"/>
      <c r="O101" s="532"/>
      <c r="P101" s="532"/>
      <c r="Q101" s="532"/>
      <c r="R101" s="532"/>
      <c r="S101" s="532"/>
      <c r="T101" s="535">
        <f>-90-36-4</f>
        <v>-130</v>
      </c>
      <c r="U101" s="451"/>
      <c r="V101" s="405"/>
    </row>
    <row r="102" spans="1:23" x14ac:dyDescent="0.3">
      <c r="A102" s="569" t="s">
        <v>136</v>
      </c>
      <c r="B102" s="532" t="s">
        <v>125</v>
      </c>
      <c r="C102" s="532"/>
      <c r="D102" s="532"/>
      <c r="E102" s="532"/>
      <c r="F102" s="532"/>
      <c r="G102" s="532"/>
      <c r="H102" s="532"/>
      <c r="I102" s="532"/>
      <c r="J102" s="532"/>
      <c r="K102" s="532"/>
      <c r="L102" s="532"/>
      <c r="M102" s="532"/>
      <c r="N102" s="532"/>
      <c r="O102" s="532"/>
      <c r="P102" s="532"/>
      <c r="Q102" s="532"/>
      <c r="R102" s="532"/>
      <c r="S102" s="532"/>
      <c r="T102" s="535">
        <v>0</v>
      </c>
      <c r="U102" s="451"/>
      <c r="V102" s="405"/>
    </row>
    <row r="103" spans="1:23" x14ac:dyDescent="0.3">
      <c r="A103" s="569" t="s">
        <v>137</v>
      </c>
      <c r="B103" s="532" t="s">
        <v>267</v>
      </c>
      <c r="C103" s="532"/>
      <c r="D103" s="532"/>
      <c r="E103" s="532"/>
      <c r="F103" s="532"/>
      <c r="G103" s="532"/>
      <c r="H103" s="532"/>
      <c r="I103" s="532"/>
      <c r="J103" s="532"/>
      <c r="K103" s="532"/>
      <c r="L103" s="532"/>
      <c r="M103" s="532"/>
      <c r="N103" s="532"/>
      <c r="O103" s="532"/>
      <c r="P103" s="532"/>
      <c r="Q103" s="532"/>
      <c r="R103" s="532"/>
      <c r="S103" s="532"/>
      <c r="T103" s="535">
        <v>0</v>
      </c>
      <c r="U103" s="451"/>
      <c r="V103" s="405"/>
    </row>
    <row r="104" spans="1:23" x14ac:dyDescent="0.3">
      <c r="A104" s="569" t="s">
        <v>162</v>
      </c>
      <c r="B104" s="532" t="s">
        <v>218</v>
      </c>
      <c r="C104" s="532"/>
      <c r="D104" s="532"/>
      <c r="E104" s="532"/>
      <c r="F104" s="532"/>
      <c r="G104" s="532"/>
      <c r="H104" s="532"/>
      <c r="I104" s="532"/>
      <c r="J104" s="532"/>
      <c r="K104" s="532"/>
      <c r="L104" s="532"/>
      <c r="M104" s="532"/>
      <c r="N104" s="532"/>
      <c r="O104" s="532"/>
      <c r="P104" s="532"/>
      <c r="Q104" s="532"/>
      <c r="R104" s="532"/>
      <c r="S104" s="532"/>
      <c r="T104" s="535">
        <v>-164</v>
      </c>
      <c r="U104" s="451"/>
      <c r="V104" s="405"/>
      <c r="W104" s="452"/>
    </row>
    <row r="105" spans="1:23" x14ac:dyDescent="0.3">
      <c r="A105" s="569" t="s">
        <v>163</v>
      </c>
      <c r="B105" s="532" t="s">
        <v>219</v>
      </c>
      <c r="C105" s="532"/>
      <c r="D105" s="532"/>
      <c r="E105" s="532"/>
      <c r="F105" s="532"/>
      <c r="G105" s="532"/>
      <c r="H105" s="532"/>
      <c r="I105" s="532"/>
      <c r="J105" s="532"/>
      <c r="K105" s="532"/>
      <c r="L105" s="532"/>
      <c r="M105" s="532"/>
      <c r="N105" s="532"/>
      <c r="O105" s="532"/>
      <c r="P105" s="532"/>
      <c r="Q105" s="532"/>
      <c r="R105" s="532"/>
      <c r="S105" s="532"/>
      <c r="T105" s="535">
        <v>-119</v>
      </c>
      <c r="U105" s="451"/>
      <c r="V105" s="405"/>
      <c r="W105" s="452"/>
    </row>
    <row r="106" spans="1:23" x14ac:dyDescent="0.3">
      <c r="A106" s="569" t="s">
        <v>252</v>
      </c>
      <c r="B106" s="532" t="s">
        <v>242</v>
      </c>
      <c r="C106" s="532"/>
      <c r="D106" s="532"/>
      <c r="E106" s="532"/>
      <c r="F106" s="532"/>
      <c r="G106" s="532"/>
      <c r="H106" s="532"/>
      <c r="I106" s="532"/>
      <c r="J106" s="532"/>
      <c r="K106" s="532"/>
      <c r="L106" s="532"/>
      <c r="M106" s="532"/>
      <c r="N106" s="532"/>
      <c r="O106" s="532"/>
      <c r="P106" s="532"/>
      <c r="Q106" s="532"/>
      <c r="R106" s="532"/>
      <c r="S106" s="532"/>
      <c r="T106" s="535">
        <v>-17</v>
      </c>
      <c r="U106" s="451"/>
      <c r="V106" s="453"/>
      <c r="W106" s="452"/>
    </row>
    <row r="107" spans="1:23" x14ac:dyDescent="0.3">
      <c r="A107" s="569" t="s">
        <v>245</v>
      </c>
      <c r="B107" s="532" t="s">
        <v>220</v>
      </c>
      <c r="C107" s="532"/>
      <c r="D107" s="532"/>
      <c r="E107" s="532"/>
      <c r="F107" s="532"/>
      <c r="G107" s="532"/>
      <c r="H107" s="532"/>
      <c r="I107" s="532"/>
      <c r="J107" s="532"/>
      <c r="K107" s="532"/>
      <c r="L107" s="532"/>
      <c r="M107" s="532"/>
      <c r="N107" s="532"/>
      <c r="O107" s="532"/>
      <c r="P107" s="532"/>
      <c r="Q107" s="532"/>
      <c r="R107" s="532"/>
      <c r="S107" s="532"/>
      <c r="T107" s="535">
        <v>-10</v>
      </c>
      <c r="U107" s="451"/>
      <c r="V107" s="405"/>
      <c r="W107" s="452"/>
    </row>
    <row r="108" spans="1:23" x14ac:dyDescent="0.3">
      <c r="A108" s="569" t="s">
        <v>246</v>
      </c>
      <c r="B108" s="532" t="s">
        <v>221</v>
      </c>
      <c r="C108" s="532"/>
      <c r="D108" s="532"/>
      <c r="E108" s="532"/>
      <c r="F108" s="532"/>
      <c r="G108" s="532"/>
      <c r="H108" s="532"/>
      <c r="I108" s="532"/>
      <c r="J108" s="532"/>
      <c r="K108" s="532"/>
      <c r="L108" s="532"/>
      <c r="M108" s="532"/>
      <c r="N108" s="532"/>
      <c r="O108" s="532"/>
      <c r="P108" s="532"/>
      <c r="Q108" s="532"/>
      <c r="R108" s="532"/>
      <c r="S108" s="532"/>
      <c r="T108" s="535">
        <v>-31</v>
      </c>
      <c r="U108" s="451"/>
      <c r="V108" s="405"/>
      <c r="W108" s="452"/>
    </row>
    <row r="109" spans="1:23" x14ac:dyDescent="0.3">
      <c r="A109" s="569" t="s">
        <v>247</v>
      </c>
      <c r="B109" s="532" t="s">
        <v>222</v>
      </c>
      <c r="C109" s="532"/>
      <c r="D109" s="532"/>
      <c r="E109" s="532"/>
      <c r="F109" s="532"/>
      <c r="G109" s="532"/>
      <c r="H109" s="532"/>
      <c r="I109" s="532"/>
      <c r="J109" s="532"/>
      <c r="K109" s="532"/>
      <c r="L109" s="532"/>
      <c r="M109" s="532"/>
      <c r="N109" s="532"/>
      <c r="O109" s="532"/>
      <c r="P109" s="532"/>
      <c r="Q109" s="532"/>
      <c r="R109" s="532"/>
      <c r="S109" s="532"/>
      <c r="T109" s="535">
        <v>-7</v>
      </c>
      <c r="U109" s="451"/>
      <c r="V109" s="405"/>
      <c r="W109" s="452"/>
    </row>
    <row r="110" spans="1:23" x14ac:dyDescent="0.3">
      <c r="A110" s="569" t="s">
        <v>248</v>
      </c>
      <c r="B110" s="532" t="s">
        <v>223</v>
      </c>
      <c r="C110" s="532"/>
      <c r="D110" s="532"/>
      <c r="E110" s="532"/>
      <c r="F110" s="532"/>
      <c r="G110" s="532"/>
      <c r="H110" s="532"/>
      <c r="I110" s="532"/>
      <c r="J110" s="532"/>
      <c r="K110" s="532"/>
      <c r="L110" s="532"/>
      <c r="M110" s="532"/>
      <c r="N110" s="532"/>
      <c r="O110" s="532"/>
      <c r="P110" s="532"/>
      <c r="Q110" s="532"/>
      <c r="R110" s="532"/>
      <c r="S110" s="532"/>
      <c r="T110" s="535">
        <v>-107</v>
      </c>
      <c r="U110" s="451"/>
      <c r="V110" s="405"/>
      <c r="W110" s="452"/>
    </row>
    <row r="111" spans="1:23" x14ac:dyDescent="0.3">
      <c r="A111" s="569">
        <v>7</v>
      </c>
      <c r="B111" s="532" t="s">
        <v>318</v>
      </c>
      <c r="C111" s="532"/>
      <c r="D111" s="532"/>
      <c r="E111" s="532"/>
      <c r="F111" s="532"/>
      <c r="G111" s="532"/>
      <c r="H111" s="532"/>
      <c r="I111" s="532"/>
      <c r="J111" s="532"/>
      <c r="K111" s="532"/>
      <c r="L111" s="532"/>
      <c r="M111" s="532"/>
      <c r="N111" s="532"/>
      <c r="O111" s="532"/>
      <c r="P111" s="532"/>
      <c r="Q111" s="532"/>
      <c r="R111" s="532"/>
      <c r="S111" s="532"/>
      <c r="T111" s="535">
        <v>0</v>
      </c>
      <c r="U111" s="451"/>
      <c r="V111" s="405"/>
      <c r="W111" s="452"/>
    </row>
    <row r="112" spans="1:23" x14ac:dyDescent="0.3">
      <c r="A112" s="569">
        <v>8</v>
      </c>
      <c r="B112" s="532" t="s">
        <v>38</v>
      </c>
      <c r="C112" s="532"/>
      <c r="D112" s="532"/>
      <c r="E112" s="532"/>
      <c r="F112" s="532"/>
      <c r="G112" s="532"/>
      <c r="H112" s="532"/>
      <c r="I112" s="532"/>
      <c r="J112" s="532"/>
      <c r="K112" s="532"/>
      <c r="L112" s="532"/>
      <c r="M112" s="532"/>
      <c r="N112" s="532"/>
      <c r="O112" s="532"/>
      <c r="P112" s="532"/>
      <c r="Q112" s="532"/>
      <c r="R112" s="532"/>
      <c r="S112" s="532"/>
      <c r="T112" s="535">
        <v>-6</v>
      </c>
      <c r="U112" s="451"/>
      <c r="V112" s="405"/>
    </row>
    <row r="113" spans="1:22" x14ac:dyDescent="0.3">
      <c r="A113" s="569">
        <f t="shared" ref="A113:A118" si="0">+A112+1</f>
        <v>9</v>
      </c>
      <c r="B113" s="532" t="s">
        <v>49</v>
      </c>
      <c r="C113" s="532"/>
      <c r="D113" s="532"/>
      <c r="E113" s="532"/>
      <c r="F113" s="532"/>
      <c r="G113" s="532"/>
      <c r="H113" s="532"/>
      <c r="I113" s="532"/>
      <c r="J113" s="532"/>
      <c r="K113" s="532"/>
      <c r="L113" s="532"/>
      <c r="M113" s="532"/>
      <c r="N113" s="532"/>
      <c r="O113" s="532"/>
      <c r="P113" s="532"/>
      <c r="Q113" s="532"/>
      <c r="R113" s="531">
        <f>-T113</f>
        <v>-34</v>
      </c>
      <c r="S113" s="532"/>
      <c r="T113" s="535">
        <v>34</v>
      </c>
      <c r="U113" s="451"/>
      <c r="V113" s="405"/>
    </row>
    <row r="114" spans="1:22" x14ac:dyDescent="0.3">
      <c r="A114" s="569">
        <f t="shared" si="0"/>
        <v>10</v>
      </c>
      <c r="B114" s="532" t="s">
        <v>134</v>
      </c>
      <c r="C114" s="532"/>
      <c r="D114" s="532"/>
      <c r="E114" s="532"/>
      <c r="F114" s="532"/>
      <c r="G114" s="532"/>
      <c r="H114" s="532"/>
      <c r="I114" s="532"/>
      <c r="J114" s="532"/>
      <c r="K114" s="532"/>
      <c r="L114" s="532"/>
      <c r="M114" s="532"/>
      <c r="N114" s="532"/>
      <c r="O114" s="532"/>
      <c r="P114" s="532"/>
      <c r="Q114" s="532"/>
      <c r="R114" s="532"/>
      <c r="S114" s="532"/>
      <c r="T114" s="535">
        <v>0</v>
      </c>
      <c r="U114" s="451"/>
      <c r="V114" s="405"/>
    </row>
    <row r="115" spans="1:22" x14ac:dyDescent="0.3">
      <c r="A115" s="569">
        <f t="shared" si="0"/>
        <v>11</v>
      </c>
      <c r="B115" s="532" t="s">
        <v>39</v>
      </c>
      <c r="C115" s="532"/>
      <c r="D115" s="532"/>
      <c r="E115" s="532"/>
      <c r="F115" s="532"/>
      <c r="G115" s="532"/>
      <c r="H115" s="532"/>
      <c r="I115" s="532"/>
      <c r="J115" s="532"/>
      <c r="K115" s="532"/>
      <c r="L115" s="532"/>
      <c r="M115" s="532"/>
      <c r="N115" s="532"/>
      <c r="O115" s="532"/>
      <c r="P115" s="532"/>
      <c r="Q115" s="532"/>
      <c r="R115" s="532"/>
      <c r="S115" s="532"/>
      <c r="T115" s="535">
        <v>0</v>
      </c>
      <c r="U115" s="451"/>
      <c r="V115" s="405"/>
    </row>
    <row r="116" spans="1:22" x14ac:dyDescent="0.3">
      <c r="A116" s="569">
        <f t="shared" si="0"/>
        <v>12</v>
      </c>
      <c r="B116" s="532" t="s">
        <v>40</v>
      </c>
      <c r="C116" s="532"/>
      <c r="D116" s="532"/>
      <c r="E116" s="532"/>
      <c r="F116" s="532"/>
      <c r="G116" s="532"/>
      <c r="H116" s="532"/>
      <c r="I116" s="532"/>
      <c r="J116" s="532"/>
      <c r="K116" s="532"/>
      <c r="L116" s="532"/>
      <c r="M116" s="532"/>
      <c r="N116" s="532"/>
      <c r="O116" s="532"/>
      <c r="P116" s="532"/>
      <c r="Q116" s="532"/>
      <c r="R116" s="532"/>
      <c r="S116" s="532"/>
      <c r="T116" s="535">
        <v>0</v>
      </c>
      <c r="U116" s="451"/>
      <c r="V116" s="405"/>
    </row>
    <row r="117" spans="1:22" x14ac:dyDescent="0.3">
      <c r="A117" s="569">
        <f t="shared" si="0"/>
        <v>13</v>
      </c>
      <c r="B117" s="532" t="s">
        <v>161</v>
      </c>
      <c r="C117" s="532"/>
      <c r="D117" s="532"/>
      <c r="E117" s="532"/>
      <c r="F117" s="532"/>
      <c r="G117" s="532"/>
      <c r="H117" s="532"/>
      <c r="I117" s="532"/>
      <c r="J117" s="532"/>
      <c r="K117" s="532"/>
      <c r="L117" s="532"/>
      <c r="M117" s="532"/>
      <c r="N117" s="532"/>
      <c r="O117" s="532"/>
      <c r="P117" s="532"/>
      <c r="Q117" s="532"/>
      <c r="R117" s="532"/>
      <c r="S117" s="532"/>
      <c r="T117" s="535">
        <v>-90</v>
      </c>
      <c r="U117" s="451"/>
      <c r="V117" s="405"/>
    </row>
    <row r="118" spans="1:22" x14ac:dyDescent="0.3">
      <c r="A118" s="569">
        <f t="shared" si="0"/>
        <v>14</v>
      </c>
      <c r="B118" s="532" t="s">
        <v>135</v>
      </c>
      <c r="C118" s="532"/>
      <c r="D118" s="532"/>
      <c r="E118" s="532"/>
      <c r="F118" s="532"/>
      <c r="G118" s="532"/>
      <c r="H118" s="532"/>
      <c r="I118" s="532"/>
      <c r="J118" s="532"/>
      <c r="K118" s="532"/>
      <c r="L118" s="532"/>
      <c r="M118" s="532"/>
      <c r="N118" s="532"/>
      <c r="O118" s="532"/>
      <c r="P118" s="532"/>
      <c r="Q118" s="532"/>
      <c r="R118" s="532"/>
      <c r="S118" s="532"/>
      <c r="T118" s="535">
        <f>-T97-SUM(T99:T117)</f>
        <v>-718</v>
      </c>
      <c r="U118" s="451"/>
      <c r="V118" s="405"/>
    </row>
    <row r="119" spans="1:22" x14ac:dyDescent="0.3">
      <c r="A119" s="418"/>
      <c r="B119" s="522" t="s">
        <v>41</v>
      </c>
      <c r="C119" s="448"/>
      <c r="D119" s="448"/>
      <c r="E119" s="448"/>
      <c r="F119" s="448"/>
      <c r="G119" s="448"/>
      <c r="H119" s="448"/>
      <c r="I119" s="448"/>
      <c r="J119" s="448"/>
      <c r="K119" s="448"/>
      <c r="L119" s="448"/>
      <c r="M119" s="448"/>
      <c r="N119" s="448"/>
      <c r="O119" s="448"/>
      <c r="P119" s="448"/>
      <c r="Q119" s="448"/>
      <c r="R119" s="448"/>
      <c r="S119" s="448"/>
      <c r="T119" s="454"/>
      <c r="U119" s="451"/>
      <c r="V119" s="405"/>
    </row>
    <row r="120" spans="1:22" x14ac:dyDescent="0.3">
      <c r="A120" s="428"/>
      <c r="B120" s="532" t="s">
        <v>229</v>
      </c>
      <c r="C120" s="532"/>
      <c r="D120" s="532"/>
      <c r="E120" s="532"/>
      <c r="F120" s="532"/>
      <c r="G120" s="532"/>
      <c r="H120" s="532"/>
      <c r="I120" s="532"/>
      <c r="J120" s="532"/>
      <c r="K120" s="532"/>
      <c r="L120" s="532"/>
      <c r="M120" s="532"/>
      <c r="N120" s="532"/>
      <c r="O120" s="532"/>
      <c r="P120" s="532"/>
      <c r="Q120" s="532"/>
      <c r="R120" s="531">
        <f>-R180</f>
        <v>0</v>
      </c>
      <c r="S120" s="531"/>
      <c r="T120" s="535"/>
      <c r="U120" s="562"/>
      <c r="V120" s="405"/>
    </row>
    <row r="121" spans="1:22" x14ac:dyDescent="0.3">
      <c r="A121" s="428"/>
      <c r="B121" s="532" t="s">
        <v>230</v>
      </c>
      <c r="C121" s="532"/>
      <c r="D121" s="532"/>
      <c r="E121" s="532"/>
      <c r="F121" s="532"/>
      <c r="G121" s="532"/>
      <c r="H121" s="532"/>
      <c r="I121" s="532"/>
      <c r="J121" s="532"/>
      <c r="K121" s="532"/>
      <c r="L121" s="532"/>
      <c r="M121" s="532"/>
      <c r="N121" s="532"/>
      <c r="O121" s="532"/>
      <c r="P121" s="532"/>
      <c r="Q121" s="532"/>
      <c r="R121" s="531">
        <v>0</v>
      </c>
      <c r="S121" s="531"/>
      <c r="T121" s="535"/>
      <c r="U121" s="562"/>
      <c r="V121" s="405"/>
    </row>
    <row r="122" spans="1:22" x14ac:dyDescent="0.3">
      <c r="A122" s="428"/>
      <c r="B122" s="532" t="s">
        <v>42</v>
      </c>
      <c r="C122" s="532"/>
      <c r="D122" s="532"/>
      <c r="E122" s="532"/>
      <c r="F122" s="532"/>
      <c r="G122" s="532"/>
      <c r="H122" s="532"/>
      <c r="I122" s="532"/>
      <c r="J122" s="532"/>
      <c r="K122" s="532"/>
      <c r="L122" s="532"/>
      <c r="M122" s="532"/>
      <c r="N122" s="532"/>
      <c r="O122" s="532"/>
      <c r="P122" s="532"/>
      <c r="Q122" s="532"/>
      <c r="R122" s="531">
        <f>-Q180</f>
        <v>-351</v>
      </c>
      <c r="S122" s="531"/>
      <c r="T122" s="535"/>
      <c r="U122" s="562"/>
      <c r="V122" s="405"/>
    </row>
    <row r="123" spans="1:22" x14ac:dyDescent="0.3">
      <c r="A123" s="428"/>
      <c r="B123" s="532" t="s">
        <v>235</v>
      </c>
      <c r="C123" s="532"/>
      <c r="D123" s="532"/>
      <c r="E123" s="532"/>
      <c r="F123" s="532"/>
      <c r="G123" s="532"/>
      <c r="H123" s="532"/>
      <c r="I123" s="532"/>
      <c r="J123" s="532"/>
      <c r="K123" s="532"/>
      <c r="L123" s="532"/>
      <c r="M123" s="532"/>
      <c r="N123" s="532"/>
      <c r="O123" s="532"/>
      <c r="P123" s="532"/>
      <c r="Q123" s="532"/>
      <c r="R123" s="531">
        <v>-1087</v>
      </c>
      <c r="S123" s="531"/>
      <c r="T123" s="535"/>
      <c r="U123" s="562"/>
      <c r="V123" s="405"/>
    </row>
    <row r="124" spans="1:22" x14ac:dyDescent="0.3">
      <c r="A124" s="428"/>
      <c r="B124" s="532" t="s">
        <v>236</v>
      </c>
      <c r="C124" s="532"/>
      <c r="D124" s="532"/>
      <c r="E124" s="532"/>
      <c r="F124" s="532"/>
      <c r="G124" s="532"/>
      <c r="H124" s="532"/>
      <c r="I124" s="532"/>
      <c r="J124" s="532"/>
      <c r="K124" s="532"/>
      <c r="L124" s="532"/>
      <c r="M124" s="532"/>
      <c r="N124" s="532"/>
      <c r="O124" s="532"/>
      <c r="P124" s="532"/>
      <c r="Q124" s="532"/>
      <c r="R124" s="531">
        <v>-768</v>
      </c>
      <c r="S124" s="531"/>
      <c r="T124" s="535"/>
      <c r="U124" s="562"/>
      <c r="V124" s="405"/>
    </row>
    <row r="125" spans="1:22" x14ac:dyDescent="0.3">
      <c r="A125" s="428"/>
      <c r="B125" s="532" t="s">
        <v>241</v>
      </c>
      <c r="C125" s="532"/>
      <c r="D125" s="532"/>
      <c r="E125" s="532"/>
      <c r="F125" s="532"/>
      <c r="G125" s="532"/>
      <c r="H125" s="532"/>
      <c r="I125" s="532"/>
      <c r="J125" s="532"/>
      <c r="K125" s="532"/>
      <c r="L125" s="532"/>
      <c r="M125" s="532"/>
      <c r="N125" s="532"/>
      <c r="O125" s="532"/>
      <c r="P125" s="532"/>
      <c r="Q125" s="532"/>
      <c r="R125" s="531">
        <v>-107</v>
      </c>
      <c r="S125" s="531"/>
      <c r="T125" s="535"/>
      <c r="U125" s="562"/>
      <c r="V125" s="405"/>
    </row>
    <row r="126" spans="1:22" x14ac:dyDescent="0.3">
      <c r="A126" s="428"/>
      <c r="B126" s="532" t="s">
        <v>237</v>
      </c>
      <c r="C126" s="532"/>
      <c r="D126" s="532"/>
      <c r="E126" s="532"/>
      <c r="F126" s="532"/>
      <c r="G126" s="532"/>
      <c r="H126" s="532"/>
      <c r="I126" s="532"/>
      <c r="J126" s="532"/>
      <c r="K126" s="532"/>
      <c r="L126" s="532"/>
      <c r="M126" s="532"/>
      <c r="N126" s="532"/>
      <c r="O126" s="532"/>
      <c r="P126" s="532"/>
      <c r="Q126" s="532"/>
      <c r="R126" s="531">
        <v>-50</v>
      </c>
      <c r="S126" s="531"/>
      <c r="T126" s="535"/>
      <c r="U126" s="562"/>
      <c r="V126" s="405"/>
    </row>
    <row r="127" spans="1:22" x14ac:dyDescent="0.3">
      <c r="A127" s="428"/>
      <c r="B127" s="532" t="s">
        <v>238</v>
      </c>
      <c r="C127" s="532"/>
      <c r="D127" s="532"/>
      <c r="E127" s="532"/>
      <c r="F127" s="532"/>
      <c r="G127" s="532"/>
      <c r="H127" s="532"/>
      <c r="I127" s="532"/>
      <c r="J127" s="532"/>
      <c r="K127" s="532"/>
      <c r="L127" s="532"/>
      <c r="M127" s="532"/>
      <c r="N127" s="532"/>
      <c r="O127" s="532"/>
      <c r="P127" s="532"/>
      <c r="Q127" s="532"/>
      <c r="R127" s="531">
        <v>-145</v>
      </c>
      <c r="S127" s="531"/>
      <c r="T127" s="535"/>
      <c r="U127" s="562"/>
      <c r="V127" s="405"/>
    </row>
    <row r="128" spans="1:22" x14ac:dyDescent="0.3">
      <c r="A128" s="428"/>
      <c r="B128" s="532" t="s">
        <v>239</v>
      </c>
      <c r="C128" s="532"/>
      <c r="D128" s="532"/>
      <c r="E128" s="532"/>
      <c r="F128" s="532"/>
      <c r="G128" s="532"/>
      <c r="H128" s="532"/>
      <c r="I128" s="532"/>
      <c r="J128" s="532"/>
      <c r="K128" s="532"/>
      <c r="L128" s="532"/>
      <c r="M128" s="532"/>
      <c r="N128" s="532"/>
      <c r="O128" s="532"/>
      <c r="P128" s="532"/>
      <c r="Q128" s="532"/>
      <c r="R128" s="531">
        <v>-21</v>
      </c>
      <c r="S128" s="531"/>
      <c r="T128" s="535"/>
      <c r="U128" s="562"/>
      <c r="V128" s="405"/>
    </row>
    <row r="129" spans="1:22" x14ac:dyDescent="0.3">
      <c r="A129" s="428"/>
      <c r="B129" s="532" t="s">
        <v>240</v>
      </c>
      <c r="C129" s="532"/>
      <c r="D129" s="532"/>
      <c r="E129" s="532"/>
      <c r="F129" s="532"/>
      <c r="G129" s="532"/>
      <c r="H129" s="532"/>
      <c r="I129" s="532"/>
      <c r="J129" s="532"/>
      <c r="K129" s="532"/>
      <c r="L129" s="532"/>
      <c r="M129" s="532"/>
      <c r="N129" s="532"/>
      <c r="O129" s="532"/>
      <c r="P129" s="532"/>
      <c r="Q129" s="532"/>
      <c r="R129" s="531">
        <f>-324</f>
        <v>-324</v>
      </c>
      <c r="S129" s="531"/>
      <c r="T129" s="535"/>
      <c r="U129" s="562"/>
      <c r="V129" s="405"/>
    </row>
    <row r="130" spans="1:22" x14ac:dyDescent="0.3">
      <c r="A130" s="428"/>
      <c r="B130" s="532" t="s">
        <v>43</v>
      </c>
      <c r="C130" s="532"/>
      <c r="D130" s="532"/>
      <c r="E130" s="532"/>
      <c r="F130" s="532"/>
      <c r="G130" s="532"/>
      <c r="H130" s="532"/>
      <c r="I130" s="532"/>
      <c r="J130" s="532"/>
      <c r="K130" s="532"/>
      <c r="L130" s="532"/>
      <c r="M130" s="532"/>
      <c r="N130" s="532"/>
      <c r="O130" s="532"/>
      <c r="P130" s="532"/>
      <c r="Q130" s="532"/>
      <c r="R130" s="531">
        <f>SUM(R120:R129)</f>
        <v>-2853</v>
      </c>
      <c r="S130" s="531"/>
      <c r="T130" s="531">
        <f>SUM(T98:T128)</f>
        <v>-1367</v>
      </c>
      <c r="U130" s="562"/>
      <c r="V130" s="405"/>
    </row>
    <row r="131" spans="1:22" x14ac:dyDescent="0.3">
      <c r="A131" s="428"/>
      <c r="B131" s="532" t="s">
        <v>44</v>
      </c>
      <c r="C131" s="532"/>
      <c r="D131" s="532"/>
      <c r="E131" s="532"/>
      <c r="F131" s="532"/>
      <c r="G131" s="532"/>
      <c r="H131" s="532"/>
      <c r="I131" s="532"/>
      <c r="J131" s="532"/>
      <c r="K131" s="532"/>
      <c r="L131" s="532"/>
      <c r="M131" s="532"/>
      <c r="N131" s="532"/>
      <c r="O131" s="532"/>
      <c r="P131" s="532"/>
      <c r="Q131" s="532"/>
      <c r="R131" s="531">
        <f>R97+R130+R113</f>
        <v>0</v>
      </c>
      <c r="S131" s="531"/>
      <c r="T131" s="531">
        <f>T97+T130</f>
        <v>0</v>
      </c>
      <c r="U131" s="562"/>
      <c r="V131" s="405"/>
    </row>
    <row r="132" spans="1:22" x14ac:dyDescent="0.3">
      <c r="A132" s="430"/>
      <c r="B132" s="431"/>
      <c r="C132" s="431"/>
      <c r="D132" s="431"/>
      <c r="E132" s="431"/>
      <c r="F132" s="431"/>
      <c r="G132" s="431"/>
      <c r="H132" s="431"/>
      <c r="I132" s="431"/>
      <c r="J132" s="431"/>
      <c r="K132" s="431"/>
      <c r="L132" s="431"/>
      <c r="M132" s="431"/>
      <c r="N132" s="431"/>
      <c r="O132" s="431"/>
      <c r="P132" s="431"/>
      <c r="Q132" s="431"/>
      <c r="R132" s="455"/>
      <c r="S132" s="455"/>
      <c r="T132" s="455"/>
      <c r="U132" s="431"/>
      <c r="V132" s="405"/>
    </row>
    <row r="133" spans="1:22" x14ac:dyDescent="0.3">
      <c r="A133" s="430"/>
      <c r="B133" s="434"/>
      <c r="C133" s="434"/>
      <c r="D133" s="434"/>
      <c r="E133" s="434"/>
      <c r="F133" s="434"/>
      <c r="G133" s="434"/>
      <c r="H133" s="434"/>
      <c r="I133" s="434"/>
      <c r="J133" s="434"/>
      <c r="K133" s="434"/>
      <c r="L133" s="434"/>
      <c r="M133" s="434"/>
      <c r="N133" s="434"/>
      <c r="O133" s="434"/>
      <c r="P133" s="434"/>
      <c r="Q133" s="434"/>
      <c r="R133" s="434"/>
      <c r="S133" s="434"/>
      <c r="T133" s="456"/>
      <c r="U133" s="434"/>
      <c r="V133" s="405"/>
    </row>
    <row r="134" spans="1:22" ht="18.600000000000001" thickBot="1" x14ac:dyDescent="0.4">
      <c r="A134" s="437"/>
      <c r="B134" s="565" t="str">
        <f>B61</f>
        <v>PM9 INVESTOR REPORT QUARTER ENDING OCTOBER 2017</v>
      </c>
      <c r="C134" s="438"/>
      <c r="D134" s="438"/>
      <c r="E134" s="438"/>
      <c r="F134" s="438"/>
      <c r="G134" s="438"/>
      <c r="H134" s="438"/>
      <c r="I134" s="438"/>
      <c r="J134" s="438"/>
      <c r="K134" s="438"/>
      <c r="L134" s="438"/>
      <c r="M134" s="438"/>
      <c r="N134" s="438"/>
      <c r="O134" s="438"/>
      <c r="P134" s="438"/>
      <c r="Q134" s="438"/>
      <c r="R134" s="438"/>
      <c r="S134" s="438"/>
      <c r="T134" s="457"/>
      <c r="U134" s="440"/>
      <c r="V134" s="405"/>
    </row>
    <row r="135" spans="1:22" x14ac:dyDescent="0.3">
      <c r="A135" s="507"/>
      <c r="B135" s="508" t="s">
        <v>45</v>
      </c>
      <c r="C135" s="509"/>
      <c r="D135" s="509"/>
      <c r="E135" s="509"/>
      <c r="F135" s="509"/>
      <c r="G135" s="509"/>
      <c r="H135" s="509"/>
      <c r="I135" s="509"/>
      <c r="J135" s="509"/>
      <c r="K135" s="509"/>
      <c r="L135" s="509"/>
      <c r="M135" s="509"/>
      <c r="N135" s="509"/>
      <c r="O135" s="509"/>
      <c r="P135" s="509"/>
      <c r="Q135" s="509"/>
      <c r="R135" s="509"/>
      <c r="S135" s="509"/>
      <c r="T135" s="510"/>
      <c r="U135" s="509"/>
      <c r="V135" s="405"/>
    </row>
    <row r="136" spans="1:22" x14ac:dyDescent="0.3">
      <c r="A136" s="407"/>
      <c r="B136" s="458"/>
      <c r="C136" s="409"/>
      <c r="D136" s="409"/>
      <c r="E136" s="409"/>
      <c r="F136" s="409"/>
      <c r="G136" s="409"/>
      <c r="H136" s="409"/>
      <c r="I136" s="409"/>
      <c r="J136" s="409"/>
      <c r="K136" s="409"/>
      <c r="L136" s="409"/>
      <c r="M136" s="409"/>
      <c r="N136" s="409"/>
      <c r="O136" s="409"/>
      <c r="P136" s="409"/>
      <c r="Q136" s="409"/>
      <c r="R136" s="409"/>
      <c r="S136" s="409"/>
      <c r="T136" s="441"/>
      <c r="U136" s="409"/>
      <c r="V136" s="405"/>
    </row>
    <row r="137" spans="1:22" x14ac:dyDescent="0.3">
      <c r="A137" s="407"/>
      <c r="B137" s="523" t="s">
        <v>46</v>
      </c>
      <c r="C137" s="409"/>
      <c r="D137" s="409"/>
      <c r="E137" s="409"/>
      <c r="F137" s="409"/>
      <c r="G137" s="409"/>
      <c r="H137" s="409"/>
      <c r="I137" s="409"/>
      <c r="J137" s="409"/>
      <c r="K137" s="409"/>
      <c r="L137" s="409"/>
      <c r="M137" s="409"/>
      <c r="N137" s="409"/>
      <c r="O137" s="409"/>
      <c r="P137" s="409"/>
      <c r="Q137" s="409"/>
      <c r="R137" s="409"/>
      <c r="S137" s="409"/>
      <c r="T137" s="441"/>
      <c r="U137" s="409"/>
      <c r="V137" s="405"/>
    </row>
    <row r="138" spans="1:22" x14ac:dyDescent="0.3">
      <c r="A138" s="418"/>
      <c r="B138" s="532" t="s">
        <v>47</v>
      </c>
      <c r="C138" s="532"/>
      <c r="D138" s="532"/>
      <c r="E138" s="532"/>
      <c r="F138" s="532"/>
      <c r="G138" s="532"/>
      <c r="H138" s="532"/>
      <c r="I138" s="532"/>
      <c r="J138" s="532"/>
      <c r="K138" s="532"/>
      <c r="L138" s="532"/>
      <c r="M138" s="532"/>
      <c r="N138" s="532"/>
      <c r="O138" s="532"/>
      <c r="P138" s="532"/>
      <c r="Q138" s="532"/>
      <c r="R138" s="532"/>
      <c r="S138" s="532"/>
      <c r="T138" s="535">
        <f>+T32*0.0176</f>
        <v>12320</v>
      </c>
      <c r="U138" s="420"/>
      <c r="V138" s="405"/>
    </row>
    <row r="139" spans="1:22" x14ac:dyDescent="0.3">
      <c r="A139" s="418"/>
      <c r="B139" s="532" t="s">
        <v>48</v>
      </c>
      <c r="C139" s="532"/>
      <c r="D139" s="532"/>
      <c r="E139" s="532"/>
      <c r="F139" s="532"/>
      <c r="G139" s="532"/>
      <c r="H139" s="532"/>
      <c r="I139" s="532"/>
      <c r="J139" s="532"/>
      <c r="K139" s="532"/>
      <c r="L139" s="532"/>
      <c r="M139" s="532"/>
      <c r="N139" s="532"/>
      <c r="O139" s="532"/>
      <c r="P139" s="532"/>
      <c r="Q139" s="532"/>
      <c r="R139" s="532"/>
      <c r="S139" s="532"/>
      <c r="T139" s="535">
        <v>12320</v>
      </c>
      <c r="U139" s="420"/>
      <c r="V139" s="405"/>
    </row>
    <row r="140" spans="1:22" x14ac:dyDescent="0.3">
      <c r="A140" s="418"/>
      <c r="B140" s="532" t="s">
        <v>145</v>
      </c>
      <c r="C140" s="532"/>
      <c r="D140" s="532"/>
      <c r="E140" s="532"/>
      <c r="F140" s="532"/>
      <c r="G140" s="532"/>
      <c r="H140" s="532"/>
      <c r="I140" s="532"/>
      <c r="J140" s="532"/>
      <c r="K140" s="532"/>
      <c r="L140" s="532"/>
      <c r="M140" s="532"/>
      <c r="N140" s="532"/>
      <c r="O140" s="532"/>
      <c r="P140" s="532"/>
      <c r="Q140" s="532"/>
      <c r="R140" s="532"/>
      <c r="S140" s="532"/>
      <c r="T140" s="535">
        <v>0</v>
      </c>
      <c r="U140" s="420"/>
      <c r="V140" s="405"/>
    </row>
    <row r="141" spans="1:22" x14ac:dyDescent="0.3">
      <c r="A141" s="418"/>
      <c r="B141" s="532" t="s">
        <v>132</v>
      </c>
      <c r="C141" s="532"/>
      <c r="D141" s="532"/>
      <c r="E141" s="532"/>
      <c r="F141" s="532"/>
      <c r="G141" s="532"/>
      <c r="H141" s="532"/>
      <c r="I141" s="532"/>
      <c r="J141" s="532"/>
      <c r="K141" s="532"/>
      <c r="L141" s="532"/>
      <c r="M141" s="532"/>
      <c r="N141" s="532"/>
      <c r="O141" s="532"/>
      <c r="P141" s="532"/>
      <c r="Q141" s="532"/>
      <c r="R141" s="532"/>
      <c r="S141" s="532"/>
      <c r="T141" s="535">
        <v>0</v>
      </c>
      <c r="U141" s="420"/>
      <c r="V141" s="405"/>
    </row>
    <row r="142" spans="1:22" x14ac:dyDescent="0.3">
      <c r="A142" s="418"/>
      <c r="B142" s="532" t="s">
        <v>133</v>
      </c>
      <c r="C142" s="532"/>
      <c r="D142" s="532"/>
      <c r="E142" s="532"/>
      <c r="F142" s="532"/>
      <c r="G142" s="532"/>
      <c r="H142" s="532"/>
      <c r="I142" s="532"/>
      <c r="J142" s="532"/>
      <c r="K142" s="532"/>
      <c r="L142" s="532"/>
      <c r="M142" s="532"/>
      <c r="N142" s="532"/>
      <c r="O142" s="532"/>
      <c r="P142" s="532"/>
      <c r="Q142" s="532"/>
      <c r="R142" s="532"/>
      <c r="S142" s="532"/>
      <c r="T142" s="535">
        <v>0</v>
      </c>
      <c r="U142" s="420"/>
      <c r="V142" s="405"/>
    </row>
    <row r="143" spans="1:22" x14ac:dyDescent="0.3">
      <c r="A143" s="418"/>
      <c r="B143" s="532" t="s">
        <v>232</v>
      </c>
      <c r="C143" s="532"/>
      <c r="D143" s="532"/>
      <c r="E143" s="532"/>
      <c r="F143" s="532"/>
      <c r="G143" s="532"/>
      <c r="H143" s="532"/>
      <c r="I143" s="532"/>
      <c r="J143" s="532"/>
      <c r="K143" s="532"/>
      <c r="L143" s="532"/>
      <c r="M143" s="532"/>
      <c r="N143" s="532"/>
      <c r="O143" s="532"/>
      <c r="P143" s="532"/>
      <c r="Q143" s="532"/>
      <c r="R143" s="532"/>
      <c r="S143" s="532"/>
      <c r="T143" s="535">
        <v>0</v>
      </c>
      <c r="U143" s="420"/>
      <c r="V143" s="405"/>
    </row>
    <row r="144" spans="1:22" x14ac:dyDescent="0.3">
      <c r="A144" s="418"/>
      <c r="B144" s="532" t="s">
        <v>49</v>
      </c>
      <c r="C144" s="532"/>
      <c r="D144" s="532"/>
      <c r="E144" s="532"/>
      <c r="F144" s="532"/>
      <c r="G144" s="532"/>
      <c r="H144" s="532"/>
      <c r="I144" s="532"/>
      <c r="J144" s="532"/>
      <c r="K144" s="532"/>
      <c r="L144" s="532"/>
      <c r="M144" s="532"/>
      <c r="N144" s="532"/>
      <c r="O144" s="532"/>
      <c r="P144" s="532"/>
      <c r="Q144" s="532"/>
      <c r="R144" s="532"/>
      <c r="S144" s="532"/>
      <c r="T144" s="535">
        <v>0</v>
      </c>
      <c r="U144" s="420"/>
      <c r="V144" s="405"/>
    </row>
    <row r="145" spans="1:23" x14ac:dyDescent="0.3">
      <c r="A145" s="418"/>
      <c r="B145" s="532" t="s">
        <v>138</v>
      </c>
      <c r="C145" s="532"/>
      <c r="D145" s="532"/>
      <c r="E145" s="532"/>
      <c r="F145" s="532"/>
      <c r="G145" s="532"/>
      <c r="H145" s="532"/>
      <c r="I145" s="532"/>
      <c r="J145" s="532"/>
      <c r="K145" s="532"/>
      <c r="L145" s="532"/>
      <c r="M145" s="532"/>
      <c r="N145" s="532"/>
      <c r="O145" s="532"/>
      <c r="P145" s="532"/>
      <c r="Q145" s="532"/>
      <c r="R145" s="532"/>
      <c r="S145" s="532"/>
      <c r="T145" s="535">
        <v>0</v>
      </c>
      <c r="U145" s="420"/>
      <c r="V145" s="405"/>
    </row>
    <row r="146" spans="1:23" x14ac:dyDescent="0.3">
      <c r="A146" s="418"/>
      <c r="B146" s="532" t="s">
        <v>231</v>
      </c>
      <c r="C146" s="532"/>
      <c r="D146" s="532"/>
      <c r="E146" s="532"/>
      <c r="F146" s="532"/>
      <c r="G146" s="532"/>
      <c r="H146" s="532"/>
      <c r="I146" s="532"/>
      <c r="J146" s="532"/>
      <c r="K146" s="532"/>
      <c r="L146" s="532"/>
      <c r="M146" s="532"/>
      <c r="N146" s="532"/>
      <c r="O146" s="532"/>
      <c r="P146" s="532"/>
      <c r="Q146" s="532"/>
      <c r="R146" s="532"/>
      <c r="S146" s="532"/>
      <c r="T146" s="535">
        <v>0</v>
      </c>
      <c r="U146" s="420"/>
      <c r="V146" s="405"/>
      <c r="W146" s="452"/>
    </row>
    <row r="147" spans="1:23" x14ac:dyDescent="0.3">
      <c r="A147" s="418"/>
      <c r="B147" s="532" t="s">
        <v>50</v>
      </c>
      <c r="C147" s="532"/>
      <c r="D147" s="532"/>
      <c r="E147" s="532"/>
      <c r="F147" s="532"/>
      <c r="G147" s="532"/>
      <c r="H147" s="532"/>
      <c r="I147" s="532"/>
      <c r="J147" s="532"/>
      <c r="K147" s="532"/>
      <c r="L147" s="532"/>
      <c r="M147" s="532"/>
      <c r="N147" s="532"/>
      <c r="O147" s="532"/>
      <c r="P147" s="532"/>
      <c r="Q147" s="532"/>
      <c r="R147" s="532"/>
      <c r="S147" s="532"/>
      <c r="T147" s="535">
        <f>SUM(T139:T146)</f>
        <v>12320</v>
      </c>
      <c r="U147" s="420"/>
      <c r="V147" s="405"/>
    </row>
    <row r="148" spans="1:23" x14ac:dyDescent="0.3">
      <c r="A148" s="418"/>
      <c r="B148" s="448"/>
      <c r="C148" s="448"/>
      <c r="D148" s="448"/>
      <c r="E148" s="448"/>
      <c r="F148" s="448"/>
      <c r="G148" s="448"/>
      <c r="H148" s="448"/>
      <c r="I148" s="448"/>
      <c r="J148" s="448"/>
      <c r="K148" s="448"/>
      <c r="L148" s="448"/>
      <c r="M148" s="448"/>
      <c r="N148" s="448"/>
      <c r="O148" s="448"/>
      <c r="P148" s="448"/>
      <c r="Q148" s="448"/>
      <c r="R148" s="448"/>
      <c r="S148" s="448"/>
      <c r="T148" s="450"/>
      <c r="U148" s="451"/>
      <c r="V148" s="405"/>
    </row>
    <row r="149" spans="1:23" x14ac:dyDescent="0.3">
      <c r="A149" s="418"/>
      <c r="B149" s="522" t="s">
        <v>264</v>
      </c>
      <c r="C149" s="448"/>
      <c r="D149" s="448"/>
      <c r="E149" s="448"/>
      <c r="F149" s="448"/>
      <c r="G149" s="448"/>
      <c r="H149" s="448"/>
      <c r="I149" s="448"/>
      <c r="J149" s="448"/>
      <c r="K149" s="448"/>
      <c r="L149" s="448"/>
      <c r="M149" s="448"/>
      <c r="N149" s="448"/>
      <c r="O149" s="448"/>
      <c r="P149" s="448"/>
      <c r="Q149" s="448"/>
      <c r="R149" s="448"/>
      <c r="S149" s="448"/>
      <c r="T149" s="450"/>
      <c r="U149" s="451"/>
      <c r="V149" s="405"/>
    </row>
    <row r="150" spans="1:23" x14ac:dyDescent="0.3">
      <c r="A150" s="418"/>
      <c r="B150" s="532" t="s">
        <v>170</v>
      </c>
      <c r="C150" s="532"/>
      <c r="D150" s="532"/>
      <c r="E150" s="532"/>
      <c r="F150" s="532"/>
      <c r="G150" s="532"/>
      <c r="H150" s="532"/>
      <c r="I150" s="532"/>
      <c r="J150" s="532"/>
      <c r="K150" s="532"/>
      <c r="L150" s="532"/>
      <c r="M150" s="532"/>
      <c r="N150" s="532"/>
      <c r="O150" s="532"/>
      <c r="P150" s="532"/>
      <c r="Q150" s="532"/>
      <c r="R150" s="532"/>
      <c r="S150" s="532"/>
      <c r="T150" s="535">
        <v>10000</v>
      </c>
      <c r="U150" s="420"/>
      <c r="V150" s="405"/>
    </row>
    <row r="151" spans="1:23" x14ac:dyDescent="0.3">
      <c r="A151" s="418"/>
      <c r="B151" s="532" t="s">
        <v>260</v>
      </c>
      <c r="C151" s="532"/>
      <c r="D151" s="532"/>
      <c r="E151" s="532"/>
      <c r="F151" s="532"/>
      <c r="G151" s="532"/>
      <c r="H151" s="532"/>
      <c r="I151" s="532"/>
      <c r="J151" s="532"/>
      <c r="K151" s="532"/>
      <c r="L151" s="532"/>
      <c r="M151" s="532"/>
      <c r="N151" s="532"/>
      <c r="O151" s="532"/>
      <c r="P151" s="532"/>
      <c r="Q151" s="532"/>
      <c r="R151" s="532"/>
      <c r="S151" s="532"/>
      <c r="T151" s="535">
        <v>0</v>
      </c>
      <c r="U151" s="420"/>
      <c r="V151" s="405"/>
    </row>
    <row r="152" spans="1:23" x14ac:dyDescent="0.3">
      <c r="A152" s="418"/>
      <c r="B152" s="532" t="s">
        <v>228</v>
      </c>
      <c r="C152" s="532"/>
      <c r="D152" s="532"/>
      <c r="E152" s="532"/>
      <c r="F152" s="532"/>
      <c r="G152" s="532"/>
      <c r="H152" s="532"/>
      <c r="I152" s="532"/>
      <c r="J152" s="532"/>
      <c r="K152" s="532"/>
      <c r="L152" s="532"/>
      <c r="M152" s="532"/>
      <c r="N152" s="532"/>
      <c r="O152" s="532"/>
      <c r="P152" s="532"/>
      <c r="Q152" s="532"/>
      <c r="R152" s="532"/>
      <c r="S152" s="532"/>
      <c r="T152" s="535">
        <v>0</v>
      </c>
      <c r="U152" s="420"/>
      <c r="V152" s="405"/>
    </row>
    <row r="153" spans="1:23" x14ac:dyDescent="0.3">
      <c r="A153" s="418"/>
      <c r="B153" s="568" t="s">
        <v>327</v>
      </c>
      <c r="C153" s="532"/>
      <c r="D153" s="532"/>
      <c r="E153" s="532"/>
      <c r="F153" s="532"/>
      <c r="G153" s="532"/>
      <c r="H153" s="532"/>
      <c r="I153" s="532"/>
      <c r="J153" s="532"/>
      <c r="K153" s="532"/>
      <c r="L153" s="532"/>
      <c r="M153" s="532"/>
      <c r="N153" s="532"/>
      <c r="O153" s="532"/>
      <c r="P153" s="532"/>
      <c r="Q153" s="532"/>
      <c r="R153" s="532"/>
      <c r="S153" s="532"/>
      <c r="T153" s="535">
        <v>0</v>
      </c>
      <c r="U153" s="420"/>
      <c r="V153" s="405"/>
    </row>
    <row r="154" spans="1:23" x14ac:dyDescent="0.3">
      <c r="A154" s="418"/>
      <c r="B154" s="448"/>
      <c r="C154" s="448"/>
      <c r="D154" s="448"/>
      <c r="E154" s="448"/>
      <c r="F154" s="448"/>
      <c r="G154" s="448"/>
      <c r="H154" s="448"/>
      <c r="I154" s="448"/>
      <c r="J154" s="448"/>
      <c r="K154" s="448"/>
      <c r="L154" s="448"/>
      <c r="M154" s="448"/>
      <c r="N154" s="448"/>
      <c r="O154" s="448"/>
      <c r="P154" s="448"/>
      <c r="Q154" s="448"/>
      <c r="R154" s="448"/>
      <c r="S154" s="448"/>
      <c r="T154" s="450"/>
      <c r="U154" s="451"/>
      <c r="V154" s="405"/>
    </row>
    <row r="155" spans="1:23" x14ac:dyDescent="0.3">
      <c r="A155" s="407"/>
      <c r="B155" s="444"/>
      <c r="C155" s="444"/>
      <c r="D155" s="444"/>
      <c r="E155" s="444"/>
      <c r="F155" s="444"/>
      <c r="G155" s="444"/>
      <c r="H155" s="444"/>
      <c r="I155" s="444"/>
      <c r="J155" s="444"/>
      <c r="K155" s="444"/>
      <c r="L155" s="444"/>
      <c r="M155" s="444"/>
      <c r="N155" s="444"/>
      <c r="O155" s="444"/>
      <c r="P155" s="444"/>
      <c r="Q155" s="444"/>
      <c r="R155" s="444"/>
      <c r="S155" s="444"/>
      <c r="T155" s="459"/>
      <c r="U155" s="444"/>
      <c r="V155" s="405"/>
    </row>
    <row r="156" spans="1:23" x14ac:dyDescent="0.3">
      <c r="A156" s="407"/>
      <c r="B156" s="523" t="s">
        <v>25</v>
      </c>
      <c r="C156" s="409"/>
      <c r="D156" s="409"/>
      <c r="E156" s="409"/>
      <c r="F156" s="409"/>
      <c r="G156" s="409"/>
      <c r="H156" s="409"/>
      <c r="I156" s="409"/>
      <c r="J156" s="409"/>
      <c r="K156" s="409"/>
      <c r="L156" s="409"/>
      <c r="M156" s="409"/>
      <c r="N156" s="409"/>
      <c r="O156" s="409"/>
      <c r="P156" s="409"/>
      <c r="Q156" s="409"/>
      <c r="R156" s="409"/>
      <c r="S156" s="409"/>
      <c r="T156" s="441"/>
      <c r="U156" s="409"/>
      <c r="V156" s="405"/>
    </row>
    <row r="157" spans="1:23" x14ac:dyDescent="0.3">
      <c r="A157" s="418"/>
      <c r="B157" s="532" t="s">
        <v>51</v>
      </c>
      <c r="C157" s="532"/>
      <c r="D157" s="532"/>
      <c r="E157" s="532"/>
      <c r="F157" s="532"/>
      <c r="G157" s="532"/>
      <c r="H157" s="532"/>
      <c r="I157" s="532"/>
      <c r="J157" s="532"/>
      <c r="K157" s="532"/>
      <c r="L157" s="532"/>
      <c r="M157" s="532"/>
      <c r="N157" s="532"/>
      <c r="O157" s="532"/>
      <c r="P157" s="532"/>
      <c r="Q157" s="532"/>
      <c r="R157" s="532"/>
      <c r="S157" s="532"/>
      <c r="T157" s="561" t="s">
        <v>127</v>
      </c>
      <c r="U157" s="451"/>
      <c r="V157" s="405"/>
    </row>
    <row r="158" spans="1:23" x14ac:dyDescent="0.3">
      <c r="A158" s="418"/>
      <c r="B158" s="532" t="s">
        <v>52</v>
      </c>
      <c r="C158" s="532"/>
      <c r="D158" s="532"/>
      <c r="E158" s="532"/>
      <c r="F158" s="532"/>
      <c r="G158" s="532"/>
      <c r="H158" s="532"/>
      <c r="I158" s="532"/>
      <c r="J158" s="532"/>
      <c r="K158" s="532"/>
      <c r="L158" s="532"/>
      <c r="M158" s="532"/>
      <c r="N158" s="532"/>
      <c r="O158" s="532"/>
      <c r="P158" s="532"/>
      <c r="Q158" s="532"/>
      <c r="R158" s="532"/>
      <c r="S158" s="532"/>
      <c r="T158" s="561" t="s">
        <v>127</v>
      </c>
      <c r="U158" s="451"/>
      <c r="V158" s="405"/>
    </row>
    <row r="159" spans="1:23" x14ac:dyDescent="0.3">
      <c r="A159" s="418"/>
      <c r="B159" s="532" t="s">
        <v>53</v>
      </c>
      <c r="C159" s="532"/>
      <c r="D159" s="532"/>
      <c r="E159" s="532"/>
      <c r="F159" s="532"/>
      <c r="G159" s="532"/>
      <c r="H159" s="532"/>
      <c r="I159" s="532"/>
      <c r="J159" s="532"/>
      <c r="K159" s="532"/>
      <c r="L159" s="532"/>
      <c r="M159" s="532"/>
      <c r="N159" s="532"/>
      <c r="O159" s="532"/>
      <c r="P159" s="532"/>
      <c r="Q159" s="532"/>
      <c r="R159" s="532"/>
      <c r="S159" s="532"/>
      <c r="T159" s="561" t="s">
        <v>127</v>
      </c>
      <c r="U159" s="451"/>
      <c r="V159" s="405"/>
    </row>
    <row r="160" spans="1:23" x14ac:dyDescent="0.3">
      <c r="A160" s="418"/>
      <c r="B160" s="532" t="s">
        <v>54</v>
      </c>
      <c r="C160" s="532"/>
      <c r="D160" s="532"/>
      <c r="E160" s="532"/>
      <c r="F160" s="532"/>
      <c r="G160" s="532"/>
      <c r="H160" s="532"/>
      <c r="I160" s="532"/>
      <c r="J160" s="532"/>
      <c r="K160" s="532"/>
      <c r="L160" s="532"/>
      <c r="M160" s="532"/>
      <c r="N160" s="532"/>
      <c r="O160" s="532"/>
      <c r="P160" s="532"/>
      <c r="Q160" s="532"/>
      <c r="R160" s="532"/>
      <c r="S160" s="532"/>
      <c r="T160" s="561" t="s">
        <v>127</v>
      </c>
      <c r="U160" s="451"/>
      <c r="V160" s="405"/>
    </row>
    <row r="161" spans="1:22" x14ac:dyDescent="0.3">
      <c r="A161" s="407"/>
      <c r="B161" s="444"/>
      <c r="C161" s="444"/>
      <c r="D161" s="444"/>
      <c r="E161" s="444"/>
      <c r="F161" s="444"/>
      <c r="G161" s="444"/>
      <c r="H161" s="444"/>
      <c r="I161" s="444"/>
      <c r="J161" s="444"/>
      <c r="K161" s="444"/>
      <c r="L161" s="444"/>
      <c r="M161" s="444"/>
      <c r="N161" s="444"/>
      <c r="O161" s="444"/>
      <c r="P161" s="444"/>
      <c r="Q161" s="444"/>
      <c r="R161" s="444"/>
      <c r="S161" s="444"/>
      <c r="T161" s="459"/>
      <c r="U161" s="444"/>
      <c r="V161" s="405"/>
    </row>
    <row r="162" spans="1:22" x14ac:dyDescent="0.3">
      <c r="A162" s="407"/>
      <c r="B162" s="523" t="s">
        <v>55</v>
      </c>
      <c r="C162" s="409"/>
      <c r="D162" s="409"/>
      <c r="E162" s="409"/>
      <c r="F162" s="409"/>
      <c r="G162" s="409"/>
      <c r="H162" s="409"/>
      <c r="I162" s="409"/>
      <c r="J162" s="409"/>
      <c r="K162" s="409"/>
      <c r="L162" s="409"/>
      <c r="M162" s="409"/>
      <c r="N162" s="409"/>
      <c r="O162" s="409"/>
      <c r="P162" s="409"/>
      <c r="Q162" s="409"/>
      <c r="R162" s="409"/>
      <c r="S162" s="409"/>
      <c r="T162" s="460"/>
      <c r="U162" s="409"/>
      <c r="V162" s="405"/>
    </row>
    <row r="163" spans="1:22" x14ac:dyDescent="0.3">
      <c r="A163" s="418"/>
      <c r="B163" s="532" t="s">
        <v>56</v>
      </c>
      <c r="C163" s="532"/>
      <c r="D163" s="532"/>
      <c r="E163" s="532"/>
      <c r="F163" s="532"/>
      <c r="G163" s="532"/>
      <c r="H163" s="532"/>
      <c r="I163" s="532"/>
      <c r="J163" s="532"/>
      <c r="K163" s="532"/>
      <c r="L163" s="532"/>
      <c r="M163" s="532"/>
      <c r="N163" s="532"/>
      <c r="O163" s="532"/>
      <c r="P163" s="532"/>
      <c r="Q163" s="532"/>
      <c r="R163" s="532"/>
      <c r="S163" s="532"/>
      <c r="T163" s="535">
        <v>0</v>
      </c>
      <c r="U163" s="451"/>
      <c r="V163" s="405"/>
    </row>
    <row r="164" spans="1:22" x14ac:dyDescent="0.3">
      <c r="A164" s="418"/>
      <c r="B164" s="532" t="s">
        <v>57</v>
      </c>
      <c r="C164" s="532"/>
      <c r="D164" s="532"/>
      <c r="E164" s="532"/>
      <c r="F164" s="532"/>
      <c r="G164" s="532"/>
      <c r="H164" s="532"/>
      <c r="I164" s="532"/>
      <c r="J164" s="532"/>
      <c r="K164" s="532"/>
      <c r="L164" s="532"/>
      <c r="M164" s="532"/>
      <c r="N164" s="532"/>
      <c r="O164" s="532"/>
      <c r="P164" s="532"/>
      <c r="Q164" s="532"/>
      <c r="R164" s="532"/>
      <c r="S164" s="532"/>
      <c r="T164" s="535">
        <f>-T113</f>
        <v>-34</v>
      </c>
      <c r="U164" s="451"/>
      <c r="V164" s="405"/>
    </row>
    <row r="165" spans="1:22" x14ac:dyDescent="0.3">
      <c r="A165" s="418"/>
      <c r="B165" s="532" t="s">
        <v>58</v>
      </c>
      <c r="C165" s="532"/>
      <c r="D165" s="532"/>
      <c r="E165" s="532"/>
      <c r="F165" s="532"/>
      <c r="G165" s="532"/>
      <c r="H165" s="532"/>
      <c r="I165" s="532"/>
      <c r="J165" s="532"/>
      <c r="K165" s="532"/>
      <c r="L165" s="532"/>
      <c r="M165" s="532"/>
      <c r="N165" s="532"/>
      <c r="O165" s="532"/>
      <c r="P165" s="532"/>
      <c r="Q165" s="532"/>
      <c r="R165" s="532"/>
      <c r="S165" s="532"/>
      <c r="T165" s="535">
        <f>T164+T163</f>
        <v>-34</v>
      </c>
      <c r="U165" s="451"/>
      <c r="V165" s="405"/>
    </row>
    <row r="166" spans="1:22" x14ac:dyDescent="0.3">
      <c r="A166" s="418"/>
      <c r="B166" s="568" t="s">
        <v>309</v>
      </c>
      <c r="C166" s="532"/>
      <c r="D166" s="532"/>
      <c r="E166" s="532"/>
      <c r="F166" s="532"/>
      <c r="G166" s="532"/>
      <c r="H166" s="532"/>
      <c r="I166" s="532"/>
      <c r="J166" s="532"/>
      <c r="K166" s="532"/>
      <c r="L166" s="532"/>
      <c r="M166" s="532"/>
      <c r="N166" s="532"/>
      <c r="O166" s="532"/>
      <c r="P166" s="532"/>
      <c r="Q166" s="532"/>
      <c r="R166" s="532"/>
      <c r="S166" s="532"/>
      <c r="T166" s="535">
        <f>T113</f>
        <v>34</v>
      </c>
      <c r="U166" s="451"/>
      <c r="V166" s="405"/>
    </row>
    <row r="167" spans="1:22" x14ac:dyDescent="0.3">
      <c r="A167" s="418"/>
      <c r="B167" s="532" t="s">
        <v>59</v>
      </c>
      <c r="C167" s="532"/>
      <c r="D167" s="532"/>
      <c r="E167" s="532"/>
      <c r="F167" s="532"/>
      <c r="G167" s="532"/>
      <c r="H167" s="532"/>
      <c r="I167" s="532"/>
      <c r="J167" s="532"/>
      <c r="K167" s="532"/>
      <c r="L167" s="532"/>
      <c r="M167" s="532"/>
      <c r="N167" s="532"/>
      <c r="O167" s="532"/>
      <c r="P167" s="532"/>
      <c r="Q167" s="532"/>
      <c r="R167" s="532"/>
      <c r="S167" s="532"/>
      <c r="T167" s="535">
        <f>T165+T166</f>
        <v>0</v>
      </c>
      <c r="U167" s="451"/>
      <c r="V167" s="405"/>
    </row>
    <row r="168" spans="1:22" x14ac:dyDescent="0.3">
      <c r="A168" s="418"/>
      <c r="B168" s="532" t="s">
        <v>278</v>
      </c>
      <c r="C168" s="532"/>
      <c r="D168" s="532"/>
      <c r="E168" s="532"/>
      <c r="F168" s="532"/>
      <c r="G168" s="532"/>
      <c r="H168" s="532"/>
      <c r="I168" s="532"/>
      <c r="J168" s="532"/>
      <c r="K168" s="532"/>
      <c r="L168" s="532"/>
      <c r="M168" s="532"/>
      <c r="N168" s="532"/>
      <c r="O168" s="532"/>
      <c r="P168" s="532"/>
      <c r="Q168" s="532"/>
      <c r="R168" s="532"/>
      <c r="S168" s="532"/>
      <c r="T168" s="535">
        <v>0</v>
      </c>
      <c r="U168" s="451"/>
      <c r="V168" s="405"/>
    </row>
    <row r="169" spans="1:22" ht="16.2" thickBot="1" x14ac:dyDescent="0.35">
      <c r="A169" s="407"/>
      <c r="B169" s="431"/>
      <c r="C169" s="431"/>
      <c r="D169" s="431"/>
      <c r="E169" s="431"/>
      <c r="F169" s="431"/>
      <c r="G169" s="431"/>
      <c r="H169" s="431"/>
      <c r="I169" s="431"/>
      <c r="J169" s="431"/>
      <c r="K169" s="431"/>
      <c r="L169" s="431"/>
      <c r="M169" s="431"/>
      <c r="N169" s="431"/>
      <c r="O169" s="431"/>
      <c r="P169" s="431"/>
      <c r="Q169" s="431"/>
      <c r="R169" s="431"/>
      <c r="S169" s="431"/>
      <c r="T169" s="461"/>
      <c r="U169" s="444"/>
      <c r="V169" s="405"/>
    </row>
    <row r="170" spans="1:22" x14ac:dyDescent="0.3">
      <c r="A170" s="403"/>
      <c r="B170" s="404"/>
      <c r="C170" s="404"/>
      <c r="D170" s="404"/>
      <c r="E170" s="404"/>
      <c r="F170" s="404"/>
      <c r="G170" s="404"/>
      <c r="H170" s="404"/>
      <c r="I170" s="404"/>
      <c r="J170" s="404"/>
      <c r="K170" s="404"/>
      <c r="L170" s="404"/>
      <c r="M170" s="404"/>
      <c r="N170" s="404"/>
      <c r="O170" s="404"/>
      <c r="P170" s="404"/>
      <c r="Q170" s="404"/>
      <c r="R170" s="404"/>
      <c r="S170" s="404"/>
      <c r="T170" s="462"/>
      <c r="U170" s="404"/>
      <c r="V170" s="405"/>
    </row>
    <row r="171" spans="1:22" x14ac:dyDescent="0.3">
      <c r="A171" s="407"/>
      <c r="B171" s="523" t="s">
        <v>60</v>
      </c>
      <c r="C171" s="409"/>
      <c r="D171" s="409"/>
      <c r="E171" s="409"/>
      <c r="F171" s="409"/>
      <c r="G171" s="409"/>
      <c r="H171" s="409"/>
      <c r="I171" s="409"/>
      <c r="J171" s="409"/>
      <c r="K171" s="409"/>
      <c r="L171" s="409"/>
      <c r="M171" s="409"/>
      <c r="N171" s="409"/>
      <c r="O171" s="409"/>
      <c r="P171" s="409"/>
      <c r="Q171" s="409"/>
      <c r="R171" s="409"/>
      <c r="S171" s="409"/>
      <c r="T171" s="441"/>
      <c r="U171" s="409"/>
      <c r="V171" s="405"/>
    </row>
    <row r="172" spans="1:22" x14ac:dyDescent="0.3">
      <c r="A172" s="407"/>
      <c r="B172" s="458"/>
      <c r="C172" s="409"/>
      <c r="D172" s="409"/>
      <c r="E172" s="409"/>
      <c r="F172" s="409"/>
      <c r="G172" s="409"/>
      <c r="H172" s="409"/>
      <c r="I172" s="409"/>
      <c r="J172" s="409"/>
      <c r="K172" s="409"/>
      <c r="L172" s="409"/>
      <c r="M172" s="409"/>
      <c r="N172" s="409"/>
      <c r="O172" s="409"/>
      <c r="P172" s="409"/>
      <c r="Q172" s="409"/>
      <c r="R172" s="409"/>
      <c r="S172" s="409"/>
      <c r="T172" s="441"/>
      <c r="U172" s="409"/>
      <c r="V172" s="405"/>
    </row>
    <row r="173" spans="1:22" x14ac:dyDescent="0.3">
      <c r="A173" s="418"/>
      <c r="B173" s="532" t="s">
        <v>61</v>
      </c>
      <c r="C173" s="532"/>
      <c r="D173" s="532"/>
      <c r="E173" s="532"/>
      <c r="F173" s="532"/>
      <c r="G173" s="532"/>
      <c r="H173" s="532"/>
      <c r="I173" s="532"/>
      <c r="J173" s="532"/>
      <c r="K173" s="532"/>
      <c r="L173" s="532"/>
      <c r="M173" s="532"/>
      <c r="N173" s="532"/>
      <c r="O173" s="532"/>
      <c r="P173" s="532"/>
      <c r="Q173" s="532"/>
      <c r="R173" s="532"/>
      <c r="S173" s="532"/>
      <c r="T173" s="535">
        <f>T68</f>
        <v>231219</v>
      </c>
      <c r="U173" s="451"/>
      <c r="V173" s="405"/>
    </row>
    <row r="174" spans="1:22" x14ac:dyDescent="0.3">
      <c r="A174" s="418"/>
      <c r="B174" s="532" t="s">
        <v>62</v>
      </c>
      <c r="C174" s="532"/>
      <c r="D174" s="532"/>
      <c r="E174" s="532"/>
      <c r="F174" s="532"/>
      <c r="G174" s="532"/>
      <c r="H174" s="532"/>
      <c r="I174" s="532"/>
      <c r="J174" s="532"/>
      <c r="K174" s="532"/>
      <c r="L174" s="532"/>
      <c r="M174" s="532"/>
      <c r="N174" s="532"/>
      <c r="O174" s="532"/>
      <c r="P174" s="532"/>
      <c r="Q174" s="532"/>
      <c r="R174" s="532"/>
      <c r="S174" s="532"/>
      <c r="T174" s="535">
        <f>T81</f>
        <v>231219</v>
      </c>
      <c r="U174" s="451"/>
      <c r="V174" s="405"/>
    </row>
    <row r="175" spans="1:22" ht="16.2" thickBot="1" x14ac:dyDescent="0.35">
      <c r="A175" s="407"/>
      <c r="B175" s="444"/>
      <c r="C175" s="444"/>
      <c r="D175" s="444"/>
      <c r="E175" s="444"/>
      <c r="F175" s="444"/>
      <c r="G175" s="444"/>
      <c r="H175" s="444"/>
      <c r="I175" s="444"/>
      <c r="J175" s="444"/>
      <c r="K175" s="444"/>
      <c r="L175" s="444"/>
      <c r="M175" s="444"/>
      <c r="N175" s="444"/>
      <c r="O175" s="444"/>
      <c r="P175" s="444"/>
      <c r="Q175" s="444"/>
      <c r="R175" s="444"/>
      <c r="S175" s="444"/>
      <c r="T175" s="459"/>
      <c r="U175" s="444"/>
      <c r="V175" s="405"/>
    </row>
    <row r="176" spans="1:22" x14ac:dyDescent="0.3">
      <c r="A176" s="403"/>
      <c r="B176" s="404"/>
      <c r="C176" s="404"/>
      <c r="D176" s="404"/>
      <c r="E176" s="404"/>
      <c r="F176" s="404"/>
      <c r="G176" s="404"/>
      <c r="H176" s="404"/>
      <c r="I176" s="404"/>
      <c r="J176" s="404"/>
      <c r="K176" s="404"/>
      <c r="L176" s="404"/>
      <c r="M176" s="404"/>
      <c r="N176" s="404"/>
      <c r="O176" s="404"/>
      <c r="P176" s="404"/>
      <c r="Q176" s="404"/>
      <c r="R176" s="404"/>
      <c r="S176" s="404"/>
      <c r="T176" s="462"/>
      <c r="U176" s="404"/>
      <c r="V176" s="405"/>
    </row>
    <row r="177" spans="1:22" s="529" customFormat="1" x14ac:dyDescent="0.3">
      <c r="A177" s="524"/>
      <c r="B177" s="523" t="s">
        <v>63</v>
      </c>
      <c r="C177" s="525"/>
      <c r="D177" s="525"/>
      <c r="E177" s="525"/>
      <c r="F177" s="525"/>
      <c r="G177" s="525"/>
      <c r="H177" s="526"/>
      <c r="I177" s="526"/>
      <c r="J177" s="526"/>
      <c r="K177" s="526"/>
      <c r="L177" s="526"/>
      <c r="M177" s="526"/>
      <c r="N177" s="526"/>
      <c r="O177" s="526"/>
      <c r="P177" s="526"/>
      <c r="Q177" s="526" t="s">
        <v>107</v>
      </c>
      <c r="R177" s="526" t="s">
        <v>234</v>
      </c>
      <c r="S177" s="411"/>
      <c r="T177" s="527" t="s">
        <v>123</v>
      </c>
      <c r="U177" s="411"/>
      <c r="V177" s="528"/>
    </row>
    <row r="178" spans="1:22" x14ac:dyDescent="0.3">
      <c r="A178" s="418"/>
      <c r="B178" s="532" t="s">
        <v>64</v>
      </c>
      <c r="C178" s="532"/>
      <c r="D178" s="532"/>
      <c r="E178" s="532"/>
      <c r="F178" s="532"/>
      <c r="G178" s="532"/>
      <c r="H178" s="532"/>
      <c r="I178" s="532"/>
      <c r="J178" s="532"/>
      <c r="K178" s="532"/>
      <c r="L178" s="532"/>
      <c r="M178" s="532"/>
      <c r="N178" s="532"/>
      <c r="O178" s="532"/>
      <c r="P178" s="532"/>
      <c r="Q178" s="535">
        <v>112000</v>
      </c>
      <c r="R178" s="550"/>
      <c r="S178" s="532"/>
      <c r="T178" s="535"/>
      <c r="U178" s="420"/>
      <c r="V178" s="405"/>
    </row>
    <row r="179" spans="1:22" x14ac:dyDescent="0.3">
      <c r="A179" s="418"/>
      <c r="B179" s="532" t="s">
        <v>65</v>
      </c>
      <c r="C179" s="532"/>
      <c r="D179" s="532"/>
      <c r="E179" s="532"/>
      <c r="F179" s="532"/>
      <c r="G179" s="532"/>
      <c r="H179" s="532"/>
      <c r="I179" s="532"/>
      <c r="J179" s="532"/>
      <c r="K179" s="532"/>
      <c r="L179" s="532"/>
      <c r="M179" s="532"/>
      <c r="N179" s="532"/>
      <c r="O179" s="532"/>
      <c r="P179" s="532"/>
      <c r="Q179" s="535">
        <f>+'July 17'!Q181</f>
        <v>48943</v>
      </c>
      <c r="R179" s="535">
        <f>+'July 17'!R181</f>
        <v>2435</v>
      </c>
      <c r="S179" s="532"/>
      <c r="T179" s="535">
        <f>Q179+R179</f>
        <v>51378</v>
      </c>
      <c r="U179" s="420"/>
      <c r="V179" s="405"/>
    </row>
    <row r="180" spans="1:22" x14ac:dyDescent="0.3">
      <c r="A180" s="418"/>
      <c r="B180" s="532" t="s">
        <v>66</v>
      </c>
      <c r="C180" s="532"/>
      <c r="D180" s="532"/>
      <c r="E180" s="532"/>
      <c r="F180" s="532"/>
      <c r="G180" s="532"/>
      <c r="H180" s="532"/>
      <c r="I180" s="532"/>
      <c r="J180" s="532"/>
      <c r="K180" s="532"/>
      <c r="L180" s="532"/>
      <c r="M180" s="532"/>
      <c r="N180" s="532"/>
      <c r="O180" s="532"/>
      <c r="P180" s="532"/>
      <c r="Q180" s="531">
        <v>351</v>
      </c>
      <c r="R180" s="531">
        <v>0</v>
      </c>
      <c r="S180" s="532"/>
      <c r="T180" s="535">
        <f>Q180+R180</f>
        <v>351</v>
      </c>
      <c r="U180" s="420"/>
      <c r="V180" s="405"/>
    </row>
    <row r="181" spans="1:22" x14ac:dyDescent="0.3">
      <c r="A181" s="418"/>
      <c r="B181" s="532" t="s">
        <v>67</v>
      </c>
      <c r="C181" s="532"/>
      <c r="D181" s="532"/>
      <c r="E181" s="532"/>
      <c r="F181" s="532"/>
      <c r="G181" s="532"/>
      <c r="H181" s="532"/>
      <c r="I181" s="532"/>
      <c r="J181" s="532"/>
      <c r="K181" s="532"/>
      <c r="L181" s="532"/>
      <c r="M181" s="532"/>
      <c r="N181" s="532"/>
      <c r="O181" s="532"/>
      <c r="P181" s="532"/>
      <c r="Q181" s="535">
        <f>Q179+Q180</f>
        <v>49294</v>
      </c>
      <c r="R181" s="535">
        <f>R180+R179</f>
        <v>2435</v>
      </c>
      <c r="S181" s="532"/>
      <c r="T181" s="535">
        <f>Q181+R181</f>
        <v>51729</v>
      </c>
      <c r="U181" s="420"/>
      <c r="V181" s="405"/>
    </row>
    <row r="182" spans="1:22" x14ac:dyDescent="0.3">
      <c r="A182" s="418"/>
      <c r="B182" s="532" t="s">
        <v>68</v>
      </c>
      <c r="C182" s="532"/>
      <c r="D182" s="532"/>
      <c r="E182" s="532"/>
      <c r="F182" s="532"/>
      <c r="G182" s="532"/>
      <c r="H182" s="532"/>
      <c r="I182" s="532"/>
      <c r="J182" s="532"/>
      <c r="K182" s="532"/>
      <c r="L182" s="532"/>
      <c r="M182" s="532"/>
      <c r="N182" s="532"/>
      <c r="O182" s="532"/>
      <c r="P182" s="532"/>
      <c r="Q182" s="535">
        <f>Q178-Q181-R181</f>
        <v>60271</v>
      </c>
      <c r="R182" s="550"/>
      <c r="S182" s="532"/>
      <c r="T182" s="535"/>
      <c r="U182" s="420"/>
      <c r="V182" s="405"/>
    </row>
    <row r="183" spans="1:22" ht="16.2" thickBot="1" x14ac:dyDescent="0.35">
      <c r="A183" s="407"/>
      <c r="B183" s="444"/>
      <c r="C183" s="444"/>
      <c r="D183" s="444"/>
      <c r="E183" s="444"/>
      <c r="F183" s="444"/>
      <c r="G183" s="444"/>
      <c r="H183" s="444"/>
      <c r="I183" s="444"/>
      <c r="J183" s="444"/>
      <c r="K183" s="444"/>
      <c r="L183" s="444"/>
      <c r="M183" s="444"/>
      <c r="N183" s="444"/>
      <c r="O183" s="444"/>
      <c r="P183" s="444"/>
      <c r="Q183" s="444"/>
      <c r="R183" s="444"/>
      <c r="S183" s="444"/>
      <c r="T183" s="459"/>
      <c r="U183" s="444"/>
      <c r="V183" s="405"/>
    </row>
    <row r="184" spans="1:22" x14ac:dyDescent="0.3">
      <c r="A184" s="403"/>
      <c r="B184" s="404"/>
      <c r="C184" s="404"/>
      <c r="D184" s="404"/>
      <c r="E184" s="404"/>
      <c r="F184" s="404"/>
      <c r="G184" s="404"/>
      <c r="H184" s="404"/>
      <c r="I184" s="404"/>
      <c r="J184" s="404"/>
      <c r="K184" s="404"/>
      <c r="L184" s="404"/>
      <c r="M184" s="404"/>
      <c r="N184" s="404"/>
      <c r="O184" s="404"/>
      <c r="P184" s="404"/>
      <c r="Q184" s="404"/>
      <c r="R184" s="404"/>
      <c r="S184" s="404"/>
      <c r="T184" s="462"/>
      <c r="U184" s="404"/>
      <c r="V184" s="405"/>
    </row>
    <row r="185" spans="1:22" x14ac:dyDescent="0.3">
      <c r="A185" s="407"/>
      <c r="B185" s="523" t="s">
        <v>69</v>
      </c>
      <c r="C185" s="409"/>
      <c r="D185" s="409"/>
      <c r="E185" s="409"/>
      <c r="F185" s="409"/>
      <c r="G185" s="409"/>
      <c r="H185" s="409"/>
      <c r="I185" s="409"/>
      <c r="J185" s="409"/>
      <c r="K185" s="409"/>
      <c r="L185" s="409"/>
      <c r="M185" s="409"/>
      <c r="N185" s="409"/>
      <c r="O185" s="409"/>
      <c r="P185" s="409"/>
      <c r="Q185" s="409"/>
      <c r="R185" s="409"/>
      <c r="S185" s="409"/>
      <c r="T185" s="463"/>
      <c r="U185" s="409"/>
      <c r="V185" s="405"/>
    </row>
    <row r="186" spans="1:22" x14ac:dyDescent="0.3">
      <c r="A186" s="418"/>
      <c r="B186" s="532" t="s">
        <v>70</v>
      </c>
      <c r="C186" s="532"/>
      <c r="D186" s="532"/>
      <c r="E186" s="532"/>
      <c r="F186" s="532"/>
      <c r="G186" s="532"/>
      <c r="H186" s="532"/>
      <c r="I186" s="532"/>
      <c r="J186" s="532"/>
      <c r="K186" s="532"/>
      <c r="L186" s="532"/>
      <c r="M186" s="532"/>
      <c r="N186" s="532"/>
      <c r="O186" s="532"/>
      <c r="P186" s="532"/>
      <c r="Q186" s="532"/>
      <c r="R186" s="532"/>
      <c r="S186" s="532"/>
      <c r="T186" s="561">
        <f>(T97+T99+T100+T101+T102+T103)/-(T104+T105+T106)</f>
        <v>4.1166666666666663</v>
      </c>
      <c r="U186" s="562" t="s">
        <v>124</v>
      </c>
      <c r="V186" s="405"/>
    </row>
    <row r="187" spans="1:22" x14ac:dyDescent="0.3">
      <c r="A187" s="418"/>
      <c r="B187" s="532" t="s">
        <v>71</v>
      </c>
      <c r="C187" s="532"/>
      <c r="D187" s="532"/>
      <c r="E187" s="532"/>
      <c r="F187" s="532"/>
      <c r="G187" s="532"/>
      <c r="H187" s="532"/>
      <c r="I187" s="532"/>
      <c r="J187" s="532"/>
      <c r="K187" s="532"/>
      <c r="L187" s="532"/>
      <c r="M187" s="532"/>
      <c r="N187" s="532"/>
      <c r="O187" s="532"/>
      <c r="P187" s="532"/>
      <c r="Q187" s="532"/>
      <c r="R187" s="532"/>
      <c r="S187" s="532"/>
      <c r="T187" s="563">
        <v>1.71</v>
      </c>
      <c r="U187" s="562" t="s">
        <v>124</v>
      </c>
      <c r="V187" s="405"/>
    </row>
    <row r="188" spans="1:22" x14ac:dyDescent="0.3">
      <c r="A188" s="418"/>
      <c r="B188" s="532" t="s">
        <v>72</v>
      </c>
      <c r="C188" s="532"/>
      <c r="D188" s="532"/>
      <c r="E188" s="532"/>
      <c r="F188" s="532"/>
      <c r="G188" s="532"/>
      <c r="H188" s="532"/>
      <c r="I188" s="532"/>
      <c r="J188" s="532"/>
      <c r="K188" s="532"/>
      <c r="L188" s="532"/>
      <c r="M188" s="532"/>
      <c r="N188" s="532"/>
      <c r="O188" s="532"/>
      <c r="P188" s="532"/>
      <c r="Q188" s="532"/>
      <c r="R188" s="532"/>
      <c r="S188" s="532"/>
      <c r="T188" s="561">
        <f>(T97+T99+T100+T101+T102+T103+T104+T105+T106)/-(T107+T108)</f>
        <v>22.804878048780488</v>
      </c>
      <c r="U188" s="562" t="s">
        <v>124</v>
      </c>
      <c r="V188" s="405"/>
    </row>
    <row r="189" spans="1:22" x14ac:dyDescent="0.3">
      <c r="A189" s="418"/>
      <c r="B189" s="532" t="s">
        <v>73</v>
      </c>
      <c r="C189" s="532"/>
      <c r="D189" s="532"/>
      <c r="E189" s="532"/>
      <c r="F189" s="532"/>
      <c r="G189" s="532"/>
      <c r="H189" s="532"/>
      <c r="I189" s="532"/>
      <c r="J189" s="532"/>
      <c r="K189" s="532"/>
      <c r="L189" s="532"/>
      <c r="M189" s="532"/>
      <c r="N189" s="532"/>
      <c r="O189" s="532"/>
      <c r="P189" s="532"/>
      <c r="Q189" s="532"/>
      <c r="R189" s="532"/>
      <c r="S189" s="532"/>
      <c r="T189" s="564">
        <v>9.7200000000000006</v>
      </c>
      <c r="U189" s="562" t="s">
        <v>124</v>
      </c>
      <c r="V189" s="405"/>
    </row>
    <row r="190" spans="1:22" x14ac:dyDescent="0.3">
      <c r="A190" s="418"/>
      <c r="B190" s="532" t="s">
        <v>243</v>
      </c>
      <c r="C190" s="532"/>
      <c r="D190" s="532"/>
      <c r="E190" s="532"/>
      <c r="F190" s="532"/>
      <c r="G190" s="532"/>
      <c r="H190" s="532"/>
      <c r="I190" s="532"/>
      <c r="J190" s="532"/>
      <c r="K190" s="532"/>
      <c r="L190" s="532"/>
      <c r="M190" s="532"/>
      <c r="N190" s="532"/>
      <c r="O190" s="532"/>
      <c r="P190" s="532"/>
      <c r="Q190" s="532"/>
      <c r="R190" s="532"/>
      <c r="S190" s="532"/>
      <c r="T190" s="561">
        <f>(T97+T99+T100+T101+T102+T103+T104+T105+T106+T107+T108)/-(T109+T110)</f>
        <v>7.8421052631578947</v>
      </c>
      <c r="U190" s="562" t="s">
        <v>124</v>
      </c>
      <c r="V190" s="405"/>
    </row>
    <row r="191" spans="1:22" x14ac:dyDescent="0.3">
      <c r="A191" s="418"/>
      <c r="B191" s="532" t="s">
        <v>244</v>
      </c>
      <c r="C191" s="532"/>
      <c r="D191" s="532"/>
      <c r="E191" s="532"/>
      <c r="F191" s="532"/>
      <c r="G191" s="532"/>
      <c r="H191" s="532"/>
      <c r="I191" s="532"/>
      <c r="J191" s="532"/>
      <c r="K191" s="532"/>
      <c r="L191" s="532"/>
      <c r="M191" s="532"/>
      <c r="N191" s="532"/>
      <c r="O191" s="532"/>
      <c r="P191" s="532"/>
      <c r="Q191" s="532"/>
      <c r="R191" s="532"/>
      <c r="S191" s="532"/>
      <c r="T191" s="564">
        <v>4.3</v>
      </c>
      <c r="U191" s="562" t="s">
        <v>124</v>
      </c>
      <c r="V191" s="405"/>
    </row>
    <row r="192" spans="1:22" x14ac:dyDescent="0.3">
      <c r="A192" s="418"/>
      <c r="B192" s="532"/>
      <c r="C192" s="532"/>
      <c r="D192" s="532"/>
      <c r="E192" s="532"/>
      <c r="F192" s="532"/>
      <c r="G192" s="532"/>
      <c r="H192" s="532"/>
      <c r="I192" s="532"/>
      <c r="J192" s="532"/>
      <c r="K192" s="532"/>
      <c r="L192" s="532"/>
      <c r="M192" s="532"/>
      <c r="N192" s="532"/>
      <c r="O192" s="532"/>
      <c r="P192" s="532"/>
      <c r="Q192" s="532"/>
      <c r="R192" s="532"/>
      <c r="S192" s="532"/>
      <c r="T192" s="532"/>
      <c r="U192" s="562"/>
      <c r="V192" s="405"/>
    </row>
    <row r="193" spans="1:22" x14ac:dyDescent="0.3">
      <c r="A193" s="407"/>
      <c r="B193" s="539"/>
      <c r="C193" s="539"/>
      <c r="D193" s="539"/>
      <c r="E193" s="539"/>
      <c r="F193" s="539"/>
      <c r="G193" s="539"/>
      <c r="H193" s="539"/>
      <c r="I193" s="539"/>
      <c r="J193" s="539"/>
      <c r="K193" s="539"/>
      <c r="L193" s="539"/>
      <c r="M193" s="539"/>
      <c r="N193" s="539"/>
      <c r="O193" s="539"/>
      <c r="P193" s="539"/>
      <c r="Q193" s="539"/>
      <c r="R193" s="539"/>
      <c r="S193" s="539"/>
      <c r="T193" s="539"/>
      <c r="U193" s="539"/>
      <c r="V193" s="405"/>
    </row>
    <row r="194" spans="1:22" x14ac:dyDescent="0.3">
      <c r="A194" s="407"/>
      <c r="B194" s="542"/>
      <c r="C194" s="542"/>
      <c r="D194" s="542"/>
      <c r="E194" s="542"/>
      <c r="F194" s="542"/>
      <c r="G194" s="542"/>
      <c r="H194" s="542"/>
      <c r="I194" s="542"/>
      <c r="J194" s="542"/>
      <c r="K194" s="542"/>
      <c r="L194" s="542"/>
      <c r="M194" s="542"/>
      <c r="N194" s="542"/>
      <c r="O194" s="542"/>
      <c r="P194" s="542"/>
      <c r="Q194" s="542"/>
      <c r="R194" s="542"/>
      <c r="S194" s="542"/>
      <c r="T194" s="542"/>
      <c r="U194" s="542"/>
      <c r="V194" s="405"/>
    </row>
    <row r="195" spans="1:22" ht="18.600000000000001" thickBot="1" x14ac:dyDescent="0.4">
      <c r="A195" s="464"/>
      <c r="B195" s="565" t="str">
        <f>B134</f>
        <v>PM9 INVESTOR REPORT QUARTER ENDING OCTOBER 2017</v>
      </c>
      <c r="C195" s="566"/>
      <c r="D195" s="566"/>
      <c r="E195" s="566"/>
      <c r="F195" s="566"/>
      <c r="G195" s="566"/>
      <c r="H195" s="566"/>
      <c r="I195" s="566"/>
      <c r="J195" s="566"/>
      <c r="K195" s="566"/>
      <c r="L195" s="566"/>
      <c r="M195" s="566"/>
      <c r="N195" s="566"/>
      <c r="O195" s="566"/>
      <c r="P195" s="566"/>
      <c r="Q195" s="566"/>
      <c r="R195" s="566"/>
      <c r="S195" s="566"/>
      <c r="T195" s="566"/>
      <c r="U195" s="567"/>
      <c r="V195" s="405"/>
    </row>
    <row r="196" spans="1:22" x14ac:dyDescent="0.3">
      <c r="A196" s="507"/>
      <c r="B196" s="508" t="s">
        <v>74</v>
      </c>
      <c r="C196" s="511"/>
      <c r="D196" s="511"/>
      <c r="E196" s="511"/>
      <c r="F196" s="511"/>
      <c r="G196" s="512"/>
      <c r="H196" s="512"/>
      <c r="I196" s="512"/>
      <c r="J196" s="512"/>
      <c r="K196" s="512"/>
      <c r="L196" s="512"/>
      <c r="M196" s="512"/>
      <c r="N196" s="512"/>
      <c r="O196" s="512"/>
      <c r="P196" s="512"/>
      <c r="Q196" s="512"/>
      <c r="R196" s="512">
        <v>43039</v>
      </c>
      <c r="S196" s="509"/>
      <c r="T196" s="509"/>
      <c r="U196" s="509"/>
      <c r="V196" s="405"/>
    </row>
    <row r="197" spans="1:22" x14ac:dyDescent="0.3">
      <c r="A197" s="465"/>
      <c r="B197" s="466"/>
      <c r="C197" s="467"/>
      <c r="D197" s="467"/>
      <c r="E197" s="467"/>
      <c r="F197" s="467"/>
      <c r="G197" s="468"/>
      <c r="H197" s="468"/>
      <c r="I197" s="468"/>
      <c r="J197" s="468"/>
      <c r="K197" s="468"/>
      <c r="L197" s="468"/>
      <c r="M197" s="468"/>
      <c r="N197" s="468"/>
      <c r="O197" s="468"/>
      <c r="P197" s="468"/>
      <c r="Q197" s="468"/>
      <c r="R197" s="468"/>
      <c r="S197" s="409"/>
      <c r="T197" s="409"/>
      <c r="U197" s="409"/>
      <c r="V197" s="405"/>
    </row>
    <row r="198" spans="1:22" x14ac:dyDescent="0.3">
      <c r="A198" s="469"/>
      <c r="B198" s="532" t="s">
        <v>75</v>
      </c>
      <c r="C198" s="556"/>
      <c r="D198" s="556"/>
      <c r="E198" s="556"/>
      <c r="F198" s="556"/>
      <c r="G198" s="557"/>
      <c r="H198" s="557"/>
      <c r="I198" s="557"/>
      <c r="J198" s="557"/>
      <c r="K198" s="557"/>
      <c r="L198" s="557"/>
      <c r="M198" s="557"/>
      <c r="N198" s="557"/>
      <c r="O198" s="557"/>
      <c r="P198" s="557"/>
      <c r="Q198" s="557"/>
      <c r="R198" s="558">
        <v>5.8209999999999998E-2</v>
      </c>
      <c r="S198" s="532"/>
      <c r="T198" s="419"/>
      <c r="U198" s="451"/>
      <c r="V198" s="405"/>
    </row>
    <row r="199" spans="1:22" x14ac:dyDescent="0.3">
      <c r="A199" s="469"/>
      <c r="B199" s="532" t="s">
        <v>164</v>
      </c>
      <c r="C199" s="556"/>
      <c r="D199" s="556"/>
      <c r="E199" s="556"/>
      <c r="F199" s="556"/>
      <c r="G199" s="557"/>
      <c r="H199" s="557"/>
      <c r="I199" s="557"/>
      <c r="J199" s="557"/>
      <c r="K199" s="557"/>
      <c r="L199" s="557"/>
      <c r="M199" s="557"/>
      <c r="N199" s="557"/>
      <c r="O199" s="557"/>
      <c r="P199" s="557"/>
      <c r="Q199" s="557"/>
      <c r="R199" s="558">
        <f>'Oct 05'!R193</f>
        <v>4.8438496428571419E-2</v>
      </c>
      <c r="S199" s="532"/>
      <c r="T199" s="419"/>
      <c r="U199" s="451"/>
      <c r="V199" s="405"/>
    </row>
    <row r="200" spans="1:22" x14ac:dyDescent="0.3">
      <c r="A200" s="469"/>
      <c r="B200" s="532" t="s">
        <v>76</v>
      </c>
      <c r="C200" s="556"/>
      <c r="D200" s="556"/>
      <c r="E200" s="556"/>
      <c r="F200" s="556"/>
      <c r="G200" s="557"/>
      <c r="H200" s="557"/>
      <c r="I200" s="557"/>
      <c r="J200" s="557"/>
      <c r="K200" s="557"/>
      <c r="L200" s="557"/>
      <c r="M200" s="557"/>
      <c r="N200" s="557"/>
      <c r="O200" s="557"/>
      <c r="P200" s="557"/>
      <c r="Q200" s="557"/>
      <c r="R200" s="558">
        <f>R198-R199</f>
        <v>9.7715035714285789E-3</v>
      </c>
      <c r="S200" s="532"/>
      <c r="T200" s="419"/>
      <c r="U200" s="451"/>
      <c r="V200" s="405"/>
    </row>
    <row r="201" spans="1:22" x14ac:dyDescent="0.3">
      <c r="A201" s="469"/>
      <c r="B201" s="532" t="s">
        <v>77</v>
      </c>
      <c r="C201" s="556"/>
      <c r="D201" s="556"/>
      <c r="E201" s="556"/>
      <c r="F201" s="556"/>
      <c r="G201" s="557"/>
      <c r="H201" s="557"/>
      <c r="I201" s="557"/>
      <c r="J201" s="557"/>
      <c r="K201" s="557"/>
      <c r="L201" s="557"/>
      <c r="M201" s="557"/>
      <c r="N201" s="557"/>
      <c r="O201" s="557"/>
      <c r="P201" s="557"/>
      <c r="Q201" s="557"/>
      <c r="R201" s="558">
        <v>2.1319999999999999E-2</v>
      </c>
      <c r="S201" s="532"/>
      <c r="T201" s="419"/>
      <c r="U201" s="451"/>
      <c r="V201" s="405"/>
    </row>
    <row r="202" spans="1:22" x14ac:dyDescent="0.3">
      <c r="A202" s="469"/>
      <c r="B202" s="532" t="s">
        <v>257</v>
      </c>
      <c r="C202" s="556"/>
      <c r="D202" s="556"/>
      <c r="E202" s="556"/>
      <c r="F202" s="556"/>
      <c r="G202" s="557"/>
      <c r="H202" s="557"/>
      <c r="I202" s="557"/>
      <c r="J202" s="557"/>
      <c r="K202" s="557"/>
      <c r="L202" s="557"/>
      <c r="M202" s="557"/>
      <c r="N202" s="557"/>
      <c r="O202" s="557"/>
      <c r="P202" s="557"/>
      <c r="Q202" s="557"/>
      <c r="R202" s="558">
        <f>+T41</f>
        <v>7.7353908790077633E-3</v>
      </c>
      <c r="S202" s="532"/>
      <c r="T202" s="419"/>
      <c r="U202" s="451"/>
      <c r="V202" s="405"/>
    </row>
    <row r="203" spans="1:22" x14ac:dyDescent="0.3">
      <c r="A203" s="469"/>
      <c r="B203" s="532" t="s">
        <v>78</v>
      </c>
      <c r="C203" s="556"/>
      <c r="D203" s="556"/>
      <c r="E203" s="556"/>
      <c r="F203" s="556"/>
      <c r="G203" s="557"/>
      <c r="H203" s="557"/>
      <c r="I203" s="557"/>
      <c r="J203" s="557"/>
      <c r="K203" s="557"/>
      <c r="L203" s="557"/>
      <c r="M203" s="557"/>
      <c r="N203" s="557"/>
      <c r="O203" s="557"/>
      <c r="P203" s="557"/>
      <c r="Q203" s="557"/>
      <c r="R203" s="558">
        <f>R201-R202</f>
        <v>1.3584609120992235E-2</v>
      </c>
      <c r="S203" s="532"/>
      <c r="T203" s="419"/>
      <c r="U203" s="451"/>
      <c r="V203" s="405"/>
    </row>
    <row r="204" spans="1:22" x14ac:dyDescent="0.3">
      <c r="A204" s="469"/>
      <c r="B204" s="532" t="s">
        <v>268</v>
      </c>
      <c r="C204" s="556"/>
      <c r="D204" s="556"/>
      <c r="E204" s="556"/>
      <c r="F204" s="556"/>
      <c r="G204" s="557"/>
      <c r="H204" s="557"/>
      <c r="I204" s="557"/>
      <c r="J204" s="557"/>
      <c r="K204" s="557"/>
      <c r="L204" s="557"/>
      <c r="M204" s="557"/>
      <c r="N204" s="557"/>
      <c r="O204" s="557"/>
      <c r="P204" s="557"/>
      <c r="Q204" s="557"/>
      <c r="R204" s="558">
        <f>+T97/L68</f>
        <v>5.8488539754664752E-3</v>
      </c>
      <c r="S204" s="532"/>
      <c r="T204" s="419"/>
      <c r="U204" s="451"/>
      <c r="V204" s="405"/>
    </row>
    <row r="205" spans="1:22" x14ac:dyDescent="0.3">
      <c r="A205" s="469"/>
      <c r="B205" s="532" t="s">
        <v>249</v>
      </c>
      <c r="C205" s="556"/>
      <c r="D205" s="556"/>
      <c r="E205" s="556"/>
      <c r="F205" s="556"/>
      <c r="G205" s="557"/>
      <c r="H205" s="557"/>
      <c r="I205" s="557"/>
      <c r="J205" s="557"/>
      <c r="K205" s="557"/>
      <c r="L205" s="557"/>
      <c r="M205" s="557"/>
      <c r="N205" s="557"/>
      <c r="O205" s="557"/>
      <c r="P205" s="557"/>
      <c r="Q205" s="557"/>
      <c r="R205" s="559">
        <v>51622</v>
      </c>
      <c r="S205" s="532"/>
      <c r="T205" s="419"/>
      <c r="U205" s="451"/>
      <c r="V205" s="405"/>
    </row>
    <row r="206" spans="1:22" x14ac:dyDescent="0.3">
      <c r="A206" s="469"/>
      <c r="B206" s="532" t="s">
        <v>250</v>
      </c>
      <c r="C206" s="556"/>
      <c r="D206" s="556"/>
      <c r="E206" s="556"/>
      <c r="F206" s="556"/>
      <c r="G206" s="557"/>
      <c r="H206" s="557"/>
      <c r="I206" s="557"/>
      <c r="J206" s="557"/>
      <c r="K206" s="557"/>
      <c r="L206" s="557"/>
      <c r="M206" s="557"/>
      <c r="N206" s="557"/>
      <c r="O206" s="557"/>
      <c r="P206" s="557"/>
      <c r="Q206" s="557"/>
      <c r="R206" s="559">
        <v>51622</v>
      </c>
      <c r="S206" s="532"/>
      <c r="T206" s="419"/>
      <c r="U206" s="451"/>
      <c r="V206" s="405"/>
    </row>
    <row r="207" spans="1:22" x14ac:dyDescent="0.3">
      <c r="A207" s="469"/>
      <c r="B207" s="532" t="s">
        <v>251</v>
      </c>
      <c r="C207" s="556"/>
      <c r="D207" s="556"/>
      <c r="E207" s="556"/>
      <c r="F207" s="556"/>
      <c r="G207" s="557"/>
      <c r="H207" s="557"/>
      <c r="I207" s="557"/>
      <c r="J207" s="557"/>
      <c r="K207" s="557"/>
      <c r="L207" s="557"/>
      <c r="M207" s="557"/>
      <c r="N207" s="557"/>
      <c r="O207" s="557"/>
      <c r="P207" s="557"/>
      <c r="Q207" s="557"/>
      <c r="R207" s="559">
        <v>51622</v>
      </c>
      <c r="S207" s="532"/>
      <c r="T207" s="419"/>
      <c r="U207" s="451"/>
      <c r="V207" s="405"/>
    </row>
    <row r="208" spans="1:22" x14ac:dyDescent="0.3">
      <c r="A208" s="469"/>
      <c r="B208" s="532" t="s">
        <v>79</v>
      </c>
      <c r="C208" s="556"/>
      <c r="D208" s="556"/>
      <c r="E208" s="556"/>
      <c r="F208" s="556"/>
      <c r="G208" s="557"/>
      <c r="H208" s="557"/>
      <c r="I208" s="557"/>
      <c r="J208" s="557"/>
      <c r="K208" s="557"/>
      <c r="L208" s="557"/>
      <c r="M208" s="557"/>
      <c r="N208" s="557"/>
      <c r="O208" s="557"/>
      <c r="P208" s="557"/>
      <c r="Q208" s="557"/>
      <c r="R208" s="560">
        <v>20.95</v>
      </c>
      <c r="S208" s="532" t="s">
        <v>119</v>
      </c>
      <c r="T208" s="419"/>
      <c r="U208" s="451"/>
      <c r="V208" s="405"/>
    </row>
    <row r="209" spans="1:22" x14ac:dyDescent="0.3">
      <c r="A209" s="469"/>
      <c r="B209" s="532" t="s">
        <v>80</v>
      </c>
      <c r="C209" s="556"/>
      <c r="D209" s="556"/>
      <c r="E209" s="556"/>
      <c r="F209" s="556"/>
      <c r="G209" s="557"/>
      <c r="H209" s="557"/>
      <c r="I209" s="557"/>
      <c r="J209" s="557"/>
      <c r="K209" s="557"/>
      <c r="L209" s="557"/>
      <c r="M209" s="557"/>
      <c r="N209" s="557"/>
      <c r="O209" s="557"/>
      <c r="P209" s="557"/>
      <c r="Q209" s="557"/>
      <c r="R209" s="560">
        <v>9.86</v>
      </c>
      <c r="S209" s="532" t="s">
        <v>119</v>
      </c>
      <c r="T209" s="419"/>
      <c r="U209" s="451"/>
      <c r="V209" s="405"/>
    </row>
    <row r="210" spans="1:22" x14ac:dyDescent="0.3">
      <c r="A210" s="469"/>
      <c r="B210" s="532" t="s">
        <v>81</v>
      </c>
      <c r="C210" s="556"/>
      <c r="D210" s="556"/>
      <c r="E210" s="556"/>
      <c r="F210" s="556"/>
      <c r="G210" s="557"/>
      <c r="H210" s="557"/>
      <c r="I210" s="557"/>
      <c r="J210" s="557"/>
      <c r="K210" s="557"/>
      <c r="L210" s="557"/>
      <c r="M210" s="557"/>
      <c r="N210" s="557"/>
      <c r="O210" s="557"/>
      <c r="P210" s="557"/>
      <c r="Q210" s="557"/>
      <c r="R210" s="558">
        <f>N65/L65</f>
        <v>1.2206862027802379E-2</v>
      </c>
      <c r="S210" s="532"/>
      <c r="T210" s="419"/>
      <c r="U210" s="451"/>
      <c r="V210" s="405"/>
    </row>
    <row r="211" spans="1:22" x14ac:dyDescent="0.3">
      <c r="A211" s="469"/>
      <c r="B211" s="532" t="s">
        <v>82</v>
      </c>
      <c r="C211" s="556"/>
      <c r="D211" s="556"/>
      <c r="E211" s="556"/>
      <c r="F211" s="556"/>
      <c r="G211" s="557"/>
      <c r="H211" s="557"/>
      <c r="I211" s="557"/>
      <c r="J211" s="557"/>
      <c r="K211" s="557"/>
      <c r="L211" s="557"/>
      <c r="M211" s="557"/>
      <c r="N211" s="557"/>
      <c r="O211" s="557"/>
      <c r="P211" s="557"/>
      <c r="Q211" s="557"/>
      <c r="R211" s="558">
        <v>9.3899999999999997E-2</v>
      </c>
      <c r="S211" s="532"/>
      <c r="T211" s="419"/>
      <c r="U211" s="451"/>
      <c r="V211" s="405"/>
    </row>
    <row r="212" spans="1:22" x14ac:dyDescent="0.3">
      <c r="A212" s="465"/>
      <c r="B212" s="431"/>
      <c r="C212" s="431"/>
      <c r="D212" s="431"/>
      <c r="E212" s="431"/>
      <c r="F212" s="431"/>
      <c r="G212" s="431"/>
      <c r="H212" s="431"/>
      <c r="I212" s="431"/>
      <c r="J212" s="431"/>
      <c r="K212" s="431"/>
      <c r="L212" s="431"/>
      <c r="M212" s="431"/>
      <c r="N212" s="431"/>
      <c r="O212" s="431"/>
      <c r="P212" s="431"/>
      <c r="Q212" s="431"/>
      <c r="R212" s="461"/>
      <c r="S212" s="431"/>
      <c r="T212" s="470"/>
      <c r="U212" s="444"/>
      <c r="V212" s="405"/>
    </row>
    <row r="213" spans="1:22" x14ac:dyDescent="0.3">
      <c r="A213" s="513"/>
      <c r="B213" s="612" t="s">
        <v>83</v>
      </c>
      <c r="C213" s="613"/>
      <c r="D213" s="613"/>
      <c r="E213" s="613"/>
      <c r="F213" s="620"/>
      <c r="G213" s="613"/>
      <c r="H213" s="613"/>
      <c r="I213" s="613"/>
      <c r="J213" s="613"/>
      <c r="K213" s="613"/>
      <c r="L213" s="613"/>
      <c r="M213" s="613"/>
      <c r="N213" s="613"/>
      <c r="O213" s="613"/>
      <c r="P213" s="613"/>
      <c r="Q213" s="613" t="s">
        <v>108</v>
      </c>
      <c r="R213" s="620" t="s">
        <v>115</v>
      </c>
      <c r="S213" s="608"/>
      <c r="T213" s="608"/>
      <c r="U213" s="611"/>
      <c r="V213" s="405"/>
    </row>
    <row r="214" spans="1:22" x14ac:dyDescent="0.3">
      <c r="A214" s="487"/>
      <c r="B214" s="539" t="s">
        <v>84</v>
      </c>
      <c r="C214" s="455"/>
      <c r="D214" s="455"/>
      <c r="E214" s="455"/>
      <c r="F214" s="431"/>
      <c r="G214" s="431"/>
      <c r="H214" s="616"/>
      <c r="I214" s="616"/>
      <c r="J214" s="616"/>
      <c r="K214" s="616"/>
      <c r="L214" s="616"/>
      <c r="M214" s="616"/>
      <c r="N214" s="616"/>
      <c r="O214" s="616"/>
      <c r="P214" s="616"/>
      <c r="Q214" s="617">
        <v>0</v>
      </c>
      <c r="R214" s="618">
        <v>0</v>
      </c>
      <c r="S214" s="431"/>
      <c r="T214" s="470"/>
      <c r="U214" s="619"/>
      <c r="V214" s="405"/>
    </row>
    <row r="215" spans="1:22" x14ac:dyDescent="0.3">
      <c r="A215" s="471"/>
      <c r="B215" s="532" t="s">
        <v>156</v>
      </c>
      <c r="C215" s="443"/>
      <c r="D215" s="443"/>
      <c r="E215" s="443"/>
      <c r="F215" s="419"/>
      <c r="G215" s="419"/>
      <c r="H215" s="422"/>
      <c r="I215" s="422"/>
      <c r="J215" s="422"/>
      <c r="K215" s="422"/>
      <c r="L215" s="422"/>
      <c r="M215" s="422"/>
      <c r="N215" s="422"/>
      <c r="O215" s="422"/>
      <c r="P215" s="422"/>
      <c r="Q215" s="555">
        <f>+P266</f>
        <v>29</v>
      </c>
      <c r="R215" s="553">
        <f>+R266</f>
        <v>3739</v>
      </c>
      <c r="S215" s="419"/>
      <c r="T215" s="472"/>
      <c r="U215" s="473"/>
      <c r="V215" s="405"/>
    </row>
    <row r="216" spans="1:22" x14ac:dyDescent="0.3">
      <c r="A216" s="471"/>
      <c r="B216" s="532" t="s">
        <v>85</v>
      </c>
      <c r="C216" s="443"/>
      <c r="D216" s="443"/>
      <c r="E216" s="443"/>
      <c r="F216" s="419"/>
      <c r="G216" s="419"/>
      <c r="H216" s="422"/>
      <c r="I216" s="422"/>
      <c r="J216" s="422"/>
      <c r="K216" s="422"/>
      <c r="L216" s="422"/>
      <c r="M216" s="422"/>
      <c r="N216" s="422"/>
      <c r="O216" s="422"/>
      <c r="P216" s="422"/>
      <c r="Q216" s="555">
        <f>+P278</f>
        <v>0</v>
      </c>
      <c r="R216" s="553">
        <f>+R278</f>
        <v>0</v>
      </c>
      <c r="S216" s="419"/>
      <c r="T216" s="472"/>
      <c r="U216" s="473"/>
      <c r="V216" s="405"/>
    </row>
    <row r="217" spans="1:22" x14ac:dyDescent="0.3">
      <c r="A217" s="471"/>
      <c r="B217" s="514" t="s">
        <v>86</v>
      </c>
      <c r="C217" s="474"/>
      <c r="D217" s="474"/>
      <c r="E217" s="474"/>
      <c r="F217" s="448"/>
      <c r="G217" s="448"/>
      <c r="H217" s="448"/>
      <c r="I217" s="448"/>
      <c r="J217" s="448"/>
      <c r="K217" s="448"/>
      <c r="L217" s="448"/>
      <c r="M217" s="448"/>
      <c r="N217" s="448"/>
      <c r="O217" s="448"/>
      <c r="P217" s="448"/>
      <c r="Q217" s="532"/>
      <c r="R217" s="553">
        <v>0</v>
      </c>
      <c r="S217" s="448"/>
      <c r="T217" s="475"/>
      <c r="U217" s="473"/>
      <c r="V217" s="405"/>
    </row>
    <row r="218" spans="1:22" x14ac:dyDescent="0.3">
      <c r="A218" s="471"/>
      <c r="B218" s="514" t="s">
        <v>87</v>
      </c>
      <c r="C218" s="474"/>
      <c r="D218" s="474"/>
      <c r="E218" s="474"/>
      <c r="F218" s="448"/>
      <c r="G218" s="448"/>
      <c r="H218" s="448"/>
      <c r="I218" s="448"/>
      <c r="J218" s="448"/>
      <c r="K218" s="448"/>
      <c r="L218" s="448"/>
      <c r="M218" s="448"/>
      <c r="N218" s="448"/>
      <c r="O218" s="448"/>
      <c r="P218" s="448"/>
      <c r="Q218" s="532"/>
      <c r="R218" s="554" t="s">
        <v>116</v>
      </c>
      <c r="S218" s="448"/>
      <c r="T218" s="475"/>
      <c r="U218" s="473"/>
      <c r="V218" s="405"/>
    </row>
    <row r="219" spans="1:22" x14ac:dyDescent="0.3">
      <c r="A219" s="476"/>
      <c r="B219" s="514" t="s">
        <v>88</v>
      </c>
      <c r="C219" s="477"/>
      <c r="D219" s="477"/>
      <c r="E219" s="477"/>
      <c r="F219" s="477"/>
      <c r="G219" s="448"/>
      <c r="H219" s="448"/>
      <c r="I219" s="448"/>
      <c r="J219" s="448"/>
      <c r="K219" s="448"/>
      <c r="L219" s="448"/>
      <c r="M219" s="448"/>
      <c r="N219" s="448"/>
      <c r="O219" s="448"/>
      <c r="P219" s="448"/>
      <c r="Q219" s="448"/>
      <c r="R219" s="478"/>
      <c r="S219" s="448"/>
      <c r="T219" s="475"/>
      <c r="U219" s="479"/>
      <c r="V219" s="405"/>
    </row>
    <row r="220" spans="1:22" x14ac:dyDescent="0.3">
      <c r="A220" s="476"/>
      <c r="B220" s="532" t="s">
        <v>89</v>
      </c>
      <c r="C220" s="532"/>
      <c r="D220" s="532"/>
      <c r="E220" s="532"/>
      <c r="F220" s="532"/>
      <c r="G220" s="532"/>
      <c r="H220" s="532"/>
      <c r="I220" s="532"/>
      <c r="J220" s="532"/>
      <c r="K220" s="532"/>
      <c r="L220" s="532"/>
      <c r="M220" s="532"/>
      <c r="N220" s="532"/>
      <c r="O220" s="532"/>
      <c r="P220" s="532"/>
      <c r="Q220" s="552"/>
      <c r="R220" s="553">
        <f>T164</f>
        <v>-34</v>
      </c>
      <c r="S220" s="419"/>
      <c r="T220" s="475"/>
      <c r="U220" s="479"/>
      <c r="V220" s="405"/>
    </row>
    <row r="221" spans="1:22" x14ac:dyDescent="0.3">
      <c r="A221" s="471"/>
      <c r="B221" s="532" t="s">
        <v>90</v>
      </c>
      <c r="C221" s="531"/>
      <c r="D221" s="531"/>
      <c r="E221" s="531"/>
      <c r="F221" s="531"/>
      <c r="G221" s="532"/>
      <c r="H221" s="532"/>
      <c r="I221" s="532"/>
      <c r="J221" s="532"/>
      <c r="K221" s="532"/>
      <c r="L221" s="532"/>
      <c r="M221" s="532"/>
      <c r="N221" s="532"/>
      <c r="O221" s="532"/>
      <c r="P221" s="532"/>
      <c r="Q221" s="552"/>
      <c r="R221" s="553">
        <f>'July 17'!R221+'Oct 17'!R220</f>
        <v>4353</v>
      </c>
      <c r="S221" s="419"/>
      <c r="T221" s="475"/>
      <c r="U221" s="479"/>
      <c r="V221" s="405"/>
    </row>
    <row r="222" spans="1:22" x14ac:dyDescent="0.3">
      <c r="A222" s="476"/>
      <c r="B222" s="514" t="s">
        <v>288</v>
      </c>
      <c r="C222" s="477"/>
      <c r="D222" s="477"/>
      <c r="E222" s="477"/>
      <c r="F222" s="477"/>
      <c r="G222" s="448"/>
      <c r="H222" s="448"/>
      <c r="I222" s="448"/>
      <c r="J222" s="448"/>
      <c r="K222" s="448"/>
      <c r="L222" s="448"/>
      <c r="M222" s="448"/>
      <c r="N222" s="448"/>
      <c r="O222" s="448"/>
      <c r="P222" s="448"/>
      <c r="Q222" s="480"/>
      <c r="R222" s="478"/>
      <c r="S222" s="448"/>
      <c r="T222" s="475"/>
      <c r="U222" s="479"/>
      <c r="V222" s="405"/>
    </row>
    <row r="223" spans="1:22" x14ac:dyDescent="0.3">
      <c r="A223" s="481"/>
      <c r="B223" s="532" t="s">
        <v>286</v>
      </c>
      <c r="C223" s="532"/>
      <c r="D223" s="532"/>
      <c r="E223" s="532"/>
      <c r="F223" s="532"/>
      <c r="G223" s="532"/>
      <c r="H223" s="532"/>
      <c r="I223" s="532"/>
      <c r="J223" s="532"/>
      <c r="K223" s="532"/>
      <c r="L223" s="532"/>
      <c r="M223" s="532"/>
      <c r="N223" s="532"/>
      <c r="O223" s="532"/>
      <c r="P223" s="532"/>
      <c r="Q223" s="552">
        <v>0</v>
      </c>
      <c r="R223" s="553">
        <v>0</v>
      </c>
      <c r="S223" s="419"/>
      <c r="T223" s="472"/>
      <c r="U223" s="479"/>
      <c r="V223" s="405"/>
    </row>
    <row r="224" spans="1:22" x14ac:dyDescent="0.3">
      <c r="A224" s="482"/>
      <c r="B224" s="532" t="s">
        <v>92</v>
      </c>
      <c r="C224" s="550"/>
      <c r="D224" s="550"/>
      <c r="E224" s="550"/>
      <c r="F224" s="551"/>
      <c r="G224" s="532"/>
      <c r="H224" s="532"/>
      <c r="I224" s="532"/>
      <c r="J224" s="532"/>
      <c r="K224" s="532"/>
      <c r="L224" s="532"/>
      <c r="M224" s="532"/>
      <c r="N224" s="532"/>
      <c r="O224" s="532"/>
      <c r="P224" s="532"/>
      <c r="Q224" s="552"/>
      <c r="R224" s="554">
        <v>0</v>
      </c>
      <c r="S224" s="419"/>
      <c r="T224" s="472"/>
      <c r="U224" s="479"/>
      <c r="V224" s="405"/>
    </row>
    <row r="225" spans="1:23" x14ac:dyDescent="0.3">
      <c r="A225" s="482"/>
      <c r="B225" s="532" t="s">
        <v>93</v>
      </c>
      <c r="C225" s="550"/>
      <c r="D225" s="550"/>
      <c r="E225" s="550"/>
      <c r="F225" s="551"/>
      <c r="G225" s="532"/>
      <c r="H225" s="532"/>
      <c r="I225" s="532"/>
      <c r="J225" s="532"/>
      <c r="K225" s="532"/>
      <c r="L225" s="532"/>
      <c r="M225" s="532"/>
      <c r="N225" s="532"/>
      <c r="O225" s="532"/>
      <c r="P225" s="532"/>
      <c r="Q225" s="552"/>
      <c r="R225" s="554">
        <v>0</v>
      </c>
      <c r="S225" s="419"/>
      <c r="T225" s="472"/>
      <c r="U225" s="479"/>
      <c r="V225" s="405"/>
    </row>
    <row r="226" spans="1:23" x14ac:dyDescent="0.3">
      <c r="A226" s="471"/>
      <c r="B226" s="514" t="s">
        <v>258</v>
      </c>
      <c r="C226" s="483"/>
      <c r="D226" s="483"/>
      <c r="E226" s="483"/>
      <c r="F226" s="484"/>
      <c r="G226" s="448"/>
      <c r="H226" s="448"/>
      <c r="I226" s="448"/>
      <c r="J226" s="448"/>
      <c r="K226" s="448"/>
      <c r="L226" s="448"/>
      <c r="M226" s="448"/>
      <c r="N226" s="448"/>
      <c r="O226" s="448"/>
      <c r="P226" s="448"/>
      <c r="Q226" s="480"/>
      <c r="R226" s="485"/>
      <c r="S226" s="448"/>
      <c r="T226" s="475"/>
      <c r="U226" s="479"/>
      <c r="V226" s="405"/>
    </row>
    <row r="227" spans="1:23" x14ac:dyDescent="0.3">
      <c r="A227" s="482"/>
      <c r="B227" s="532" t="s">
        <v>286</v>
      </c>
      <c r="C227" s="550"/>
      <c r="D227" s="550"/>
      <c r="E227" s="550"/>
      <c r="F227" s="551"/>
      <c r="G227" s="532"/>
      <c r="H227" s="532"/>
      <c r="I227" s="532"/>
      <c r="J227" s="532"/>
      <c r="K227" s="532"/>
      <c r="L227" s="532"/>
      <c r="M227" s="532"/>
      <c r="N227" s="532"/>
      <c r="O227" s="532"/>
      <c r="P227" s="532"/>
      <c r="Q227" s="552">
        <v>0</v>
      </c>
      <c r="R227" s="553">
        <v>0</v>
      </c>
      <c r="S227" s="419"/>
      <c r="T227" s="475"/>
      <c r="U227" s="479"/>
      <c r="V227" s="405"/>
    </row>
    <row r="228" spans="1:23" x14ac:dyDescent="0.3">
      <c r="A228" s="482"/>
      <c r="B228" s="532" t="s">
        <v>259</v>
      </c>
      <c r="C228" s="550"/>
      <c r="D228" s="550"/>
      <c r="E228" s="550"/>
      <c r="F228" s="551"/>
      <c r="G228" s="532"/>
      <c r="H228" s="532"/>
      <c r="I228" s="532"/>
      <c r="J228" s="532"/>
      <c r="K228" s="532"/>
      <c r="L228" s="532"/>
      <c r="M228" s="532"/>
      <c r="N228" s="532"/>
      <c r="O228" s="532"/>
      <c r="P228" s="532"/>
      <c r="Q228" s="532"/>
      <c r="R228" s="554">
        <v>0</v>
      </c>
      <c r="S228" s="419"/>
      <c r="T228" s="475"/>
      <c r="U228" s="479"/>
      <c r="V228" s="405"/>
    </row>
    <row r="229" spans="1:23" x14ac:dyDescent="0.3">
      <c r="A229" s="471"/>
      <c r="B229" s="477"/>
      <c r="C229" s="483"/>
      <c r="D229" s="483"/>
      <c r="E229" s="483"/>
      <c r="F229" s="484"/>
      <c r="G229" s="448"/>
      <c r="H229" s="448"/>
      <c r="I229" s="448"/>
      <c r="J229" s="448"/>
      <c r="K229" s="448"/>
      <c r="L229" s="448"/>
      <c r="M229" s="448"/>
      <c r="N229" s="448"/>
      <c r="O229" s="448"/>
      <c r="P229" s="448"/>
      <c r="Q229" s="448"/>
      <c r="R229" s="486"/>
      <c r="S229" s="448"/>
      <c r="T229" s="475"/>
      <c r="U229" s="479"/>
      <c r="V229" s="405"/>
    </row>
    <row r="230" spans="1:23" ht="18" x14ac:dyDescent="0.35">
      <c r="A230" s="471"/>
      <c r="B230" s="530" t="s">
        <v>208</v>
      </c>
      <c r="C230" s="483"/>
      <c r="D230" s="483"/>
      <c r="E230" s="483"/>
      <c r="F230" s="484"/>
      <c r="G230" s="448"/>
      <c r="H230" s="448"/>
      <c r="I230" s="448"/>
      <c r="J230" s="448"/>
      <c r="K230" s="448"/>
      <c r="L230" s="448"/>
      <c r="M230" s="448"/>
      <c r="N230" s="603" t="s">
        <v>347</v>
      </c>
      <c r="O230" s="448"/>
      <c r="P230" s="448"/>
      <c r="Q230" s="448"/>
      <c r="R230" s="486"/>
      <c r="S230" s="448"/>
      <c r="T230" s="475"/>
      <c r="U230" s="479"/>
      <c r="V230" s="405"/>
    </row>
    <row r="231" spans="1:23" x14ac:dyDescent="0.3">
      <c r="A231" s="487"/>
      <c r="B231" s="488"/>
      <c r="C231" s="489"/>
      <c r="D231" s="489"/>
      <c r="E231" s="489"/>
      <c r="F231" s="490"/>
      <c r="G231" s="444"/>
      <c r="H231" s="444"/>
      <c r="I231" s="444"/>
      <c r="J231" s="444"/>
      <c r="K231" s="444"/>
      <c r="L231" s="444"/>
      <c r="M231" s="444"/>
      <c r="N231" s="444"/>
      <c r="O231" s="444"/>
      <c r="P231" s="444"/>
      <c r="Q231" s="444"/>
      <c r="R231" s="491"/>
      <c r="S231" s="444"/>
      <c r="T231" s="492"/>
      <c r="U231" s="493"/>
      <c r="V231" s="405"/>
    </row>
    <row r="232" spans="1:23" x14ac:dyDescent="0.3">
      <c r="A232" s="503"/>
      <c r="B232" s="612" t="s">
        <v>302</v>
      </c>
      <c r="C232" s="613"/>
      <c r="D232" s="613"/>
      <c r="E232" s="613"/>
      <c r="F232" s="620"/>
      <c r="G232" s="613"/>
      <c r="H232" s="613"/>
      <c r="I232" s="613"/>
      <c r="J232" s="613"/>
      <c r="K232" s="613"/>
      <c r="L232" s="613"/>
      <c r="M232" s="613"/>
      <c r="N232" s="613"/>
      <c r="O232" s="613"/>
      <c r="P232" s="620" t="s">
        <v>108</v>
      </c>
      <c r="Q232" s="613" t="s">
        <v>109</v>
      </c>
      <c r="R232" s="620" t="s">
        <v>117</v>
      </c>
      <c r="S232" s="613" t="s">
        <v>109</v>
      </c>
      <c r="T232" s="608"/>
      <c r="U232" s="626"/>
      <c r="V232" s="405"/>
    </row>
    <row r="233" spans="1:23" x14ac:dyDescent="0.3">
      <c r="A233" s="430"/>
      <c r="B233" s="572" t="s">
        <v>94</v>
      </c>
      <c r="C233" s="621"/>
      <c r="D233" s="621"/>
      <c r="E233" s="621"/>
      <c r="F233" s="539"/>
      <c r="G233" s="621"/>
      <c r="H233" s="621"/>
      <c r="I233" s="621"/>
      <c r="J233" s="621"/>
      <c r="K233" s="621"/>
      <c r="L233" s="621"/>
      <c r="M233" s="621"/>
      <c r="N233" s="621"/>
      <c r="O233" s="621"/>
      <c r="P233" s="622">
        <f t="shared" ref="P233:P240" si="1">+P245+P257+P269</f>
        <v>1887</v>
      </c>
      <c r="Q233" s="623">
        <f t="shared" ref="Q233:Q240" si="2">P233/$P$242</f>
        <v>0.9973572938689218</v>
      </c>
      <c r="R233" s="624">
        <f t="shared" ref="R233:R240" si="3">+R245+R257+R269</f>
        <v>230895</v>
      </c>
      <c r="S233" s="623">
        <f t="shared" ref="S233:S240" si="4">R233/$R$242</f>
        <v>0.99859873107313846</v>
      </c>
      <c r="T233" s="470"/>
      <c r="U233" s="625"/>
      <c r="V233" s="405"/>
    </row>
    <row r="234" spans="1:23" x14ac:dyDescent="0.3">
      <c r="A234" s="428"/>
      <c r="B234" s="531" t="s">
        <v>95</v>
      </c>
      <c r="C234" s="549"/>
      <c r="D234" s="549"/>
      <c r="E234" s="549"/>
      <c r="F234" s="532"/>
      <c r="G234" s="534"/>
      <c r="H234" s="549"/>
      <c r="I234" s="549"/>
      <c r="J234" s="549"/>
      <c r="K234" s="549"/>
      <c r="L234" s="549"/>
      <c r="M234" s="549"/>
      <c r="N234" s="549"/>
      <c r="O234" s="549"/>
      <c r="P234" s="531">
        <f t="shared" si="1"/>
        <v>3</v>
      </c>
      <c r="Q234" s="534">
        <f t="shared" si="2"/>
        <v>1.5856236786469344E-3</v>
      </c>
      <c r="R234" s="535">
        <f t="shared" si="3"/>
        <v>174</v>
      </c>
      <c r="S234" s="534">
        <f t="shared" si="4"/>
        <v>7.5253331257379367E-4</v>
      </c>
      <c r="T234" s="472"/>
      <c r="U234" s="494"/>
      <c r="V234" s="405"/>
      <c r="W234" s="452"/>
    </row>
    <row r="235" spans="1:23" x14ac:dyDescent="0.3">
      <c r="A235" s="428"/>
      <c r="B235" s="531" t="s">
        <v>96</v>
      </c>
      <c r="C235" s="549"/>
      <c r="D235" s="549"/>
      <c r="E235" s="549"/>
      <c r="F235" s="532"/>
      <c r="G235" s="534"/>
      <c r="H235" s="549"/>
      <c r="I235" s="549"/>
      <c r="J235" s="549"/>
      <c r="K235" s="549"/>
      <c r="L235" s="549"/>
      <c r="M235" s="549"/>
      <c r="N235" s="549"/>
      <c r="O235" s="549"/>
      <c r="P235" s="531">
        <f t="shared" si="1"/>
        <v>1</v>
      </c>
      <c r="Q235" s="534">
        <f t="shared" si="2"/>
        <v>5.2854122621564484E-4</v>
      </c>
      <c r="R235" s="535">
        <f t="shared" si="3"/>
        <v>53</v>
      </c>
      <c r="S235" s="534">
        <f t="shared" si="4"/>
        <v>2.2921991704833946E-4</v>
      </c>
      <c r="T235" s="472"/>
      <c r="U235" s="494"/>
      <c r="V235" s="405"/>
    </row>
    <row r="236" spans="1:23" x14ac:dyDescent="0.3">
      <c r="A236" s="428"/>
      <c r="B236" s="531" t="s">
        <v>171</v>
      </c>
      <c r="C236" s="549"/>
      <c r="D236" s="549"/>
      <c r="E236" s="549"/>
      <c r="F236" s="532"/>
      <c r="G236" s="534"/>
      <c r="H236" s="549"/>
      <c r="I236" s="549"/>
      <c r="J236" s="549"/>
      <c r="K236" s="549"/>
      <c r="L236" s="549"/>
      <c r="M236" s="549"/>
      <c r="N236" s="549"/>
      <c r="O236" s="549"/>
      <c r="P236" s="531">
        <f t="shared" si="1"/>
        <v>1</v>
      </c>
      <c r="Q236" s="534">
        <f t="shared" si="2"/>
        <v>5.2854122621564484E-4</v>
      </c>
      <c r="R236" s="535">
        <f t="shared" si="3"/>
        <v>97</v>
      </c>
      <c r="S236" s="534">
        <f t="shared" si="4"/>
        <v>4.1951569723941369E-4</v>
      </c>
      <c r="T236" s="472"/>
      <c r="U236" s="494"/>
      <c r="V236" s="405"/>
      <c r="W236" s="452"/>
    </row>
    <row r="237" spans="1:23" x14ac:dyDescent="0.3">
      <c r="A237" s="428"/>
      <c r="B237" s="531" t="s">
        <v>172</v>
      </c>
      <c r="C237" s="549"/>
      <c r="D237" s="549"/>
      <c r="E237" s="549"/>
      <c r="F237" s="532"/>
      <c r="G237" s="534"/>
      <c r="H237" s="549"/>
      <c r="I237" s="549"/>
      <c r="J237" s="549"/>
      <c r="K237" s="549"/>
      <c r="L237" s="549"/>
      <c r="M237" s="549"/>
      <c r="N237" s="549"/>
      <c r="O237" s="549"/>
      <c r="P237" s="531">
        <f t="shared" si="1"/>
        <v>0</v>
      </c>
      <c r="Q237" s="534">
        <f t="shared" si="2"/>
        <v>0</v>
      </c>
      <c r="R237" s="535">
        <f t="shared" si="3"/>
        <v>0</v>
      </c>
      <c r="S237" s="534">
        <f t="shared" si="4"/>
        <v>0</v>
      </c>
      <c r="T237" s="472"/>
      <c r="U237" s="494"/>
      <c r="V237" s="405"/>
    </row>
    <row r="238" spans="1:23" x14ac:dyDescent="0.3">
      <c r="A238" s="428"/>
      <c r="B238" s="531" t="s">
        <v>173</v>
      </c>
      <c r="C238" s="549"/>
      <c r="D238" s="549"/>
      <c r="E238" s="549"/>
      <c r="F238" s="532"/>
      <c r="G238" s="534"/>
      <c r="H238" s="549"/>
      <c r="I238" s="549"/>
      <c r="J238" s="549"/>
      <c r="K238" s="549"/>
      <c r="L238" s="549"/>
      <c r="M238" s="549"/>
      <c r="N238" s="549"/>
      <c r="O238" s="549"/>
      <c r="P238" s="531">
        <f t="shared" si="1"/>
        <v>0</v>
      </c>
      <c r="Q238" s="534">
        <f t="shared" si="2"/>
        <v>0</v>
      </c>
      <c r="R238" s="535">
        <f t="shared" si="3"/>
        <v>0</v>
      </c>
      <c r="S238" s="534">
        <f t="shared" si="4"/>
        <v>0</v>
      </c>
      <c r="T238" s="472"/>
      <c r="U238" s="494"/>
      <c r="V238" s="405"/>
      <c r="W238" s="452"/>
    </row>
    <row r="239" spans="1:23" x14ac:dyDescent="0.3">
      <c r="A239" s="428"/>
      <c r="B239" s="531" t="s">
        <v>174</v>
      </c>
      <c r="C239" s="549"/>
      <c r="D239" s="549"/>
      <c r="E239" s="549"/>
      <c r="F239" s="532"/>
      <c r="G239" s="534"/>
      <c r="H239" s="549"/>
      <c r="I239" s="549"/>
      <c r="J239" s="549"/>
      <c r="K239" s="549"/>
      <c r="L239" s="549"/>
      <c r="M239" s="549"/>
      <c r="N239" s="549"/>
      <c r="O239" s="549"/>
      <c r="P239" s="531">
        <f t="shared" si="1"/>
        <v>0</v>
      </c>
      <c r="Q239" s="534">
        <f t="shared" si="2"/>
        <v>0</v>
      </c>
      <c r="R239" s="535">
        <f t="shared" si="3"/>
        <v>0</v>
      </c>
      <c r="S239" s="534">
        <f t="shared" si="4"/>
        <v>0</v>
      </c>
      <c r="T239" s="472"/>
      <c r="U239" s="494"/>
      <c r="V239" s="405"/>
    </row>
    <row r="240" spans="1:23" x14ac:dyDescent="0.3">
      <c r="A240" s="428"/>
      <c r="B240" s="531" t="s">
        <v>175</v>
      </c>
      <c r="C240" s="549"/>
      <c r="D240" s="549"/>
      <c r="E240" s="549"/>
      <c r="F240" s="532"/>
      <c r="G240" s="534"/>
      <c r="H240" s="549"/>
      <c r="I240" s="549"/>
      <c r="J240" s="549"/>
      <c r="K240" s="549"/>
      <c r="L240" s="549"/>
      <c r="M240" s="549"/>
      <c r="N240" s="549"/>
      <c r="O240" s="549"/>
      <c r="P240" s="531">
        <f t="shared" si="1"/>
        <v>0</v>
      </c>
      <c r="Q240" s="534">
        <f t="shared" si="2"/>
        <v>0</v>
      </c>
      <c r="R240" s="535">
        <f t="shared" si="3"/>
        <v>0</v>
      </c>
      <c r="S240" s="534">
        <f t="shared" si="4"/>
        <v>0</v>
      </c>
      <c r="T240" s="472"/>
      <c r="U240" s="494"/>
      <c r="V240" s="405"/>
      <c r="W240" s="452"/>
    </row>
    <row r="241" spans="1:23" x14ac:dyDescent="0.3">
      <c r="A241" s="428"/>
      <c r="B241" s="531"/>
      <c r="C241" s="549"/>
      <c r="D241" s="549"/>
      <c r="E241" s="549"/>
      <c r="F241" s="532"/>
      <c r="G241" s="534"/>
      <c r="H241" s="549"/>
      <c r="I241" s="549"/>
      <c r="J241" s="549"/>
      <c r="K241" s="549"/>
      <c r="L241" s="549"/>
      <c r="M241" s="549"/>
      <c r="N241" s="549"/>
      <c r="O241" s="549"/>
      <c r="P241" s="531"/>
      <c r="Q241" s="534"/>
      <c r="R241" s="535"/>
      <c r="S241" s="534"/>
      <c r="T241" s="472"/>
      <c r="U241" s="494"/>
      <c r="V241" s="405"/>
    </row>
    <row r="242" spans="1:23" x14ac:dyDescent="0.3">
      <c r="A242" s="428"/>
      <c r="B242" s="532"/>
      <c r="C242" s="532"/>
      <c r="D242" s="532"/>
      <c r="E242" s="532"/>
      <c r="F242" s="532"/>
      <c r="G242" s="532"/>
      <c r="H242" s="533"/>
      <c r="I242" s="533"/>
      <c r="J242" s="533"/>
      <c r="K242" s="533"/>
      <c r="L242" s="533"/>
      <c r="M242" s="533"/>
      <c r="N242" s="533"/>
      <c r="O242" s="533"/>
      <c r="P242" s="531">
        <f>SUM(P233:P241)</f>
        <v>1892</v>
      </c>
      <c r="Q242" s="534">
        <f>SUM(Q233:Q241)</f>
        <v>0.99999999999999989</v>
      </c>
      <c r="R242" s="535">
        <f>SUM(R233:R241)</f>
        <v>231219</v>
      </c>
      <c r="S242" s="534">
        <f>SUM(S233:S241)</f>
        <v>1</v>
      </c>
      <c r="T242" s="419"/>
      <c r="U242" s="420"/>
      <c r="V242" s="405"/>
    </row>
    <row r="243" spans="1:23" x14ac:dyDescent="0.3">
      <c r="A243" s="487"/>
      <c r="B243" s="488"/>
      <c r="C243" s="489"/>
      <c r="D243" s="489"/>
      <c r="E243" s="489"/>
      <c r="F243" s="490"/>
      <c r="G243" s="444"/>
      <c r="H243" s="444"/>
      <c r="I243" s="444"/>
      <c r="J243" s="444"/>
      <c r="K243" s="444"/>
      <c r="L243" s="444"/>
      <c r="M243" s="444"/>
      <c r="N243" s="444"/>
      <c r="O243" s="444"/>
      <c r="P243" s="444"/>
      <c r="Q243" s="444"/>
      <c r="R243" s="491"/>
      <c r="S243" s="444"/>
      <c r="T243" s="492"/>
      <c r="U243" s="493"/>
      <c r="V243" s="405"/>
    </row>
    <row r="244" spans="1:23" x14ac:dyDescent="0.3">
      <c r="A244" s="503"/>
      <c r="B244" s="612" t="s">
        <v>177</v>
      </c>
      <c r="C244" s="613"/>
      <c r="D244" s="613"/>
      <c r="E244" s="613"/>
      <c r="F244" s="620"/>
      <c r="G244" s="613"/>
      <c r="H244" s="613"/>
      <c r="I244" s="613"/>
      <c r="J244" s="613"/>
      <c r="K244" s="613"/>
      <c r="L244" s="613"/>
      <c r="M244" s="613"/>
      <c r="N244" s="613"/>
      <c r="O244" s="613"/>
      <c r="P244" s="620" t="s">
        <v>108</v>
      </c>
      <c r="Q244" s="613" t="s">
        <v>109</v>
      </c>
      <c r="R244" s="620" t="s">
        <v>117</v>
      </c>
      <c r="S244" s="613" t="s">
        <v>109</v>
      </c>
      <c r="T244" s="608"/>
      <c r="U244" s="626"/>
      <c r="V244" s="405"/>
    </row>
    <row r="245" spans="1:23" x14ac:dyDescent="0.3">
      <c r="A245" s="430"/>
      <c r="B245" s="572" t="s">
        <v>94</v>
      </c>
      <c r="C245" s="621"/>
      <c r="D245" s="621"/>
      <c r="E245" s="621"/>
      <c r="F245" s="539"/>
      <c r="G245" s="621"/>
      <c r="H245" s="621"/>
      <c r="I245" s="621"/>
      <c r="J245" s="621"/>
      <c r="K245" s="621"/>
      <c r="L245" s="621"/>
      <c r="M245" s="621"/>
      <c r="N245" s="621"/>
      <c r="O245" s="621"/>
      <c r="P245" s="572">
        <v>1859</v>
      </c>
      <c r="Q245" s="627">
        <f t="shared" ref="Q245:Q252" si="5">P245/$P$254</f>
        <v>0.99785292538915726</v>
      </c>
      <c r="R245" s="541">
        <v>227253</v>
      </c>
      <c r="S245" s="627">
        <f t="shared" ref="S245:S252" si="6">R245/$R$254</f>
        <v>0.99900211007561102</v>
      </c>
      <c r="T245" s="470"/>
      <c r="U245" s="625"/>
      <c r="V245" s="405"/>
    </row>
    <row r="246" spans="1:23" x14ac:dyDescent="0.3">
      <c r="A246" s="428"/>
      <c r="B246" s="531" t="s">
        <v>95</v>
      </c>
      <c r="C246" s="549"/>
      <c r="D246" s="549"/>
      <c r="E246" s="549"/>
      <c r="F246" s="532"/>
      <c r="G246" s="534"/>
      <c r="H246" s="549"/>
      <c r="I246" s="549"/>
      <c r="J246" s="549"/>
      <c r="K246" s="549"/>
      <c r="L246" s="549"/>
      <c r="M246" s="549"/>
      <c r="N246" s="549"/>
      <c r="O246" s="549"/>
      <c r="P246" s="531">
        <v>3</v>
      </c>
      <c r="Q246" s="534">
        <f t="shared" si="5"/>
        <v>1.6103059581320451E-3</v>
      </c>
      <c r="R246" s="535">
        <v>174</v>
      </c>
      <c r="S246" s="534">
        <f t="shared" si="6"/>
        <v>7.6490240900298928E-4</v>
      </c>
      <c r="T246" s="472"/>
      <c r="U246" s="494"/>
      <c r="V246" s="405"/>
      <c r="W246" s="452"/>
    </row>
    <row r="247" spans="1:23" x14ac:dyDescent="0.3">
      <c r="A247" s="428"/>
      <c r="B247" s="531" t="s">
        <v>96</v>
      </c>
      <c r="C247" s="549"/>
      <c r="D247" s="549"/>
      <c r="E247" s="549"/>
      <c r="F247" s="532"/>
      <c r="G247" s="534"/>
      <c r="H247" s="549"/>
      <c r="I247" s="549"/>
      <c r="J247" s="549"/>
      <c r="K247" s="549"/>
      <c r="L247" s="549"/>
      <c r="M247" s="549"/>
      <c r="N247" s="549"/>
      <c r="O247" s="549"/>
      <c r="P247" s="531">
        <v>1</v>
      </c>
      <c r="Q247" s="534">
        <f t="shared" si="5"/>
        <v>5.3676865271068169E-4</v>
      </c>
      <c r="R247" s="535">
        <v>53</v>
      </c>
      <c r="S247" s="534">
        <f t="shared" si="6"/>
        <v>2.3298751538596799E-4</v>
      </c>
      <c r="T247" s="472"/>
      <c r="U247" s="494"/>
      <c r="V247" s="405"/>
    </row>
    <row r="248" spans="1:23" x14ac:dyDescent="0.3">
      <c r="A248" s="428"/>
      <c r="B248" s="531" t="s">
        <v>171</v>
      </c>
      <c r="C248" s="549"/>
      <c r="D248" s="549"/>
      <c r="E248" s="549"/>
      <c r="F248" s="532"/>
      <c r="G248" s="534"/>
      <c r="H248" s="549"/>
      <c r="I248" s="549"/>
      <c r="J248" s="549"/>
      <c r="K248" s="549"/>
      <c r="L248" s="549"/>
      <c r="M248" s="549"/>
      <c r="N248" s="549"/>
      <c r="O248" s="549"/>
      <c r="P248" s="531">
        <v>0</v>
      </c>
      <c r="Q248" s="534">
        <f t="shared" si="5"/>
        <v>0</v>
      </c>
      <c r="R248" s="535">
        <v>0</v>
      </c>
      <c r="S248" s="534">
        <f t="shared" si="6"/>
        <v>0</v>
      </c>
      <c r="T248" s="472"/>
      <c r="U248" s="494"/>
      <c r="V248" s="405"/>
      <c r="W248" s="452"/>
    </row>
    <row r="249" spans="1:23" x14ac:dyDescent="0.3">
      <c r="A249" s="428"/>
      <c r="B249" s="531" t="s">
        <v>172</v>
      </c>
      <c r="C249" s="549"/>
      <c r="D249" s="549"/>
      <c r="E249" s="549"/>
      <c r="F249" s="532"/>
      <c r="G249" s="534"/>
      <c r="H249" s="549"/>
      <c r="I249" s="549"/>
      <c r="J249" s="549"/>
      <c r="K249" s="549"/>
      <c r="L249" s="549"/>
      <c r="M249" s="549"/>
      <c r="N249" s="549"/>
      <c r="O249" s="549"/>
      <c r="P249" s="531">
        <v>0</v>
      </c>
      <c r="Q249" s="534">
        <f t="shared" si="5"/>
        <v>0</v>
      </c>
      <c r="R249" s="535">
        <v>0</v>
      </c>
      <c r="S249" s="534">
        <f t="shared" si="6"/>
        <v>0</v>
      </c>
      <c r="T249" s="472"/>
      <c r="U249" s="494"/>
      <c r="V249" s="405"/>
    </row>
    <row r="250" spans="1:23" x14ac:dyDescent="0.3">
      <c r="A250" s="428"/>
      <c r="B250" s="531" t="s">
        <v>173</v>
      </c>
      <c r="C250" s="549"/>
      <c r="D250" s="549"/>
      <c r="E250" s="549"/>
      <c r="F250" s="532"/>
      <c r="G250" s="534"/>
      <c r="H250" s="549"/>
      <c r="I250" s="549"/>
      <c r="J250" s="549"/>
      <c r="K250" s="549"/>
      <c r="L250" s="549"/>
      <c r="M250" s="549"/>
      <c r="N250" s="549"/>
      <c r="O250" s="549"/>
      <c r="P250" s="531">
        <v>0</v>
      </c>
      <c r="Q250" s="534">
        <f t="shared" si="5"/>
        <v>0</v>
      </c>
      <c r="R250" s="535">
        <v>0</v>
      </c>
      <c r="S250" s="534">
        <f t="shared" si="6"/>
        <v>0</v>
      </c>
      <c r="T250" s="472"/>
      <c r="U250" s="494"/>
      <c r="V250" s="405"/>
      <c r="W250" s="452"/>
    </row>
    <row r="251" spans="1:23" x14ac:dyDescent="0.3">
      <c r="A251" s="428"/>
      <c r="B251" s="531" t="s">
        <v>174</v>
      </c>
      <c r="C251" s="549"/>
      <c r="D251" s="549"/>
      <c r="E251" s="549"/>
      <c r="F251" s="532"/>
      <c r="G251" s="534"/>
      <c r="H251" s="549"/>
      <c r="I251" s="549"/>
      <c r="J251" s="549"/>
      <c r="K251" s="549"/>
      <c r="L251" s="549"/>
      <c r="M251" s="549"/>
      <c r="N251" s="549"/>
      <c r="O251" s="549"/>
      <c r="P251" s="531">
        <v>0</v>
      </c>
      <c r="Q251" s="534">
        <f t="shared" si="5"/>
        <v>0</v>
      </c>
      <c r="R251" s="535">
        <v>0</v>
      </c>
      <c r="S251" s="534">
        <f t="shared" si="6"/>
        <v>0</v>
      </c>
      <c r="T251" s="472"/>
      <c r="U251" s="494"/>
      <c r="V251" s="405"/>
    </row>
    <row r="252" spans="1:23" x14ac:dyDescent="0.3">
      <c r="A252" s="428"/>
      <c r="B252" s="531" t="s">
        <v>175</v>
      </c>
      <c r="C252" s="549"/>
      <c r="D252" s="549"/>
      <c r="E252" s="549"/>
      <c r="F252" s="532"/>
      <c r="G252" s="534"/>
      <c r="H252" s="549"/>
      <c r="I252" s="549"/>
      <c r="J252" s="549"/>
      <c r="K252" s="549"/>
      <c r="L252" s="549"/>
      <c r="M252" s="549"/>
      <c r="N252" s="549"/>
      <c r="O252" s="549"/>
      <c r="P252" s="531">
        <v>0</v>
      </c>
      <c r="Q252" s="534">
        <f t="shared" si="5"/>
        <v>0</v>
      </c>
      <c r="R252" s="535">
        <v>0</v>
      </c>
      <c r="S252" s="534">
        <f t="shared" si="6"/>
        <v>0</v>
      </c>
      <c r="T252" s="472"/>
      <c r="U252" s="494"/>
      <c r="V252" s="405"/>
      <c r="W252" s="452"/>
    </row>
    <row r="253" spans="1:23" x14ac:dyDescent="0.3">
      <c r="A253" s="428"/>
      <c r="B253" s="531"/>
      <c r="C253" s="549"/>
      <c r="D253" s="549"/>
      <c r="E253" s="549"/>
      <c r="F253" s="532"/>
      <c r="G253" s="534"/>
      <c r="H253" s="549"/>
      <c r="I253" s="549"/>
      <c r="J253" s="549"/>
      <c r="K253" s="549"/>
      <c r="L253" s="549"/>
      <c r="M253" s="549"/>
      <c r="N253" s="549"/>
      <c r="O253" s="549"/>
      <c r="P253" s="531"/>
      <c r="Q253" s="534"/>
      <c r="R253" s="535"/>
      <c r="S253" s="534"/>
      <c r="T253" s="472"/>
      <c r="U253" s="494"/>
      <c r="V253" s="405"/>
    </row>
    <row r="254" spans="1:23" x14ac:dyDescent="0.3">
      <c r="A254" s="428"/>
      <c r="B254" s="532"/>
      <c r="C254" s="532"/>
      <c r="D254" s="532"/>
      <c r="E254" s="532"/>
      <c r="F254" s="532"/>
      <c r="G254" s="532"/>
      <c r="H254" s="533"/>
      <c r="I254" s="533"/>
      <c r="J254" s="533"/>
      <c r="K254" s="533"/>
      <c r="L254" s="533"/>
      <c r="M254" s="533"/>
      <c r="N254" s="533"/>
      <c r="O254" s="533"/>
      <c r="P254" s="531">
        <f>SUM(P245:P253)</f>
        <v>1863</v>
      </c>
      <c r="Q254" s="534">
        <f>SUM(Q245:Q253)</f>
        <v>1</v>
      </c>
      <c r="R254" s="535">
        <f>SUM(R245:R253)</f>
        <v>227480</v>
      </c>
      <c r="S254" s="534">
        <f>SUM(S245:S253)</f>
        <v>0.99999999999999989</v>
      </c>
      <c r="T254" s="419"/>
      <c r="U254" s="420"/>
      <c r="V254" s="405"/>
    </row>
    <row r="255" spans="1:23" x14ac:dyDescent="0.3">
      <c r="A255" s="407"/>
      <c r="B255" s="444"/>
      <c r="C255" s="444"/>
      <c r="D255" s="444"/>
      <c r="E255" s="444"/>
      <c r="F255" s="444"/>
      <c r="G255" s="444"/>
      <c r="H255" s="495"/>
      <c r="I255" s="495"/>
      <c r="J255" s="495"/>
      <c r="K255" s="495"/>
      <c r="L255" s="495"/>
      <c r="M255" s="495"/>
      <c r="N255" s="495"/>
      <c r="O255" s="495"/>
      <c r="P255" s="445"/>
      <c r="Q255" s="496"/>
      <c r="R255" s="497"/>
      <c r="S255" s="496"/>
      <c r="T255" s="444"/>
      <c r="U255" s="444"/>
      <c r="V255" s="405"/>
    </row>
    <row r="256" spans="1:23" x14ac:dyDescent="0.3">
      <c r="A256" s="503"/>
      <c r="B256" s="612" t="s">
        <v>279</v>
      </c>
      <c r="C256" s="613"/>
      <c r="D256" s="613"/>
      <c r="E256" s="613"/>
      <c r="F256" s="620"/>
      <c r="G256" s="613"/>
      <c r="H256" s="613"/>
      <c r="I256" s="613"/>
      <c r="J256" s="613"/>
      <c r="K256" s="613"/>
      <c r="L256" s="613"/>
      <c r="M256" s="613"/>
      <c r="N256" s="613"/>
      <c r="O256" s="613"/>
      <c r="P256" s="620" t="s">
        <v>108</v>
      </c>
      <c r="Q256" s="613" t="s">
        <v>109</v>
      </c>
      <c r="R256" s="620" t="s">
        <v>117</v>
      </c>
      <c r="S256" s="613" t="s">
        <v>109</v>
      </c>
      <c r="T256" s="608"/>
      <c r="U256" s="611"/>
      <c r="V256" s="405"/>
    </row>
    <row r="257" spans="1:22" x14ac:dyDescent="0.3">
      <c r="A257" s="430"/>
      <c r="B257" s="572" t="s">
        <v>94</v>
      </c>
      <c r="C257" s="621"/>
      <c r="D257" s="621"/>
      <c r="E257" s="621"/>
      <c r="F257" s="539"/>
      <c r="G257" s="621"/>
      <c r="H257" s="621"/>
      <c r="I257" s="621"/>
      <c r="J257" s="621"/>
      <c r="K257" s="621"/>
      <c r="L257" s="621"/>
      <c r="M257" s="621"/>
      <c r="N257" s="621"/>
      <c r="O257" s="621"/>
      <c r="P257" s="572">
        <v>28</v>
      </c>
      <c r="Q257" s="627">
        <f t="shared" ref="Q257:Q264" si="7">P257/$P$266</f>
        <v>0.96551724137931039</v>
      </c>
      <c r="R257" s="541">
        <v>3642</v>
      </c>
      <c r="S257" s="627">
        <f t="shared" ref="S257:S264" si="8">R257/$R$266</f>
        <v>0.97405723455469373</v>
      </c>
      <c r="T257" s="431"/>
      <c r="U257" s="444"/>
      <c r="V257" s="405"/>
    </row>
    <row r="258" spans="1:22" x14ac:dyDescent="0.3">
      <c r="A258" s="428"/>
      <c r="B258" s="531" t="s">
        <v>95</v>
      </c>
      <c r="C258" s="549"/>
      <c r="D258" s="549"/>
      <c r="E258" s="549"/>
      <c r="F258" s="532"/>
      <c r="G258" s="534"/>
      <c r="H258" s="549"/>
      <c r="I258" s="549"/>
      <c r="J258" s="549"/>
      <c r="K258" s="549"/>
      <c r="L258" s="549"/>
      <c r="M258" s="549"/>
      <c r="N258" s="549"/>
      <c r="O258" s="549"/>
      <c r="P258" s="531">
        <v>0</v>
      </c>
      <c r="Q258" s="534">
        <f t="shared" si="7"/>
        <v>0</v>
      </c>
      <c r="R258" s="535">
        <v>0</v>
      </c>
      <c r="S258" s="534">
        <f t="shared" si="8"/>
        <v>0</v>
      </c>
      <c r="T258" s="419"/>
      <c r="U258" s="451"/>
      <c r="V258" s="405"/>
    </row>
    <row r="259" spans="1:22" x14ac:dyDescent="0.3">
      <c r="A259" s="428"/>
      <c r="B259" s="531" t="s">
        <v>96</v>
      </c>
      <c r="C259" s="549"/>
      <c r="D259" s="549"/>
      <c r="E259" s="549"/>
      <c r="F259" s="532"/>
      <c r="G259" s="534"/>
      <c r="H259" s="549"/>
      <c r="I259" s="549"/>
      <c r="J259" s="549"/>
      <c r="K259" s="549"/>
      <c r="L259" s="549"/>
      <c r="M259" s="549"/>
      <c r="N259" s="549"/>
      <c r="O259" s="549"/>
      <c r="P259" s="531">
        <v>0</v>
      </c>
      <c r="Q259" s="534">
        <f t="shared" si="7"/>
        <v>0</v>
      </c>
      <c r="R259" s="535">
        <v>0</v>
      </c>
      <c r="S259" s="534">
        <f t="shared" si="8"/>
        <v>0</v>
      </c>
      <c r="T259" s="419"/>
      <c r="U259" s="451"/>
      <c r="V259" s="405"/>
    </row>
    <row r="260" spans="1:22" x14ac:dyDescent="0.3">
      <c r="A260" s="428"/>
      <c r="B260" s="531" t="s">
        <v>171</v>
      </c>
      <c r="C260" s="549"/>
      <c r="D260" s="549"/>
      <c r="E260" s="549"/>
      <c r="F260" s="532"/>
      <c r="G260" s="534"/>
      <c r="H260" s="549"/>
      <c r="I260" s="549"/>
      <c r="J260" s="549"/>
      <c r="K260" s="549"/>
      <c r="L260" s="549"/>
      <c r="M260" s="549"/>
      <c r="N260" s="549"/>
      <c r="O260" s="549"/>
      <c r="P260" s="531">
        <v>1</v>
      </c>
      <c r="Q260" s="534">
        <f t="shared" si="7"/>
        <v>3.4482758620689655E-2</v>
      </c>
      <c r="R260" s="535">
        <v>97</v>
      </c>
      <c r="S260" s="534">
        <f t="shared" si="8"/>
        <v>2.5942765445306232E-2</v>
      </c>
      <c r="T260" s="419"/>
      <c r="U260" s="451"/>
      <c r="V260" s="405"/>
    </row>
    <row r="261" spans="1:22" x14ac:dyDescent="0.3">
      <c r="A261" s="428"/>
      <c r="B261" s="531" t="s">
        <v>172</v>
      </c>
      <c r="C261" s="549"/>
      <c r="D261" s="549"/>
      <c r="E261" s="549"/>
      <c r="F261" s="532"/>
      <c r="G261" s="534"/>
      <c r="H261" s="549"/>
      <c r="I261" s="549"/>
      <c r="J261" s="549"/>
      <c r="K261" s="549"/>
      <c r="L261" s="549"/>
      <c r="M261" s="549"/>
      <c r="N261" s="549"/>
      <c r="O261" s="549"/>
      <c r="P261" s="531">
        <v>0</v>
      </c>
      <c r="Q261" s="534">
        <f t="shared" si="7"/>
        <v>0</v>
      </c>
      <c r="R261" s="535">
        <v>0</v>
      </c>
      <c r="S261" s="534">
        <f t="shared" si="8"/>
        <v>0</v>
      </c>
      <c r="T261" s="419"/>
      <c r="U261" s="451"/>
      <c r="V261" s="405"/>
    </row>
    <row r="262" spans="1:22" x14ac:dyDescent="0.3">
      <c r="A262" s="428"/>
      <c r="B262" s="531" t="s">
        <v>173</v>
      </c>
      <c r="C262" s="549"/>
      <c r="D262" s="549"/>
      <c r="E262" s="549"/>
      <c r="F262" s="532"/>
      <c r="G262" s="534"/>
      <c r="H262" s="549"/>
      <c r="I262" s="549"/>
      <c r="J262" s="549"/>
      <c r="K262" s="549"/>
      <c r="L262" s="549"/>
      <c r="M262" s="549"/>
      <c r="N262" s="549"/>
      <c r="O262" s="549"/>
      <c r="P262" s="531">
        <v>0</v>
      </c>
      <c r="Q262" s="534">
        <f t="shared" si="7"/>
        <v>0</v>
      </c>
      <c r="R262" s="535">
        <v>0</v>
      </c>
      <c r="S262" s="534">
        <f t="shared" si="8"/>
        <v>0</v>
      </c>
      <c r="T262" s="419"/>
      <c r="U262" s="451"/>
      <c r="V262" s="405"/>
    </row>
    <row r="263" spans="1:22" x14ac:dyDescent="0.3">
      <c r="A263" s="428"/>
      <c r="B263" s="531" t="s">
        <v>174</v>
      </c>
      <c r="C263" s="549"/>
      <c r="D263" s="549"/>
      <c r="E263" s="549"/>
      <c r="F263" s="532"/>
      <c r="G263" s="534"/>
      <c r="H263" s="549"/>
      <c r="I263" s="549"/>
      <c r="J263" s="549"/>
      <c r="K263" s="549"/>
      <c r="L263" s="549"/>
      <c r="M263" s="549"/>
      <c r="N263" s="549"/>
      <c r="O263" s="549"/>
      <c r="P263" s="531">
        <v>0</v>
      </c>
      <c r="Q263" s="534">
        <f t="shared" si="7"/>
        <v>0</v>
      </c>
      <c r="R263" s="535">
        <v>0</v>
      </c>
      <c r="S263" s="534">
        <f t="shared" si="8"/>
        <v>0</v>
      </c>
      <c r="T263" s="419"/>
      <c r="U263" s="451"/>
      <c r="V263" s="405"/>
    </row>
    <row r="264" spans="1:22" x14ac:dyDescent="0.3">
      <c r="A264" s="428"/>
      <c r="B264" s="531" t="s">
        <v>175</v>
      </c>
      <c r="C264" s="549"/>
      <c r="D264" s="549"/>
      <c r="E264" s="549"/>
      <c r="F264" s="532"/>
      <c r="G264" s="534"/>
      <c r="H264" s="549"/>
      <c r="I264" s="549"/>
      <c r="J264" s="549"/>
      <c r="K264" s="549"/>
      <c r="L264" s="549"/>
      <c r="M264" s="549"/>
      <c r="N264" s="549"/>
      <c r="O264" s="549"/>
      <c r="P264" s="531">
        <v>0</v>
      </c>
      <c r="Q264" s="534">
        <f t="shared" si="7"/>
        <v>0</v>
      </c>
      <c r="R264" s="535">
        <v>0</v>
      </c>
      <c r="S264" s="534">
        <f t="shared" si="8"/>
        <v>0</v>
      </c>
      <c r="T264" s="419"/>
      <c r="U264" s="451"/>
      <c r="V264" s="405"/>
    </row>
    <row r="265" spans="1:22" x14ac:dyDescent="0.3">
      <c r="A265" s="428"/>
      <c r="B265" s="531"/>
      <c r="C265" s="549"/>
      <c r="D265" s="549"/>
      <c r="E265" s="549"/>
      <c r="F265" s="532"/>
      <c r="G265" s="534"/>
      <c r="H265" s="549"/>
      <c r="I265" s="549"/>
      <c r="J265" s="549"/>
      <c r="K265" s="549"/>
      <c r="L265" s="549"/>
      <c r="M265" s="549"/>
      <c r="N265" s="549"/>
      <c r="O265" s="549"/>
      <c r="P265" s="531"/>
      <c r="Q265" s="534"/>
      <c r="R265" s="535"/>
      <c r="S265" s="534"/>
      <c r="T265" s="419"/>
      <c r="U265" s="451"/>
      <c r="V265" s="405"/>
    </row>
    <row r="266" spans="1:22" x14ac:dyDescent="0.3">
      <c r="A266" s="428"/>
      <c r="B266" s="532"/>
      <c r="C266" s="532"/>
      <c r="D266" s="532"/>
      <c r="E266" s="532"/>
      <c r="F266" s="532"/>
      <c r="G266" s="532"/>
      <c r="H266" s="533"/>
      <c r="I266" s="533"/>
      <c r="J266" s="533"/>
      <c r="K266" s="533"/>
      <c r="L266" s="533"/>
      <c r="M266" s="533"/>
      <c r="N266" s="533"/>
      <c r="O266" s="533"/>
      <c r="P266" s="531">
        <f>SUM(P257:P265)</f>
        <v>29</v>
      </c>
      <c r="Q266" s="534">
        <f>SUM(Q257:Q265)</f>
        <v>1</v>
      </c>
      <c r="R266" s="535">
        <f>SUM(R257:R265)</f>
        <v>3739</v>
      </c>
      <c r="S266" s="534">
        <f>SUM(S257:S265)</f>
        <v>1</v>
      </c>
      <c r="T266" s="419"/>
      <c r="U266" s="451"/>
      <c r="V266" s="405"/>
    </row>
    <row r="267" spans="1:22" x14ac:dyDescent="0.3">
      <c r="A267" s="430"/>
      <c r="B267" s="431"/>
      <c r="C267" s="431"/>
      <c r="D267" s="431"/>
      <c r="E267" s="431"/>
      <c r="F267" s="431"/>
      <c r="G267" s="431"/>
      <c r="H267" s="498"/>
      <c r="I267" s="498"/>
      <c r="J267" s="498"/>
      <c r="K267" s="498"/>
      <c r="L267" s="498"/>
      <c r="M267" s="498"/>
      <c r="N267" s="498"/>
      <c r="O267" s="498"/>
      <c r="P267" s="455"/>
      <c r="Q267" s="499"/>
      <c r="R267" s="500"/>
      <c r="S267" s="499"/>
      <c r="T267" s="431"/>
      <c r="U267" s="444"/>
      <c r="V267" s="405"/>
    </row>
    <row r="268" spans="1:22" x14ac:dyDescent="0.3">
      <c r="A268" s="503"/>
      <c r="B268" s="612" t="s">
        <v>179</v>
      </c>
      <c r="C268" s="608"/>
      <c r="D268" s="608"/>
      <c r="E268" s="608"/>
      <c r="F268" s="608"/>
      <c r="G268" s="608"/>
      <c r="H268" s="628"/>
      <c r="I268" s="628"/>
      <c r="J268" s="628"/>
      <c r="K268" s="628"/>
      <c r="L268" s="628"/>
      <c r="M268" s="628"/>
      <c r="N268" s="628"/>
      <c r="O268" s="628"/>
      <c r="P268" s="620" t="s">
        <v>108</v>
      </c>
      <c r="Q268" s="613" t="s">
        <v>109</v>
      </c>
      <c r="R268" s="620" t="s">
        <v>117</v>
      </c>
      <c r="S268" s="613" t="s">
        <v>109</v>
      </c>
      <c r="T268" s="608"/>
      <c r="U268" s="611"/>
      <c r="V268" s="405"/>
    </row>
    <row r="269" spans="1:22" x14ac:dyDescent="0.3">
      <c r="A269" s="430"/>
      <c r="B269" s="572" t="s">
        <v>94</v>
      </c>
      <c r="C269" s="539"/>
      <c r="D269" s="539"/>
      <c r="E269" s="539"/>
      <c r="F269" s="539"/>
      <c r="G269" s="539"/>
      <c r="H269" s="540"/>
      <c r="I269" s="540"/>
      <c r="J269" s="540"/>
      <c r="K269" s="540"/>
      <c r="L269" s="540"/>
      <c r="M269" s="540"/>
      <c r="N269" s="540"/>
      <c r="O269" s="540"/>
      <c r="P269" s="572">
        <v>0</v>
      </c>
      <c r="Q269" s="627">
        <v>0</v>
      </c>
      <c r="R269" s="541">
        <v>0</v>
      </c>
      <c r="S269" s="627">
        <v>0</v>
      </c>
      <c r="T269" s="431"/>
      <c r="U269" s="444"/>
      <c r="V269" s="405"/>
    </row>
    <row r="270" spans="1:22" x14ac:dyDescent="0.3">
      <c r="A270" s="428"/>
      <c r="B270" s="531" t="s">
        <v>95</v>
      </c>
      <c r="C270" s="532"/>
      <c r="D270" s="532"/>
      <c r="E270" s="532"/>
      <c r="F270" s="532"/>
      <c r="G270" s="532"/>
      <c r="H270" s="533"/>
      <c r="I270" s="533"/>
      <c r="J270" s="533"/>
      <c r="K270" s="533"/>
      <c r="L270" s="533"/>
      <c r="M270" s="533"/>
      <c r="N270" s="533"/>
      <c r="O270" s="533"/>
      <c r="P270" s="531">
        <v>0</v>
      </c>
      <c r="Q270" s="534">
        <v>0</v>
      </c>
      <c r="R270" s="535">
        <v>0</v>
      </c>
      <c r="S270" s="534">
        <v>0</v>
      </c>
      <c r="T270" s="419"/>
      <c r="U270" s="451"/>
      <c r="V270" s="405"/>
    </row>
    <row r="271" spans="1:22" x14ac:dyDescent="0.3">
      <c r="A271" s="428"/>
      <c r="B271" s="531" t="s">
        <v>96</v>
      </c>
      <c r="C271" s="532"/>
      <c r="D271" s="532"/>
      <c r="E271" s="532"/>
      <c r="F271" s="532"/>
      <c r="G271" s="532"/>
      <c r="H271" s="533"/>
      <c r="I271" s="533"/>
      <c r="J271" s="533"/>
      <c r="K271" s="533"/>
      <c r="L271" s="533"/>
      <c r="M271" s="533"/>
      <c r="N271" s="533"/>
      <c r="O271" s="533"/>
      <c r="P271" s="531">
        <v>0</v>
      </c>
      <c r="Q271" s="534">
        <v>0</v>
      </c>
      <c r="R271" s="535">
        <v>0</v>
      </c>
      <c r="S271" s="534">
        <v>0</v>
      </c>
      <c r="T271" s="419"/>
      <c r="U271" s="451"/>
      <c r="V271" s="405"/>
    </row>
    <row r="272" spans="1:22" x14ac:dyDescent="0.3">
      <c r="A272" s="428"/>
      <c r="B272" s="531" t="s">
        <v>171</v>
      </c>
      <c r="C272" s="532"/>
      <c r="D272" s="532"/>
      <c r="E272" s="532"/>
      <c r="F272" s="532"/>
      <c r="G272" s="532"/>
      <c r="H272" s="533"/>
      <c r="I272" s="533"/>
      <c r="J272" s="533"/>
      <c r="K272" s="533"/>
      <c r="L272" s="533"/>
      <c r="M272" s="533"/>
      <c r="N272" s="533"/>
      <c r="O272" s="533"/>
      <c r="P272" s="531">
        <v>0</v>
      </c>
      <c r="Q272" s="534">
        <v>0</v>
      </c>
      <c r="R272" s="535">
        <v>0</v>
      </c>
      <c r="S272" s="534">
        <v>0</v>
      </c>
      <c r="T272" s="419"/>
      <c r="U272" s="451"/>
      <c r="V272" s="405"/>
    </row>
    <row r="273" spans="1:22" x14ac:dyDescent="0.3">
      <c r="A273" s="428"/>
      <c r="B273" s="531" t="s">
        <v>172</v>
      </c>
      <c r="C273" s="532"/>
      <c r="D273" s="532"/>
      <c r="E273" s="532"/>
      <c r="F273" s="532"/>
      <c r="G273" s="532"/>
      <c r="H273" s="533"/>
      <c r="I273" s="533"/>
      <c r="J273" s="533"/>
      <c r="K273" s="533"/>
      <c r="L273" s="533"/>
      <c r="M273" s="533"/>
      <c r="N273" s="533"/>
      <c r="O273" s="533"/>
      <c r="P273" s="531">
        <v>0</v>
      </c>
      <c r="Q273" s="534">
        <v>0</v>
      </c>
      <c r="R273" s="535">
        <v>0</v>
      </c>
      <c r="S273" s="534">
        <v>0</v>
      </c>
      <c r="T273" s="419"/>
      <c r="U273" s="451"/>
      <c r="V273" s="405"/>
    </row>
    <row r="274" spans="1:22" x14ac:dyDescent="0.3">
      <c r="A274" s="428"/>
      <c r="B274" s="531" t="s">
        <v>173</v>
      </c>
      <c r="C274" s="532"/>
      <c r="D274" s="532"/>
      <c r="E274" s="532"/>
      <c r="F274" s="532"/>
      <c r="G274" s="532"/>
      <c r="H274" s="533"/>
      <c r="I274" s="533"/>
      <c r="J274" s="533"/>
      <c r="K274" s="533"/>
      <c r="L274" s="533"/>
      <c r="M274" s="533"/>
      <c r="N274" s="533"/>
      <c r="O274" s="533"/>
      <c r="P274" s="531">
        <v>0</v>
      </c>
      <c r="Q274" s="534">
        <v>0</v>
      </c>
      <c r="R274" s="535">
        <v>0</v>
      </c>
      <c r="S274" s="534">
        <v>0</v>
      </c>
      <c r="T274" s="419"/>
      <c r="U274" s="451"/>
      <c r="V274" s="405"/>
    </row>
    <row r="275" spans="1:22" x14ac:dyDescent="0.3">
      <c r="A275" s="428"/>
      <c r="B275" s="531" t="s">
        <v>174</v>
      </c>
      <c r="C275" s="532"/>
      <c r="D275" s="532"/>
      <c r="E275" s="532"/>
      <c r="F275" s="532"/>
      <c r="G275" s="532"/>
      <c r="H275" s="533"/>
      <c r="I275" s="533"/>
      <c r="J275" s="533"/>
      <c r="K275" s="533"/>
      <c r="L275" s="533"/>
      <c r="M275" s="533"/>
      <c r="N275" s="533"/>
      <c r="O275" s="533"/>
      <c r="P275" s="531">
        <v>0</v>
      </c>
      <c r="Q275" s="534">
        <v>0</v>
      </c>
      <c r="R275" s="535">
        <v>0</v>
      </c>
      <c r="S275" s="534">
        <v>0</v>
      </c>
      <c r="T275" s="419"/>
      <c r="U275" s="451"/>
      <c r="V275" s="405"/>
    </row>
    <row r="276" spans="1:22" x14ac:dyDescent="0.3">
      <c r="A276" s="428"/>
      <c r="B276" s="531" t="s">
        <v>175</v>
      </c>
      <c r="C276" s="532"/>
      <c r="D276" s="532"/>
      <c r="E276" s="532"/>
      <c r="F276" s="532"/>
      <c r="G276" s="532"/>
      <c r="H276" s="533"/>
      <c r="I276" s="533"/>
      <c r="J276" s="533"/>
      <c r="K276" s="533"/>
      <c r="L276" s="533"/>
      <c r="M276" s="533"/>
      <c r="N276" s="533"/>
      <c r="O276" s="533"/>
      <c r="P276" s="531">
        <v>0</v>
      </c>
      <c r="Q276" s="534">
        <v>0</v>
      </c>
      <c r="R276" s="535">
        <v>0</v>
      </c>
      <c r="S276" s="534">
        <v>0</v>
      </c>
      <c r="T276" s="419"/>
      <c r="U276" s="451"/>
      <c r="V276" s="405"/>
    </row>
    <row r="277" spans="1:22" x14ac:dyDescent="0.3">
      <c r="A277" s="428"/>
      <c r="B277" s="531"/>
      <c r="C277" s="532"/>
      <c r="D277" s="532"/>
      <c r="E277" s="532"/>
      <c r="F277" s="532"/>
      <c r="G277" s="532"/>
      <c r="H277" s="533"/>
      <c r="I277" s="533"/>
      <c r="J277" s="533"/>
      <c r="K277" s="533"/>
      <c r="L277" s="533"/>
      <c r="M277" s="533"/>
      <c r="N277" s="533"/>
      <c r="O277" s="533"/>
      <c r="P277" s="531"/>
      <c r="Q277" s="534"/>
      <c r="R277" s="535"/>
      <c r="S277" s="534"/>
      <c r="T277" s="419"/>
      <c r="U277" s="451"/>
      <c r="V277" s="405"/>
    </row>
    <row r="278" spans="1:22" x14ac:dyDescent="0.3">
      <c r="A278" s="428"/>
      <c r="B278" s="532" t="s">
        <v>123</v>
      </c>
      <c r="C278" s="532"/>
      <c r="D278" s="532"/>
      <c r="E278" s="532"/>
      <c r="F278" s="532"/>
      <c r="G278" s="532"/>
      <c r="H278" s="533"/>
      <c r="I278" s="533"/>
      <c r="J278" s="533"/>
      <c r="K278" s="533"/>
      <c r="L278" s="533"/>
      <c r="M278" s="533"/>
      <c r="N278" s="533"/>
      <c r="O278" s="533"/>
      <c r="P278" s="531">
        <f>SUM(P269:P276)</f>
        <v>0</v>
      </c>
      <c r="Q278" s="534">
        <f>SUM(Q269:Q276)</f>
        <v>0</v>
      </c>
      <c r="R278" s="535">
        <f>SUM(R269:R276)</f>
        <v>0</v>
      </c>
      <c r="S278" s="534">
        <f>SUM(S269:S276)</f>
        <v>0</v>
      </c>
      <c r="T278" s="419"/>
      <c r="U278" s="451"/>
      <c r="V278" s="405"/>
    </row>
    <row r="279" spans="1:22" x14ac:dyDescent="0.3">
      <c r="A279" s="428"/>
      <c r="B279" s="532"/>
      <c r="C279" s="532"/>
      <c r="D279" s="532"/>
      <c r="E279" s="532"/>
      <c r="F279" s="532"/>
      <c r="G279" s="532"/>
      <c r="H279" s="533"/>
      <c r="I279" s="533"/>
      <c r="J279" s="533"/>
      <c r="K279" s="533"/>
      <c r="L279" s="533"/>
      <c r="M279" s="533"/>
      <c r="N279" s="533"/>
      <c r="O279" s="533"/>
      <c r="P279" s="531"/>
      <c r="Q279" s="534"/>
      <c r="R279" s="535"/>
      <c r="S279" s="534"/>
      <c r="T279" s="419"/>
      <c r="U279" s="451"/>
      <c r="V279" s="405"/>
    </row>
    <row r="280" spans="1:22" x14ac:dyDescent="0.3">
      <c r="A280" s="428"/>
      <c r="B280" s="536" t="s">
        <v>180</v>
      </c>
      <c r="C280" s="532"/>
      <c r="D280" s="532"/>
      <c r="E280" s="532"/>
      <c r="F280" s="532"/>
      <c r="G280" s="532"/>
      <c r="H280" s="533"/>
      <c r="I280" s="533"/>
      <c r="J280" s="533"/>
      <c r="K280" s="533"/>
      <c r="L280" s="533"/>
      <c r="M280" s="533"/>
      <c r="N280" s="533"/>
      <c r="O280" s="533"/>
      <c r="P280" s="537">
        <f>+P254+P266+P278</f>
        <v>1892</v>
      </c>
      <c r="Q280" s="534"/>
      <c r="R280" s="538">
        <f>+R278+R266+R254</f>
        <v>231219</v>
      </c>
      <c r="S280" s="534"/>
      <c r="T280" s="419"/>
      <c r="U280" s="451"/>
      <c r="V280" s="405"/>
    </row>
    <row r="281" spans="1:22" x14ac:dyDescent="0.3">
      <c r="A281" s="430"/>
      <c r="B281" s="539"/>
      <c r="C281" s="539"/>
      <c r="D281" s="539"/>
      <c r="E281" s="539"/>
      <c r="F281" s="539"/>
      <c r="G281" s="539"/>
      <c r="H281" s="540"/>
      <c r="I281" s="540"/>
      <c r="J281" s="540"/>
      <c r="K281" s="540"/>
      <c r="L281" s="540"/>
      <c r="M281" s="540"/>
      <c r="N281" s="540"/>
      <c r="O281" s="540"/>
      <c r="P281" s="540"/>
      <c r="Q281" s="540"/>
      <c r="R281" s="541"/>
      <c r="S281" s="540"/>
      <c r="T281" s="431"/>
      <c r="U281" s="444"/>
      <c r="V281" s="405"/>
    </row>
    <row r="282" spans="1:22" x14ac:dyDescent="0.3">
      <c r="A282" s="430"/>
      <c r="B282" s="542"/>
      <c r="C282" s="542"/>
      <c r="D282" s="542"/>
      <c r="E282" s="542"/>
      <c r="F282" s="542"/>
      <c r="G282" s="542"/>
      <c r="H282" s="543"/>
      <c r="I282" s="543"/>
      <c r="J282" s="543"/>
      <c r="K282" s="543"/>
      <c r="L282" s="543"/>
      <c r="M282" s="543"/>
      <c r="N282" s="543"/>
      <c r="O282" s="543"/>
      <c r="P282" s="543"/>
      <c r="Q282" s="543"/>
      <c r="R282" s="544"/>
      <c r="S282" s="543"/>
      <c r="T282" s="434"/>
      <c r="U282" s="409"/>
      <c r="V282" s="405"/>
    </row>
    <row r="283" spans="1:22" x14ac:dyDescent="0.3">
      <c r="A283" s="430"/>
      <c r="B283" s="545" t="s">
        <v>97</v>
      </c>
      <c r="C283" s="542"/>
      <c r="D283" s="542"/>
      <c r="E283" s="542"/>
      <c r="F283" s="546" t="s">
        <v>103</v>
      </c>
      <c r="G283" s="542"/>
      <c r="H283" s="545" t="s">
        <v>105</v>
      </c>
      <c r="I283" s="542"/>
      <c r="J283" s="542"/>
      <c r="K283" s="542"/>
      <c r="L283" s="542"/>
      <c r="M283" s="542"/>
      <c r="N283" s="542"/>
      <c r="O283" s="542"/>
      <c r="P283" s="542"/>
      <c r="Q283" s="542"/>
      <c r="R283" s="542"/>
      <c r="S283" s="542"/>
      <c r="T283" s="434"/>
      <c r="U283" s="409"/>
      <c r="V283" s="405"/>
    </row>
    <row r="284" spans="1:22" x14ac:dyDescent="0.3">
      <c r="A284" s="430"/>
      <c r="B284" s="542"/>
      <c r="C284" s="542"/>
      <c r="D284" s="542"/>
      <c r="E284" s="542"/>
      <c r="F284" s="542"/>
      <c r="G284" s="542"/>
      <c r="H284" s="542"/>
      <c r="I284" s="542"/>
      <c r="J284" s="542"/>
      <c r="K284" s="542"/>
      <c r="L284" s="542"/>
      <c r="M284" s="542"/>
      <c r="N284" s="542"/>
      <c r="O284" s="542"/>
      <c r="P284" s="542"/>
      <c r="Q284" s="542"/>
      <c r="R284" s="542"/>
      <c r="S284" s="542"/>
      <c r="T284" s="434"/>
      <c r="U284" s="409"/>
      <c r="V284" s="405"/>
    </row>
    <row r="285" spans="1:22" x14ac:dyDescent="0.3">
      <c r="A285" s="430"/>
      <c r="B285" s="545" t="s">
        <v>323</v>
      </c>
      <c r="C285" s="545"/>
      <c r="D285" s="545"/>
      <c r="E285" s="545"/>
      <c r="F285" s="547" t="s">
        <v>274</v>
      </c>
      <c r="G285" s="545"/>
      <c r="H285" s="501" t="s">
        <v>348</v>
      </c>
      <c r="I285" s="542"/>
      <c r="J285" s="542"/>
      <c r="K285" s="542"/>
      <c r="L285" s="542"/>
      <c r="M285" s="542"/>
      <c r="N285" s="542"/>
      <c r="O285" s="542"/>
      <c r="P285" s="542"/>
      <c r="Q285" s="542"/>
      <c r="R285" s="542"/>
      <c r="S285" s="542"/>
      <c r="T285" s="434"/>
      <c r="U285" s="409"/>
      <c r="V285" s="405"/>
    </row>
    <row r="286" spans="1:22" x14ac:dyDescent="0.3">
      <c r="A286" s="430"/>
      <c r="B286" s="545" t="s">
        <v>324</v>
      </c>
      <c r="C286" s="545"/>
      <c r="D286" s="545"/>
      <c r="E286" s="545"/>
      <c r="F286" s="547" t="s">
        <v>158</v>
      </c>
      <c r="G286" s="545"/>
      <c r="H286" s="501" t="s">
        <v>349</v>
      </c>
      <c r="I286" s="542"/>
      <c r="J286" s="542"/>
      <c r="K286" s="542"/>
      <c r="L286" s="542"/>
      <c r="M286" s="542"/>
      <c r="N286" s="542"/>
      <c r="O286" s="542"/>
      <c r="P286" s="542"/>
      <c r="Q286" s="542"/>
      <c r="R286" s="542"/>
      <c r="S286" s="542"/>
      <c r="T286" s="434"/>
      <c r="U286" s="409"/>
      <c r="V286" s="405"/>
    </row>
    <row r="287" spans="1:22" x14ac:dyDescent="0.3">
      <c r="A287" s="430"/>
      <c r="B287" s="545"/>
      <c r="C287" s="545"/>
      <c r="D287" s="545"/>
      <c r="E287" s="545"/>
      <c r="F287" s="545"/>
      <c r="G287" s="545"/>
      <c r="H287" s="542"/>
      <c r="I287" s="542"/>
      <c r="J287" s="542"/>
      <c r="K287" s="542"/>
      <c r="L287" s="542"/>
      <c r="M287" s="542"/>
      <c r="N287" s="542"/>
      <c r="O287" s="542"/>
      <c r="P287" s="542"/>
      <c r="Q287" s="542"/>
      <c r="R287" s="542"/>
      <c r="S287" s="542"/>
      <c r="T287" s="434"/>
      <c r="U287" s="409"/>
      <c r="V287" s="405"/>
    </row>
    <row r="288" spans="1:22" x14ac:dyDescent="0.3">
      <c r="A288" s="407"/>
      <c r="B288" s="545"/>
      <c r="C288" s="545"/>
      <c r="D288" s="545"/>
      <c r="E288" s="545"/>
      <c r="F288" s="545"/>
      <c r="G288" s="545"/>
      <c r="H288" s="542"/>
      <c r="I288" s="542"/>
      <c r="J288" s="542"/>
      <c r="K288" s="542"/>
      <c r="L288" s="542"/>
      <c r="M288" s="542"/>
      <c r="N288" s="542"/>
      <c r="O288" s="542"/>
      <c r="P288" s="542"/>
      <c r="Q288" s="542"/>
      <c r="R288" s="542"/>
      <c r="S288" s="542"/>
      <c r="T288" s="409"/>
      <c r="U288" s="409"/>
      <c r="V288" s="405"/>
    </row>
    <row r="289" spans="1:22" ht="18.600000000000001" thickBot="1" x14ac:dyDescent="0.4">
      <c r="A289" s="407"/>
      <c r="B289" s="548" t="str">
        <f>B195</f>
        <v>PM9 INVESTOR REPORT QUARTER ENDING OCTOBER 2017</v>
      </c>
      <c r="C289" s="545"/>
      <c r="D289" s="545"/>
      <c r="E289" s="545"/>
      <c r="F289" s="545"/>
      <c r="G289" s="545"/>
      <c r="H289" s="542"/>
      <c r="I289" s="542"/>
      <c r="J289" s="542"/>
      <c r="K289" s="542"/>
      <c r="L289" s="542"/>
      <c r="M289" s="542"/>
      <c r="N289" s="542"/>
      <c r="O289" s="542"/>
      <c r="P289" s="542"/>
      <c r="Q289" s="542"/>
      <c r="R289" s="542"/>
      <c r="S289" s="542"/>
      <c r="T289" s="409"/>
      <c r="U289" s="409"/>
      <c r="V289" s="405"/>
    </row>
    <row r="290" spans="1:22" x14ac:dyDescent="0.3">
      <c r="A290" s="502"/>
      <c r="B290" s="502"/>
      <c r="C290" s="502"/>
      <c r="D290" s="502"/>
      <c r="E290" s="502"/>
      <c r="F290" s="502"/>
      <c r="G290" s="502"/>
      <c r="H290" s="502"/>
      <c r="I290" s="502"/>
      <c r="J290" s="502"/>
      <c r="K290" s="502"/>
      <c r="L290" s="502"/>
      <c r="M290" s="502"/>
      <c r="N290" s="502"/>
      <c r="O290" s="502"/>
      <c r="P290" s="502"/>
      <c r="Q290" s="502"/>
      <c r="R290" s="502"/>
      <c r="S290" s="502"/>
      <c r="T290" s="502"/>
      <c r="U290" s="502"/>
    </row>
  </sheetData>
  <hyperlinks>
    <hyperlink ref="J9" r:id="rId1" xr:uid="{00000000-0004-0000-3000-000000000000}"/>
    <hyperlink ref="N230" r:id="rId2" xr:uid="{00000000-0004-0000-3000-000001000000}"/>
  </hyperlinks>
  <printOptions horizontalCentered="1" verticalCentered="1"/>
  <pageMargins left="0.19685039370078741" right="0.19685039370078741" top="0.27559055118110237" bottom="0.27559055118110237" header="0" footer="0"/>
  <pageSetup scale="40" orientation="landscape" r:id="rId3"/>
  <headerFooter alignWithMargins="0"/>
  <rowBreaks count="3" manualBreakCount="3">
    <brk id="61" max="20" man="1"/>
    <brk id="134" max="20" man="1"/>
    <brk id="195" max="20"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9CB31"/>
  </sheetPr>
  <dimension ref="A1:W275"/>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t="s">
        <v>263</v>
      </c>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0.58340000000000003</v>
      </c>
      <c r="R16" s="17" t="s">
        <v>149</v>
      </c>
      <c r="S16" s="140">
        <v>0.41660000000000003</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39045</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305014.91600000003</v>
      </c>
      <c r="E30" s="32"/>
      <c r="F30" s="125">
        <f>F29*F36</f>
        <v>312948.83</v>
      </c>
      <c r="G30" s="31"/>
      <c r="H30" s="150">
        <f>H29*H36</f>
        <v>52892.76</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297317.45400000003</v>
      </c>
      <c r="E31" s="36"/>
      <c r="F31" s="126">
        <f>F35*F29</f>
        <v>305051.14500000002</v>
      </c>
      <c r="G31" s="35"/>
      <c r="H31" s="155">
        <f>H35*H29</f>
        <v>51557.94</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305014.91600000003</v>
      </c>
      <c r="E33" s="32"/>
      <c r="F33" s="31">
        <f>F32*F36</f>
        <v>215537.997</v>
      </c>
      <c r="G33" s="31"/>
      <c r="H33" s="31">
        <f>H32*H36</f>
        <v>29884.4094</v>
      </c>
      <c r="I33" s="31"/>
      <c r="J33" s="31">
        <f>J32*J36</f>
        <v>7000</v>
      </c>
      <c r="K33" s="31"/>
      <c r="L33" s="31">
        <f>L32*L36</f>
        <v>20300</v>
      </c>
      <c r="M33" s="31"/>
      <c r="N33" s="31">
        <f>N32*N36</f>
        <v>3000</v>
      </c>
      <c r="O33" s="31"/>
      <c r="P33" s="31">
        <f>P32*P36</f>
        <v>45300</v>
      </c>
      <c r="Q33" s="31"/>
      <c r="R33" s="31"/>
      <c r="S33" s="161"/>
      <c r="T33" s="31">
        <f>SUM(C33:P33)</f>
        <v>626037.32240000006</v>
      </c>
      <c r="U33" s="34"/>
      <c r="V33" s="5"/>
    </row>
    <row r="34" spans="1:22" ht="15.6" x14ac:dyDescent="0.3">
      <c r="A34" s="28"/>
      <c r="B34" s="29" t="s">
        <v>291</v>
      </c>
      <c r="C34" s="36"/>
      <c r="D34" s="35">
        <f>D35*D32</f>
        <v>297317.45400000003</v>
      </c>
      <c r="E34" s="36"/>
      <c r="F34" s="35">
        <f>F35*F32</f>
        <v>210098.60550000001</v>
      </c>
      <c r="G34" s="35"/>
      <c r="H34" s="35">
        <f>H35*H32</f>
        <v>29130.236100000002</v>
      </c>
      <c r="I34" s="35"/>
      <c r="J34" s="35">
        <f>J35*J32</f>
        <v>7000</v>
      </c>
      <c r="K34" s="35"/>
      <c r="L34" s="35">
        <f>L35*L32</f>
        <v>20300</v>
      </c>
      <c r="M34" s="35"/>
      <c r="N34" s="35">
        <f>N35*N32</f>
        <v>3000</v>
      </c>
      <c r="O34" s="35"/>
      <c r="P34" s="35">
        <f>P35*P32</f>
        <v>45300</v>
      </c>
      <c r="Q34" s="35"/>
      <c r="R34" s="35"/>
      <c r="S34" s="37"/>
      <c r="T34" s="35">
        <f>SUM(C34:P34)</f>
        <v>612146.29560000007</v>
      </c>
      <c r="U34" s="34"/>
      <c r="V34" s="5"/>
    </row>
    <row r="35" spans="1:22" ht="15.6" x14ac:dyDescent="0.3">
      <c r="A35" s="28"/>
      <c r="B35" s="123" t="s">
        <v>139</v>
      </c>
      <c r="C35" s="127"/>
      <c r="D35" s="138">
        <v>0.85929900000000004</v>
      </c>
      <c r="E35" s="139"/>
      <c r="F35" s="138">
        <v>0.85929900000000004</v>
      </c>
      <c r="G35" s="138"/>
      <c r="H35" s="138">
        <v>0.85929900000000004</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38">
        <v>0.88154600000000005</v>
      </c>
      <c r="E36" s="139"/>
      <c r="F36" s="138">
        <v>0.88154600000000005</v>
      </c>
      <c r="G36" s="138"/>
      <c r="H36" s="138">
        <v>0.88154600000000005</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5.1499999999999997E-2</v>
      </c>
      <c r="E38" s="25"/>
      <c r="F38" s="38">
        <v>3.397E-2</v>
      </c>
      <c r="G38" s="39"/>
      <c r="H38" s="38">
        <v>5.5849999999999997E-2</v>
      </c>
      <c r="I38" s="39"/>
      <c r="J38" s="38">
        <v>5.2600000000000001E-2</v>
      </c>
      <c r="K38" s="39"/>
      <c r="L38" s="38">
        <v>3.5069999999999997E-2</v>
      </c>
      <c r="M38" s="39"/>
      <c r="N38" s="38">
        <v>5.4899999999999997E-2</v>
      </c>
      <c r="O38" s="39"/>
      <c r="P38" s="38">
        <v>3.737E-2</v>
      </c>
      <c r="Q38" s="39"/>
      <c r="R38" s="38"/>
      <c r="S38" s="160"/>
      <c r="T38" s="39"/>
      <c r="U38" s="25"/>
      <c r="V38" s="5"/>
    </row>
    <row r="39" spans="1:22" ht="15.6" x14ac:dyDescent="0.3">
      <c r="A39" s="24"/>
      <c r="B39" s="25" t="s">
        <v>14</v>
      </c>
      <c r="C39" s="25"/>
      <c r="D39" s="38">
        <v>4.89063E-2</v>
      </c>
      <c r="E39" s="25"/>
      <c r="F39" s="38">
        <v>3.0589999999999999E-2</v>
      </c>
      <c r="G39" s="39"/>
      <c r="H39" s="38">
        <v>5.3499999999999999E-2</v>
      </c>
      <c r="I39" s="39"/>
      <c r="J39" s="38">
        <v>5.0006299999999997E-2</v>
      </c>
      <c r="K39" s="39"/>
      <c r="L39" s="38">
        <v>3.1690000000000003E-2</v>
      </c>
      <c r="M39" s="39"/>
      <c r="N39" s="38">
        <v>5.23063E-2</v>
      </c>
      <c r="O39" s="39"/>
      <c r="P39" s="38">
        <v>3.3989999999999999E-2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5.1499999999999997E-2</v>
      </c>
      <c r="E41" s="25"/>
      <c r="F41" s="38">
        <v>5.16E-2</v>
      </c>
      <c r="G41" s="39"/>
      <c r="H41" s="38">
        <v>5.1729999999999998E-2</v>
      </c>
      <c r="I41" s="39"/>
      <c r="J41" s="38">
        <f>+J38</f>
        <v>5.2600000000000001E-2</v>
      </c>
      <c r="K41" s="39"/>
      <c r="L41" s="38">
        <v>5.2894999999999998E-2</v>
      </c>
      <c r="M41" s="39"/>
      <c r="N41" s="38">
        <f>+N38</f>
        <v>5.4899999999999997E-2</v>
      </c>
      <c r="O41" s="39"/>
      <c r="P41" s="38">
        <v>5.534E-2</v>
      </c>
      <c r="Q41" s="39"/>
      <c r="R41" s="38"/>
      <c r="S41" s="160"/>
      <c r="T41" s="39">
        <f>SUMPRODUCT(D41:P41,D33:P33)/T33</f>
        <v>5.1897097273544274E-2</v>
      </c>
      <c r="U41" s="25"/>
      <c r="V41" s="5"/>
    </row>
    <row r="42" spans="1:22" ht="15.6" x14ac:dyDescent="0.3">
      <c r="A42" s="24"/>
      <c r="B42" s="25" t="s">
        <v>294</v>
      </c>
      <c r="C42" s="25"/>
      <c r="D42" s="38">
        <f>+D39</f>
        <v>4.89063E-2</v>
      </c>
      <c r="E42" s="25"/>
      <c r="F42" s="38">
        <v>4.9006300000000003E-2</v>
      </c>
      <c r="G42" s="39"/>
      <c r="H42" s="38">
        <v>4.9136300000000001E-2</v>
      </c>
      <c r="I42" s="39"/>
      <c r="J42" s="38">
        <f>+J39</f>
        <v>5.0006299999999997E-2</v>
      </c>
      <c r="K42" s="39"/>
      <c r="L42" s="38">
        <v>5.03013E-2</v>
      </c>
      <c r="M42" s="39"/>
      <c r="N42" s="38">
        <f>+N39</f>
        <v>5.23063E-2</v>
      </c>
      <c r="O42" s="39"/>
      <c r="P42" s="38">
        <v>5.2746300000000003E-2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0.14090116849182471</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39036</v>
      </c>
      <c r="U53" s="25"/>
      <c r="V53" s="5"/>
    </row>
    <row r="54" spans="1:23" ht="15.6" x14ac:dyDescent="0.3">
      <c r="A54" s="24"/>
      <c r="B54" s="25" t="s">
        <v>130</v>
      </c>
      <c r="C54" s="25"/>
      <c r="D54" s="25"/>
      <c r="E54" s="25"/>
      <c r="F54" s="25"/>
      <c r="G54" s="25"/>
      <c r="H54" s="58"/>
      <c r="I54" s="58"/>
      <c r="J54" s="58"/>
      <c r="K54" s="58"/>
      <c r="L54" s="58"/>
      <c r="M54" s="58"/>
      <c r="N54" s="58"/>
      <c r="O54" s="58"/>
      <c r="P54" s="25">
        <f>+T54-R54+1</f>
        <v>92</v>
      </c>
      <c r="Q54" s="25"/>
      <c r="R54" s="45">
        <v>38852</v>
      </c>
      <c r="S54" s="46"/>
      <c r="T54" s="45">
        <v>38943</v>
      </c>
      <c r="U54" s="25"/>
      <c r="V54" s="5"/>
    </row>
    <row r="55" spans="1:23" ht="15.6" x14ac:dyDescent="0.3">
      <c r="A55" s="24"/>
      <c r="B55" s="25" t="s">
        <v>131</v>
      </c>
      <c r="C55" s="25"/>
      <c r="D55" s="25"/>
      <c r="E55" s="25"/>
      <c r="F55" s="25"/>
      <c r="G55" s="25"/>
      <c r="H55" s="25"/>
      <c r="I55" s="25"/>
      <c r="J55" s="25"/>
      <c r="K55" s="25"/>
      <c r="L55" s="25"/>
      <c r="M55" s="25"/>
      <c r="N55" s="25"/>
      <c r="O55" s="25"/>
      <c r="P55" s="25">
        <f>+T55-R55+1</f>
        <v>92</v>
      </c>
      <c r="Q55" s="25"/>
      <c r="R55" s="45">
        <v>38944</v>
      </c>
      <c r="S55" s="46"/>
      <c r="T55" s="45">
        <v>39035</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39022</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265</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626037</v>
      </c>
      <c r="M66" s="34"/>
      <c r="N66" s="34">
        <f>13891+4825+1170</f>
        <v>19886</v>
      </c>
      <c r="O66" s="34"/>
      <c r="P66" s="34">
        <f>4825+1170</f>
        <v>5995</v>
      </c>
      <c r="Q66" s="34"/>
      <c r="R66" s="34">
        <v>0</v>
      </c>
      <c r="S66" s="34"/>
      <c r="T66" s="53">
        <f>+L66-N66+P66-R66</f>
        <v>612146</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626037</v>
      </c>
      <c r="M69" s="34"/>
      <c r="N69" s="34">
        <f>SUM(N66:N68)</f>
        <v>19886</v>
      </c>
      <c r="O69" s="34"/>
      <c r="P69" s="34">
        <f>SUM(P66:P68)</f>
        <v>5995</v>
      </c>
      <c r="Q69" s="34"/>
      <c r="R69" s="34">
        <f>SUM(R66:R68)</f>
        <v>0</v>
      </c>
      <c r="S69" s="34"/>
      <c r="T69" s="54">
        <f>SUM(T66:T68)</f>
        <v>612146</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3"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3" ht="15.6" x14ac:dyDescent="0.3">
      <c r="A82" s="24"/>
      <c r="B82" s="25" t="s">
        <v>27</v>
      </c>
      <c r="C82" s="34"/>
      <c r="D82" s="34"/>
      <c r="E82" s="34"/>
      <c r="F82" s="54"/>
      <c r="G82" s="34"/>
      <c r="H82" s="54"/>
      <c r="I82" s="54"/>
      <c r="J82" s="54">
        <f>SUM(J69:J81)</f>
        <v>700000</v>
      </c>
      <c r="K82" s="34"/>
      <c r="L82" s="54">
        <f>SUM(L69:L81)</f>
        <v>626037</v>
      </c>
      <c r="M82" s="34"/>
      <c r="N82" s="34"/>
      <c r="O82" s="34"/>
      <c r="P82" s="34"/>
      <c r="Q82" s="34"/>
      <c r="R82" s="54"/>
      <c r="S82" s="34"/>
      <c r="T82" s="54">
        <f>SUM(T69:T81)</f>
        <v>612146</v>
      </c>
      <c r="U82" s="25"/>
      <c r="V82" s="5"/>
    </row>
    <row r="83" spans="1:23"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3" ht="15.6" x14ac:dyDescent="0.3">
      <c r="A84" s="6"/>
      <c r="B84" s="8"/>
      <c r="C84" s="8"/>
      <c r="D84" s="8"/>
      <c r="E84" s="8"/>
      <c r="F84" s="8"/>
      <c r="G84" s="8"/>
      <c r="H84" s="8"/>
      <c r="I84" s="8"/>
      <c r="J84" s="8"/>
      <c r="K84" s="8"/>
      <c r="L84" s="8"/>
      <c r="M84" s="8"/>
      <c r="N84" s="8"/>
      <c r="O84" s="8"/>
      <c r="P84" s="8"/>
      <c r="Q84" s="8"/>
      <c r="R84" s="8"/>
      <c r="S84" s="8"/>
      <c r="T84" s="8"/>
      <c r="U84" s="8"/>
      <c r="V84" s="5"/>
    </row>
    <row r="85" spans="1:23" ht="15.6" x14ac:dyDescent="0.3">
      <c r="A85" s="6"/>
      <c r="B85" s="51" t="s">
        <v>28</v>
      </c>
      <c r="C85" s="14"/>
      <c r="D85" s="14"/>
      <c r="E85" s="14"/>
      <c r="F85" s="14"/>
      <c r="G85" s="14"/>
      <c r="H85" s="17"/>
      <c r="I85" s="17"/>
      <c r="J85" s="158" t="s">
        <v>101</v>
      </c>
      <c r="K85" s="17"/>
      <c r="L85" s="157">
        <f>+R193</f>
        <v>39021</v>
      </c>
      <c r="M85" s="17"/>
      <c r="N85" s="17"/>
      <c r="O85" s="17"/>
      <c r="P85" s="17"/>
      <c r="Q85" s="17"/>
      <c r="R85" s="17" t="s">
        <v>114</v>
      </c>
      <c r="S85" s="17"/>
      <c r="T85" s="17" t="s">
        <v>122</v>
      </c>
      <c r="U85" s="8"/>
      <c r="V85" s="5"/>
    </row>
    <row r="86" spans="1:23"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3" ht="15.6" x14ac:dyDescent="0.3">
      <c r="A87" s="24"/>
      <c r="B87" s="25" t="s">
        <v>30</v>
      </c>
      <c r="C87" s="25"/>
      <c r="D87" s="25"/>
      <c r="E87" s="25"/>
      <c r="F87" s="25"/>
      <c r="G87" s="25"/>
      <c r="H87" s="40"/>
      <c r="I87" s="57"/>
      <c r="J87" s="40"/>
      <c r="K87" s="25"/>
      <c r="L87" s="128"/>
      <c r="M87" s="25"/>
      <c r="N87" s="25"/>
      <c r="O87" s="25"/>
      <c r="P87" s="25"/>
      <c r="Q87" s="25"/>
      <c r="R87" s="34">
        <f>19886-1</f>
        <v>19885</v>
      </c>
      <c r="S87" s="25"/>
      <c r="T87" s="53"/>
      <c r="U87" s="25"/>
      <c r="V87" s="5"/>
    </row>
    <row r="88" spans="1:23" ht="15.6" x14ac:dyDescent="0.3">
      <c r="A88" s="24"/>
      <c r="B88" s="25" t="s">
        <v>254</v>
      </c>
      <c r="C88" s="25"/>
      <c r="D88" s="25"/>
      <c r="E88" s="25"/>
      <c r="F88" s="25"/>
      <c r="G88" s="25"/>
      <c r="H88" s="40"/>
      <c r="I88" s="57"/>
      <c r="J88" s="40"/>
      <c r="K88" s="25"/>
      <c r="L88" s="128"/>
      <c r="M88" s="25"/>
      <c r="N88" s="25"/>
      <c r="O88" s="25"/>
      <c r="P88" s="25"/>
      <c r="Q88" s="25"/>
      <c r="R88" s="34"/>
      <c r="S88" s="25"/>
      <c r="T88" s="53">
        <f>6864+3694-1540-551+232</f>
        <v>8699</v>
      </c>
      <c r="U88" s="25"/>
      <c r="V88" s="5"/>
    </row>
    <row r="89" spans="1:23" ht="15.6" x14ac:dyDescent="0.3">
      <c r="A89" s="24"/>
      <c r="B89" s="25" t="s">
        <v>255</v>
      </c>
      <c r="C89" s="25"/>
      <c r="D89" s="25"/>
      <c r="E89" s="25"/>
      <c r="F89" s="25"/>
      <c r="G89" s="25"/>
      <c r="H89" s="40"/>
      <c r="I89" s="57"/>
      <c r="J89" s="40"/>
      <c r="K89" s="25"/>
      <c r="L89" s="128"/>
      <c r="M89" s="25"/>
      <c r="N89" s="25"/>
      <c r="O89" s="25"/>
      <c r="P89" s="25"/>
      <c r="Q89" s="25"/>
      <c r="R89" s="34"/>
      <c r="S89" s="25"/>
      <c r="T89" s="53">
        <f>214+145</f>
        <v>359</v>
      </c>
      <c r="U89" s="25"/>
      <c r="V89" s="5"/>
    </row>
    <row r="90" spans="1:23" ht="15.6" x14ac:dyDescent="0.3">
      <c r="A90" s="24"/>
      <c r="B90" s="25" t="s">
        <v>256</v>
      </c>
      <c r="C90" s="25"/>
      <c r="D90" s="25"/>
      <c r="E90" s="25"/>
      <c r="F90" s="25"/>
      <c r="G90" s="25"/>
      <c r="H90" s="40"/>
      <c r="I90" s="57"/>
      <c r="J90" s="40"/>
      <c r="K90" s="25"/>
      <c r="L90" s="128"/>
      <c r="M90" s="25"/>
      <c r="N90" s="25"/>
      <c r="O90" s="25"/>
      <c r="P90" s="25"/>
      <c r="Q90" s="25"/>
      <c r="R90" s="34"/>
      <c r="S90" s="25"/>
      <c r="T90" s="53">
        <v>294</v>
      </c>
      <c r="U90" s="25"/>
      <c r="V90" s="5"/>
    </row>
    <row r="91" spans="1:23" ht="15.6" x14ac:dyDescent="0.3">
      <c r="A91" s="24"/>
      <c r="B91" s="25" t="s">
        <v>144</v>
      </c>
      <c r="C91" s="25"/>
      <c r="D91" s="25"/>
      <c r="E91" s="25"/>
      <c r="F91" s="25"/>
      <c r="G91" s="25"/>
      <c r="H91" s="25"/>
      <c r="I91" s="25"/>
      <c r="J91" s="25"/>
      <c r="K91" s="25"/>
      <c r="L91" s="25"/>
      <c r="M91" s="25"/>
      <c r="N91" s="25"/>
      <c r="O91" s="25"/>
      <c r="P91" s="25"/>
      <c r="Q91" s="25"/>
      <c r="R91" s="34"/>
      <c r="S91" s="25"/>
      <c r="T91" s="53">
        <v>0</v>
      </c>
      <c r="U91" s="25"/>
      <c r="V91" s="5"/>
    </row>
    <row r="92" spans="1:23" ht="15.6" x14ac:dyDescent="0.3">
      <c r="A92" s="24"/>
      <c r="B92" s="25" t="s">
        <v>233</v>
      </c>
      <c r="C92" s="25"/>
      <c r="D92" s="25"/>
      <c r="E92" s="25"/>
      <c r="F92" s="25"/>
      <c r="G92" s="25"/>
      <c r="H92" s="25"/>
      <c r="I92" s="25"/>
      <c r="J92" s="25"/>
      <c r="K92" s="25"/>
      <c r="L92" s="25"/>
      <c r="M92" s="25"/>
      <c r="N92" s="25"/>
      <c r="O92" s="25"/>
      <c r="P92" s="25"/>
      <c r="Q92" s="25"/>
      <c r="R92" s="34"/>
      <c r="S92" s="25"/>
      <c r="T92" s="53">
        <v>666</v>
      </c>
      <c r="U92" s="25"/>
      <c r="V92" s="5"/>
    </row>
    <row r="93" spans="1:23" ht="15.6" x14ac:dyDescent="0.3">
      <c r="A93" s="24"/>
      <c r="B93" s="25" t="s">
        <v>32</v>
      </c>
      <c r="C93" s="25"/>
      <c r="D93" s="25"/>
      <c r="E93" s="25"/>
      <c r="F93" s="25"/>
      <c r="G93" s="25"/>
      <c r="H93" s="25"/>
      <c r="I93" s="25"/>
      <c r="J93" s="25"/>
      <c r="K93" s="25"/>
      <c r="L93" s="25"/>
      <c r="M93" s="25"/>
      <c r="N93" s="25"/>
      <c r="O93" s="25"/>
      <c r="P93" s="25"/>
      <c r="Q93" s="25"/>
      <c r="R93" s="34">
        <f>SUM(R86:R92)</f>
        <v>19885</v>
      </c>
      <c r="S93" s="25"/>
      <c r="T93" s="54">
        <f>SUM(T86:T92)</f>
        <v>10018</v>
      </c>
      <c r="U93" s="25"/>
      <c r="V93" s="5"/>
    </row>
    <row r="94" spans="1:23" ht="15.6" x14ac:dyDescent="0.3">
      <c r="A94" s="24"/>
      <c r="B94" s="25" t="s">
        <v>176</v>
      </c>
      <c r="C94" s="25"/>
      <c r="D94" s="25"/>
      <c r="E94" s="25"/>
      <c r="F94" s="25"/>
      <c r="G94" s="25"/>
      <c r="H94" s="25"/>
      <c r="I94" s="25"/>
      <c r="J94" s="25"/>
      <c r="K94" s="25"/>
      <c r="L94" s="25"/>
      <c r="M94" s="25"/>
      <c r="N94" s="25"/>
      <c r="O94" s="25"/>
      <c r="P94" s="25"/>
      <c r="Q94" s="25"/>
      <c r="R94" s="34">
        <v>-19</v>
      </c>
      <c r="S94" s="25"/>
      <c r="T94" s="54">
        <f>-R94</f>
        <v>19</v>
      </c>
      <c r="U94" s="25"/>
      <c r="V94" s="5"/>
    </row>
    <row r="95" spans="1:23" ht="15.6" x14ac:dyDescent="0.3">
      <c r="A95" s="24"/>
      <c r="B95" s="25" t="s">
        <v>33</v>
      </c>
      <c r="C95" s="25"/>
      <c r="D95" s="25"/>
      <c r="E95" s="25"/>
      <c r="F95" s="25"/>
      <c r="G95" s="25"/>
      <c r="H95" s="25"/>
      <c r="I95" s="25"/>
      <c r="J95" s="25"/>
      <c r="K95" s="25"/>
      <c r="L95" s="25"/>
      <c r="M95" s="25"/>
      <c r="N95" s="25"/>
      <c r="O95" s="25"/>
      <c r="P95" s="25"/>
      <c r="Q95" s="25"/>
      <c r="R95" s="34">
        <f>-T95</f>
        <v>0</v>
      </c>
      <c r="S95" s="25"/>
      <c r="T95" s="53">
        <v>0</v>
      </c>
      <c r="U95" s="25"/>
      <c r="V95" s="5"/>
    </row>
    <row r="96" spans="1:23" ht="15.6" x14ac:dyDescent="0.3">
      <c r="A96" s="24"/>
      <c r="B96" s="25" t="s">
        <v>34</v>
      </c>
      <c r="C96" s="25"/>
      <c r="D96" s="25"/>
      <c r="E96" s="25"/>
      <c r="F96" s="25"/>
      <c r="G96" s="25"/>
      <c r="H96" s="25"/>
      <c r="I96" s="25"/>
      <c r="J96" s="25"/>
      <c r="K96" s="25"/>
      <c r="L96" s="25"/>
      <c r="M96" s="25"/>
      <c r="N96" s="25"/>
      <c r="O96" s="25"/>
      <c r="P96" s="25"/>
      <c r="Q96" s="25"/>
      <c r="R96" s="34">
        <f>R93+R95+R94</f>
        <v>19866</v>
      </c>
      <c r="S96" s="25"/>
      <c r="T96" s="54">
        <f>T93+T95+T94</f>
        <v>10037</v>
      </c>
      <c r="U96" s="25"/>
      <c r="V96" s="5"/>
      <c r="W96" s="166"/>
    </row>
    <row r="97" spans="1:23" ht="15.6" x14ac:dyDescent="0.3">
      <c r="A97" s="24"/>
      <c r="B97" s="119" t="s">
        <v>35</v>
      </c>
      <c r="C97" s="25"/>
      <c r="D97" s="25"/>
      <c r="E97" s="25"/>
      <c r="F97" s="25"/>
      <c r="G97" s="25"/>
      <c r="H97" s="25"/>
      <c r="I97" s="25"/>
      <c r="J97" s="25"/>
      <c r="K97" s="25"/>
      <c r="L97" s="25"/>
      <c r="M97" s="25"/>
      <c r="N97" s="25"/>
      <c r="O97" s="25"/>
      <c r="P97" s="25"/>
      <c r="Q97" s="25"/>
      <c r="R97" s="34"/>
      <c r="S97" s="25"/>
      <c r="T97" s="53"/>
      <c r="U97" s="25"/>
      <c r="V97" s="5"/>
    </row>
    <row r="98" spans="1:23" ht="15.6" x14ac:dyDescent="0.3">
      <c r="A98" s="24">
        <v>1</v>
      </c>
      <c r="B98" s="25" t="s">
        <v>36</v>
      </c>
      <c r="C98" s="25"/>
      <c r="D98" s="25"/>
      <c r="E98" s="25"/>
      <c r="F98" s="25"/>
      <c r="G98" s="25"/>
      <c r="H98" s="25"/>
      <c r="I98" s="25"/>
      <c r="J98" s="25"/>
      <c r="K98" s="25"/>
      <c r="L98" s="25"/>
      <c r="M98" s="25"/>
      <c r="N98" s="25"/>
      <c r="O98" s="25"/>
      <c r="P98" s="25"/>
      <c r="Q98" s="25"/>
      <c r="R98" s="25"/>
      <c r="S98" s="25"/>
      <c r="T98" s="53">
        <v>0</v>
      </c>
      <c r="U98" s="25"/>
      <c r="V98" s="5"/>
    </row>
    <row r="99" spans="1:23" ht="15.6" x14ac:dyDescent="0.3">
      <c r="A99" s="24">
        <f>+A98+1</f>
        <v>2</v>
      </c>
      <c r="B99" s="25" t="s">
        <v>37</v>
      </c>
      <c r="C99" s="25"/>
      <c r="D99" s="25"/>
      <c r="E99" s="25"/>
      <c r="F99" s="25"/>
      <c r="G99" s="25"/>
      <c r="H99" s="25"/>
      <c r="I99" s="25"/>
      <c r="J99" s="25"/>
      <c r="K99" s="25"/>
      <c r="L99" s="25"/>
      <c r="M99" s="25"/>
      <c r="N99" s="25"/>
      <c r="O99" s="25"/>
      <c r="P99" s="25"/>
      <c r="Q99" s="25"/>
      <c r="R99" s="25"/>
      <c r="S99" s="25"/>
      <c r="T99" s="53">
        <v>-2</v>
      </c>
      <c r="U99" s="25"/>
      <c r="V99" s="5"/>
    </row>
    <row r="100" spans="1:23" ht="15.6" x14ac:dyDescent="0.3">
      <c r="A100" s="24">
        <f>+A99+1</f>
        <v>3</v>
      </c>
      <c r="B100" s="25" t="s">
        <v>160</v>
      </c>
      <c r="C100" s="25"/>
      <c r="D100" s="25"/>
      <c r="E100" s="25"/>
      <c r="F100" s="25"/>
      <c r="G100" s="25"/>
      <c r="H100" s="25"/>
      <c r="I100" s="25"/>
      <c r="J100" s="25"/>
      <c r="K100" s="25"/>
      <c r="L100" s="25"/>
      <c r="M100" s="25"/>
      <c r="N100" s="25"/>
      <c r="O100" s="25"/>
      <c r="P100" s="25"/>
      <c r="Q100" s="25"/>
      <c r="R100" s="25"/>
      <c r="S100" s="25"/>
      <c r="T100" s="53">
        <f>-237-10-12</f>
        <v>-259</v>
      </c>
      <c r="U100" s="25"/>
      <c r="V100" s="5"/>
    </row>
    <row r="101" spans="1:23" ht="15.6" x14ac:dyDescent="0.3">
      <c r="A101" s="24" t="s">
        <v>136</v>
      </c>
      <c r="B101" s="25" t="s">
        <v>125</v>
      </c>
      <c r="C101" s="25"/>
      <c r="D101" s="25"/>
      <c r="E101" s="25"/>
      <c r="F101" s="25"/>
      <c r="G101" s="25"/>
      <c r="H101" s="25"/>
      <c r="I101" s="25"/>
      <c r="J101" s="25"/>
      <c r="K101" s="25"/>
      <c r="L101" s="25"/>
      <c r="M101" s="25"/>
      <c r="N101" s="25"/>
      <c r="O101" s="25"/>
      <c r="P101" s="25"/>
      <c r="Q101" s="25"/>
      <c r="R101" s="25"/>
      <c r="S101" s="25"/>
      <c r="T101" s="53">
        <v>206</v>
      </c>
      <c r="U101" s="25"/>
      <c r="V101" s="5"/>
    </row>
    <row r="102" spans="1:23" ht="15.6" x14ac:dyDescent="0.3">
      <c r="A102" s="24" t="s">
        <v>137</v>
      </c>
      <c r="B102" s="25" t="s">
        <v>267</v>
      </c>
      <c r="C102" s="25"/>
      <c r="D102" s="25"/>
      <c r="E102" s="25"/>
      <c r="F102" s="25"/>
      <c r="G102" s="25"/>
      <c r="H102" s="25"/>
      <c r="I102" s="25"/>
      <c r="J102" s="25"/>
      <c r="K102" s="25"/>
      <c r="L102" s="25"/>
      <c r="M102" s="25"/>
      <c r="N102" s="25"/>
      <c r="O102" s="25"/>
      <c r="P102" s="25"/>
      <c r="Q102" s="25"/>
      <c r="R102" s="25"/>
      <c r="S102" s="25"/>
      <c r="T102" s="53">
        <v>-2</v>
      </c>
      <c r="U102" s="25"/>
      <c r="V102" s="5"/>
    </row>
    <row r="103" spans="1:23" ht="15.6" x14ac:dyDescent="0.3">
      <c r="A103" s="24" t="s">
        <v>162</v>
      </c>
      <c r="B103" s="25" t="s">
        <v>218</v>
      </c>
      <c r="C103" s="25"/>
      <c r="D103" s="25"/>
      <c r="E103" s="25"/>
      <c r="F103" s="25"/>
      <c r="G103" s="25"/>
      <c r="H103" s="25"/>
      <c r="I103" s="25"/>
      <c r="J103" s="25"/>
      <c r="K103" s="25"/>
      <c r="L103" s="25"/>
      <c r="M103" s="25"/>
      <c r="N103" s="25"/>
      <c r="O103" s="25"/>
      <c r="P103" s="25"/>
      <c r="Q103" s="25"/>
      <c r="R103" s="25"/>
      <c r="S103" s="25"/>
      <c r="T103" s="53">
        <v>-3959</v>
      </c>
      <c r="U103" s="25"/>
      <c r="V103" s="5"/>
      <c r="W103" s="110"/>
    </row>
    <row r="104" spans="1:23" ht="15.6" x14ac:dyDescent="0.3">
      <c r="A104" s="24" t="s">
        <v>163</v>
      </c>
      <c r="B104" s="25" t="s">
        <v>219</v>
      </c>
      <c r="C104" s="25"/>
      <c r="D104" s="25"/>
      <c r="E104" s="25"/>
      <c r="F104" s="25"/>
      <c r="G104" s="25"/>
      <c r="H104" s="25"/>
      <c r="I104" s="25"/>
      <c r="J104" s="25"/>
      <c r="K104" s="25"/>
      <c r="L104" s="25"/>
      <c r="M104" s="25"/>
      <c r="N104" s="25"/>
      <c r="O104" s="25"/>
      <c r="P104" s="25"/>
      <c r="Q104" s="25"/>
      <c r="R104" s="25"/>
      <c r="S104" s="25"/>
      <c r="T104" s="53">
        <v>-2804</v>
      </c>
      <c r="U104" s="25"/>
      <c r="V104" s="5"/>
    </row>
    <row r="105" spans="1:23" ht="15.6" x14ac:dyDescent="0.3">
      <c r="A105" s="24" t="s">
        <v>252</v>
      </c>
      <c r="B105" s="25" t="s">
        <v>242</v>
      </c>
      <c r="C105" s="25"/>
      <c r="D105" s="25"/>
      <c r="E105" s="25"/>
      <c r="F105" s="25"/>
      <c r="G105" s="25"/>
      <c r="H105" s="25"/>
      <c r="I105" s="25"/>
      <c r="J105" s="25"/>
      <c r="K105" s="25"/>
      <c r="L105" s="25"/>
      <c r="M105" s="25"/>
      <c r="N105" s="25"/>
      <c r="O105" s="25"/>
      <c r="P105" s="25"/>
      <c r="Q105" s="25"/>
      <c r="R105" s="25"/>
      <c r="S105" s="25"/>
      <c r="T105" s="53">
        <v>-389</v>
      </c>
      <c r="U105" s="25"/>
      <c r="V105" s="5"/>
      <c r="W105" s="110"/>
    </row>
    <row r="106" spans="1:23" ht="15.6" x14ac:dyDescent="0.3">
      <c r="A106" s="24" t="s">
        <v>245</v>
      </c>
      <c r="B106" s="25" t="s">
        <v>220</v>
      </c>
      <c r="C106" s="25"/>
      <c r="D106" s="25"/>
      <c r="E106" s="25"/>
      <c r="F106" s="25"/>
      <c r="G106" s="25"/>
      <c r="H106" s="25"/>
      <c r="I106" s="25"/>
      <c r="J106" s="25"/>
      <c r="K106" s="25"/>
      <c r="L106" s="25"/>
      <c r="M106" s="25"/>
      <c r="N106" s="25"/>
      <c r="O106" s="25"/>
      <c r="P106" s="25"/>
      <c r="Q106" s="25"/>
      <c r="R106" s="25"/>
      <c r="S106" s="25"/>
      <c r="T106" s="53">
        <v>-94</v>
      </c>
      <c r="U106" s="25"/>
      <c r="V106" s="5"/>
      <c r="W106" s="110"/>
    </row>
    <row r="107" spans="1:23" ht="15.6" x14ac:dyDescent="0.3">
      <c r="A107" s="24" t="s">
        <v>246</v>
      </c>
      <c r="B107" s="25" t="s">
        <v>221</v>
      </c>
      <c r="C107" s="25"/>
      <c r="D107" s="25"/>
      <c r="E107" s="25"/>
      <c r="F107" s="25"/>
      <c r="G107" s="25"/>
      <c r="H107" s="25"/>
      <c r="I107" s="25"/>
      <c r="J107" s="25"/>
      <c r="K107" s="25"/>
      <c r="L107" s="25"/>
      <c r="M107" s="25"/>
      <c r="N107" s="25"/>
      <c r="O107" s="25"/>
      <c r="P107" s="25"/>
      <c r="Q107" s="25"/>
      <c r="R107" s="25"/>
      <c r="S107" s="25"/>
      <c r="T107" s="53">
        <v>-270</v>
      </c>
      <c r="U107" s="25"/>
      <c r="V107" s="5"/>
      <c r="W107" s="110"/>
    </row>
    <row r="108" spans="1:23" ht="15.6" x14ac:dyDescent="0.3">
      <c r="A108" s="24" t="s">
        <v>247</v>
      </c>
      <c r="B108" s="25" t="s">
        <v>222</v>
      </c>
      <c r="C108" s="25"/>
      <c r="D108" s="25"/>
      <c r="E108" s="25"/>
      <c r="F108" s="25"/>
      <c r="G108" s="25"/>
      <c r="H108" s="25"/>
      <c r="I108" s="25"/>
      <c r="J108" s="25"/>
      <c r="K108" s="25"/>
      <c r="L108" s="25"/>
      <c r="M108" s="25"/>
      <c r="N108" s="25"/>
      <c r="O108" s="25"/>
      <c r="P108" s="25"/>
      <c r="Q108" s="25"/>
      <c r="R108" s="25"/>
      <c r="S108" s="25"/>
      <c r="T108" s="53">
        <v>-42</v>
      </c>
      <c r="U108" s="25"/>
      <c r="V108" s="5"/>
      <c r="W108" s="110"/>
    </row>
    <row r="109" spans="1:23" ht="15.6" x14ac:dyDescent="0.3">
      <c r="A109" s="24" t="s">
        <v>248</v>
      </c>
      <c r="B109" s="25" t="s">
        <v>223</v>
      </c>
      <c r="C109" s="25"/>
      <c r="D109" s="25"/>
      <c r="E109" s="25"/>
      <c r="F109" s="25"/>
      <c r="G109" s="25"/>
      <c r="H109" s="25"/>
      <c r="I109" s="25"/>
      <c r="J109" s="25"/>
      <c r="K109" s="25"/>
      <c r="L109" s="25"/>
      <c r="M109" s="25"/>
      <c r="N109" s="25"/>
      <c r="O109" s="25"/>
      <c r="P109" s="25"/>
      <c r="Q109" s="25"/>
      <c r="R109" s="25"/>
      <c r="S109" s="25"/>
      <c r="T109" s="53">
        <v>-631</v>
      </c>
      <c r="U109" s="25"/>
      <c r="V109" s="5"/>
      <c r="W109" s="110"/>
    </row>
    <row r="110" spans="1:23" ht="15.6" x14ac:dyDescent="0.3">
      <c r="A110" s="24">
        <v>7</v>
      </c>
      <c r="B110" s="25" t="s">
        <v>38</v>
      </c>
      <c r="C110" s="25"/>
      <c r="D110" s="25"/>
      <c r="E110" s="25"/>
      <c r="F110" s="25"/>
      <c r="G110" s="25"/>
      <c r="H110" s="25"/>
      <c r="I110" s="25"/>
      <c r="J110" s="25"/>
      <c r="K110" s="25"/>
      <c r="L110" s="25"/>
      <c r="M110" s="25"/>
      <c r="N110" s="25"/>
      <c r="O110" s="25"/>
      <c r="P110" s="25"/>
      <c r="Q110" s="25"/>
      <c r="R110" s="25"/>
      <c r="S110" s="25"/>
      <c r="T110" s="53">
        <v>-8</v>
      </c>
      <c r="U110" s="25"/>
      <c r="V110" s="5"/>
    </row>
    <row r="111" spans="1:23" ht="15.6" x14ac:dyDescent="0.3">
      <c r="A111" s="24">
        <f t="shared" ref="A111:A116" si="0">+A110+1</f>
        <v>8</v>
      </c>
      <c r="B111" s="25" t="s">
        <v>49</v>
      </c>
      <c r="C111" s="25"/>
      <c r="D111" s="25"/>
      <c r="E111" s="25"/>
      <c r="F111" s="25"/>
      <c r="G111" s="25"/>
      <c r="H111" s="25"/>
      <c r="I111" s="25"/>
      <c r="J111" s="25"/>
      <c r="K111" s="25"/>
      <c r="L111" s="25"/>
      <c r="M111" s="25"/>
      <c r="N111" s="25"/>
      <c r="O111" s="25"/>
      <c r="P111" s="25"/>
      <c r="Q111" s="25"/>
      <c r="R111" s="34">
        <f>-T111</f>
        <v>1</v>
      </c>
      <c r="S111" s="25"/>
      <c r="T111" s="53">
        <v>-1</v>
      </c>
      <c r="U111" s="25"/>
      <c r="V111" s="5"/>
    </row>
    <row r="112" spans="1:23" ht="15.6" x14ac:dyDescent="0.3">
      <c r="A112" s="24">
        <f t="shared" si="0"/>
        <v>9</v>
      </c>
      <c r="B112" s="25" t="s">
        <v>134</v>
      </c>
      <c r="C112" s="25"/>
      <c r="D112" s="25"/>
      <c r="E112" s="25"/>
      <c r="F112" s="25"/>
      <c r="G112" s="25"/>
      <c r="H112" s="25"/>
      <c r="I112" s="25"/>
      <c r="J112" s="25"/>
      <c r="K112" s="25"/>
      <c r="L112" s="25"/>
      <c r="M112" s="25"/>
      <c r="N112" s="25"/>
      <c r="O112" s="25"/>
      <c r="P112" s="25"/>
      <c r="Q112" s="25"/>
      <c r="R112" s="25"/>
      <c r="S112" s="25"/>
      <c r="T112" s="53">
        <v>0</v>
      </c>
      <c r="U112" s="25"/>
      <c r="V112" s="5"/>
    </row>
    <row r="113" spans="1:22" ht="15.6" x14ac:dyDescent="0.3">
      <c r="A113" s="24">
        <f t="shared" si="0"/>
        <v>10</v>
      </c>
      <c r="B113" s="25" t="s">
        <v>39</v>
      </c>
      <c r="C113" s="25"/>
      <c r="D113" s="25"/>
      <c r="E113" s="25"/>
      <c r="F113" s="25"/>
      <c r="G113" s="25"/>
      <c r="H113" s="25"/>
      <c r="I113" s="25"/>
      <c r="J113" s="25"/>
      <c r="K113" s="25"/>
      <c r="L113" s="25"/>
      <c r="M113" s="25"/>
      <c r="N113" s="25"/>
      <c r="O113" s="25"/>
      <c r="P113" s="25"/>
      <c r="Q113" s="25"/>
      <c r="R113" s="25"/>
      <c r="S113" s="25"/>
      <c r="T113" s="53">
        <v>0</v>
      </c>
      <c r="U113" s="25"/>
      <c r="V113" s="5"/>
    </row>
    <row r="114" spans="1:22" ht="15.6" x14ac:dyDescent="0.3">
      <c r="A114" s="24">
        <f t="shared" si="0"/>
        <v>11</v>
      </c>
      <c r="B114" s="25" t="s">
        <v>40</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12</v>
      </c>
      <c r="B115" s="25" t="s">
        <v>161</v>
      </c>
      <c r="C115" s="25"/>
      <c r="D115" s="25"/>
      <c r="E115" s="25"/>
      <c r="F115" s="25"/>
      <c r="G115" s="25"/>
      <c r="H115" s="25"/>
      <c r="I115" s="25"/>
      <c r="J115" s="25"/>
      <c r="K115" s="25"/>
      <c r="L115" s="25"/>
      <c r="M115" s="25"/>
      <c r="N115" s="25"/>
      <c r="O115" s="25"/>
      <c r="P115" s="25"/>
      <c r="Q115" s="25"/>
      <c r="R115" s="25"/>
      <c r="S115" s="25"/>
      <c r="T115" s="53">
        <v>-237</v>
      </c>
      <c r="U115" s="25"/>
      <c r="V115" s="5"/>
    </row>
    <row r="116" spans="1:22" ht="15.6" x14ac:dyDescent="0.3">
      <c r="A116" s="24">
        <f t="shared" si="0"/>
        <v>13</v>
      </c>
      <c r="B116" s="25" t="s">
        <v>135</v>
      </c>
      <c r="C116" s="25"/>
      <c r="D116" s="25"/>
      <c r="E116" s="25"/>
      <c r="F116" s="25"/>
      <c r="G116" s="25"/>
      <c r="H116" s="25"/>
      <c r="I116" s="25"/>
      <c r="J116" s="25"/>
      <c r="K116" s="25"/>
      <c r="L116" s="25"/>
      <c r="M116" s="25"/>
      <c r="N116" s="25"/>
      <c r="O116" s="25"/>
      <c r="P116" s="25"/>
      <c r="Q116" s="25"/>
      <c r="R116" s="25"/>
      <c r="S116" s="25"/>
      <c r="T116" s="53">
        <f>-T96-SUM(T98:T115)</f>
        <v>-1545</v>
      </c>
      <c r="U116" s="25"/>
      <c r="V116" s="5"/>
    </row>
    <row r="117" spans="1:22" ht="15.6" x14ac:dyDescent="0.3">
      <c r="A117" s="24"/>
      <c r="B117" s="119" t="s">
        <v>41</v>
      </c>
      <c r="C117" s="25"/>
      <c r="D117" s="25"/>
      <c r="E117" s="25"/>
      <c r="F117" s="25"/>
      <c r="G117" s="25"/>
      <c r="H117" s="25"/>
      <c r="I117" s="25"/>
      <c r="J117" s="25"/>
      <c r="K117" s="25"/>
      <c r="L117" s="25"/>
      <c r="M117" s="25"/>
      <c r="N117" s="25"/>
      <c r="O117" s="25"/>
      <c r="P117" s="25"/>
      <c r="Q117" s="25"/>
      <c r="R117" s="25"/>
      <c r="S117" s="25"/>
      <c r="T117" s="59"/>
      <c r="U117" s="25"/>
      <c r="V117" s="5"/>
    </row>
    <row r="118" spans="1:22" ht="15.6" x14ac:dyDescent="0.3">
      <c r="A118" s="24"/>
      <c r="B118" s="25" t="s">
        <v>229</v>
      </c>
      <c r="C118" s="25"/>
      <c r="D118" s="25"/>
      <c r="E118" s="25"/>
      <c r="F118" s="25"/>
      <c r="G118" s="25"/>
      <c r="H118" s="25"/>
      <c r="I118" s="25"/>
      <c r="J118" s="25"/>
      <c r="K118" s="25"/>
      <c r="L118" s="25"/>
      <c r="M118" s="25"/>
      <c r="N118" s="25"/>
      <c r="O118" s="25"/>
      <c r="P118" s="25"/>
      <c r="Q118" s="25"/>
      <c r="R118" s="34">
        <f>-R177</f>
        <v>-5</v>
      </c>
      <c r="S118" s="34"/>
      <c r="T118" s="53"/>
      <c r="U118" s="25"/>
      <c r="V118" s="5"/>
    </row>
    <row r="119" spans="1:22" ht="15.6" x14ac:dyDescent="0.3">
      <c r="A119" s="24"/>
      <c r="B119" s="25" t="s">
        <v>230</v>
      </c>
      <c r="C119" s="25"/>
      <c r="D119" s="25"/>
      <c r="E119" s="25"/>
      <c r="F119" s="25"/>
      <c r="G119" s="25"/>
      <c r="H119" s="25"/>
      <c r="I119" s="25"/>
      <c r="J119" s="25"/>
      <c r="K119" s="25"/>
      <c r="L119" s="25"/>
      <c r="M119" s="25"/>
      <c r="N119" s="25"/>
      <c r="O119" s="25"/>
      <c r="P119" s="25"/>
      <c r="Q119" s="25"/>
      <c r="R119" s="34">
        <v>-623</v>
      </c>
      <c r="S119" s="34"/>
      <c r="T119" s="53"/>
      <c r="U119" s="25"/>
      <c r="V119" s="5"/>
    </row>
    <row r="120" spans="1:22" ht="15.6" x14ac:dyDescent="0.3">
      <c r="A120" s="24"/>
      <c r="B120" s="25" t="s">
        <v>42</v>
      </c>
      <c r="C120" s="25"/>
      <c r="D120" s="25"/>
      <c r="E120" s="25"/>
      <c r="F120" s="25"/>
      <c r="G120" s="25"/>
      <c r="H120" s="25"/>
      <c r="I120" s="25"/>
      <c r="J120" s="25"/>
      <c r="K120" s="25"/>
      <c r="L120" s="25"/>
      <c r="M120" s="25"/>
      <c r="N120" s="25"/>
      <c r="O120" s="25"/>
      <c r="P120" s="25"/>
      <c r="Q120" s="25"/>
      <c r="R120" s="34">
        <f>-Q177</f>
        <v>-5348</v>
      </c>
      <c r="S120" s="34"/>
      <c r="T120" s="53"/>
      <c r="U120" s="25"/>
      <c r="V120" s="5"/>
    </row>
    <row r="121" spans="1:22" ht="15.6" x14ac:dyDescent="0.3">
      <c r="A121" s="24"/>
      <c r="B121" s="25" t="s">
        <v>235</v>
      </c>
      <c r="C121" s="25"/>
      <c r="D121" s="25"/>
      <c r="E121" s="25"/>
      <c r="F121" s="25"/>
      <c r="G121" s="25"/>
      <c r="H121" s="25"/>
      <c r="I121" s="25"/>
      <c r="J121" s="25"/>
      <c r="K121" s="25"/>
      <c r="L121" s="25"/>
      <c r="M121" s="25"/>
      <c r="N121" s="25"/>
      <c r="O121" s="25"/>
      <c r="P121" s="25"/>
      <c r="Q121" s="25"/>
      <c r="R121" s="34">
        <v>-7698</v>
      </c>
      <c r="S121" s="34"/>
      <c r="T121" s="53"/>
      <c r="U121" s="25"/>
      <c r="V121" s="5"/>
    </row>
    <row r="122" spans="1:22" ht="15.6" x14ac:dyDescent="0.3">
      <c r="A122" s="24"/>
      <c r="B122" s="25" t="s">
        <v>236</v>
      </c>
      <c r="C122" s="25"/>
      <c r="D122" s="25"/>
      <c r="E122" s="25"/>
      <c r="F122" s="25"/>
      <c r="G122" s="25"/>
      <c r="H122" s="25"/>
      <c r="I122" s="25"/>
      <c r="J122" s="25"/>
      <c r="K122" s="25"/>
      <c r="L122" s="25"/>
      <c r="M122" s="25"/>
      <c r="N122" s="25"/>
      <c r="O122" s="25"/>
      <c r="P122" s="25"/>
      <c r="Q122" s="25"/>
      <c r="R122" s="34">
        <v>-5439</v>
      </c>
      <c r="S122" s="34"/>
      <c r="T122" s="53"/>
      <c r="U122" s="25"/>
      <c r="V122" s="5"/>
    </row>
    <row r="123" spans="1:22" ht="15.6" x14ac:dyDescent="0.3">
      <c r="A123" s="24"/>
      <c r="B123" s="25" t="s">
        <v>241</v>
      </c>
      <c r="C123" s="25"/>
      <c r="D123" s="25"/>
      <c r="E123" s="25"/>
      <c r="F123" s="25"/>
      <c r="G123" s="25"/>
      <c r="H123" s="25"/>
      <c r="I123" s="25"/>
      <c r="J123" s="25"/>
      <c r="K123" s="25"/>
      <c r="L123" s="25"/>
      <c r="M123" s="25"/>
      <c r="N123" s="25"/>
      <c r="O123" s="25"/>
      <c r="P123" s="25"/>
      <c r="Q123" s="25"/>
      <c r="R123" s="34">
        <v>-754</v>
      </c>
      <c r="S123" s="34"/>
      <c r="T123" s="53"/>
      <c r="U123" s="25"/>
      <c r="V123" s="5"/>
    </row>
    <row r="124" spans="1:22" ht="15.6" x14ac:dyDescent="0.3">
      <c r="A124" s="24"/>
      <c r="B124" s="25" t="s">
        <v>237</v>
      </c>
      <c r="C124" s="25"/>
      <c r="D124" s="25"/>
      <c r="E124" s="25"/>
      <c r="F124" s="25"/>
      <c r="G124" s="25"/>
      <c r="H124" s="25"/>
      <c r="I124" s="25"/>
      <c r="J124" s="25"/>
      <c r="K124" s="25"/>
      <c r="L124" s="25"/>
      <c r="M124" s="25"/>
      <c r="N124" s="25"/>
      <c r="O124" s="25"/>
      <c r="P124" s="25"/>
      <c r="Q124" s="25"/>
      <c r="R124" s="34">
        <v>0</v>
      </c>
      <c r="S124" s="34"/>
      <c r="T124" s="53"/>
      <c r="U124" s="25"/>
      <c r="V124" s="5"/>
    </row>
    <row r="125" spans="1:22" ht="15.6" x14ac:dyDescent="0.3">
      <c r="A125" s="24"/>
      <c r="B125" s="25" t="s">
        <v>238</v>
      </c>
      <c r="C125" s="25"/>
      <c r="D125" s="25"/>
      <c r="E125" s="25"/>
      <c r="F125" s="25"/>
      <c r="G125" s="25"/>
      <c r="H125" s="25"/>
      <c r="I125" s="25"/>
      <c r="J125" s="25"/>
      <c r="K125" s="25"/>
      <c r="L125" s="25"/>
      <c r="M125" s="25"/>
      <c r="N125" s="25"/>
      <c r="O125" s="25"/>
      <c r="P125" s="25"/>
      <c r="Q125" s="25"/>
      <c r="R125" s="34">
        <v>0</v>
      </c>
      <c r="S125" s="34"/>
      <c r="T125" s="53"/>
      <c r="U125" s="25"/>
      <c r="V125" s="5"/>
    </row>
    <row r="126" spans="1:22" ht="15.6" x14ac:dyDescent="0.3">
      <c r="A126" s="24"/>
      <c r="B126" s="25" t="s">
        <v>239</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240</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43</v>
      </c>
      <c r="C128" s="25"/>
      <c r="D128" s="25"/>
      <c r="E128" s="25"/>
      <c r="F128" s="25"/>
      <c r="G128" s="25"/>
      <c r="H128" s="25"/>
      <c r="I128" s="25"/>
      <c r="J128" s="25"/>
      <c r="K128" s="25"/>
      <c r="L128" s="25"/>
      <c r="M128" s="25"/>
      <c r="N128" s="25"/>
      <c r="O128" s="25"/>
      <c r="P128" s="25"/>
      <c r="Q128" s="25"/>
      <c r="R128" s="34">
        <f>SUM(R118:R127)</f>
        <v>-19867</v>
      </c>
      <c r="S128" s="34"/>
      <c r="T128" s="34">
        <f>SUM(T97:T126)</f>
        <v>-10037</v>
      </c>
      <c r="U128" s="25"/>
      <c r="V128" s="5"/>
    </row>
    <row r="129" spans="1:23" ht="15.6" x14ac:dyDescent="0.3">
      <c r="A129" s="24"/>
      <c r="B129" s="25" t="s">
        <v>44</v>
      </c>
      <c r="C129" s="25"/>
      <c r="D129" s="25"/>
      <c r="E129" s="25"/>
      <c r="F129" s="25"/>
      <c r="G129" s="25"/>
      <c r="H129" s="25"/>
      <c r="I129" s="25"/>
      <c r="J129" s="25"/>
      <c r="K129" s="25"/>
      <c r="L129" s="25"/>
      <c r="M129" s="25"/>
      <c r="N129" s="25"/>
      <c r="O129" s="25"/>
      <c r="P129" s="25"/>
      <c r="Q129" s="25"/>
      <c r="R129" s="34">
        <f>R96+R128+R111</f>
        <v>0</v>
      </c>
      <c r="S129" s="34"/>
      <c r="T129" s="34">
        <f>T96+T128</f>
        <v>0</v>
      </c>
      <c r="U129" s="25"/>
      <c r="V129" s="5"/>
    </row>
    <row r="130" spans="1:23" ht="15.6" x14ac:dyDescent="0.3">
      <c r="A130" s="24"/>
      <c r="B130" s="25"/>
      <c r="C130" s="25"/>
      <c r="D130" s="25"/>
      <c r="E130" s="25"/>
      <c r="F130" s="25"/>
      <c r="G130" s="25"/>
      <c r="H130" s="25"/>
      <c r="I130" s="25"/>
      <c r="J130" s="25"/>
      <c r="K130" s="25"/>
      <c r="L130" s="25"/>
      <c r="M130" s="25"/>
      <c r="N130" s="25"/>
      <c r="O130" s="25"/>
      <c r="P130" s="25"/>
      <c r="Q130" s="25"/>
      <c r="R130" s="34"/>
      <c r="S130" s="34"/>
      <c r="T130" s="34"/>
      <c r="U130" s="25"/>
      <c r="V130" s="5"/>
    </row>
    <row r="131" spans="1:23" ht="15.6" x14ac:dyDescent="0.3">
      <c r="A131" s="6"/>
      <c r="B131" s="8"/>
      <c r="C131" s="8"/>
      <c r="D131" s="8"/>
      <c r="E131" s="8"/>
      <c r="F131" s="8"/>
      <c r="G131" s="8"/>
      <c r="H131" s="8"/>
      <c r="I131" s="8"/>
      <c r="J131" s="8"/>
      <c r="K131" s="8"/>
      <c r="L131" s="8"/>
      <c r="M131" s="8"/>
      <c r="N131" s="8"/>
      <c r="O131" s="8"/>
      <c r="P131" s="8"/>
      <c r="Q131" s="8"/>
      <c r="R131" s="8"/>
      <c r="S131" s="8"/>
      <c r="T131" s="52"/>
      <c r="U131" s="8"/>
      <c r="V131" s="5"/>
    </row>
    <row r="132" spans="1:23" ht="18" thickBot="1" x14ac:dyDescent="0.35">
      <c r="A132" s="102"/>
      <c r="B132" s="103" t="str">
        <f>B61</f>
        <v>PM9 INVESTOR REPORT QUARTER ENDING OCTOBER 2006</v>
      </c>
      <c r="C132" s="104"/>
      <c r="D132" s="104"/>
      <c r="E132" s="104"/>
      <c r="F132" s="104"/>
      <c r="G132" s="104"/>
      <c r="H132" s="104"/>
      <c r="I132" s="104"/>
      <c r="J132" s="104"/>
      <c r="K132" s="104"/>
      <c r="L132" s="104"/>
      <c r="M132" s="104"/>
      <c r="N132" s="104"/>
      <c r="O132" s="104"/>
      <c r="P132" s="104"/>
      <c r="Q132" s="104"/>
      <c r="R132" s="104"/>
      <c r="S132" s="104"/>
      <c r="T132" s="107"/>
      <c r="U132" s="106"/>
      <c r="V132" s="5"/>
    </row>
    <row r="133" spans="1:23" ht="15.6" x14ac:dyDescent="0.3">
      <c r="A133" s="2"/>
      <c r="B133" s="60" t="s">
        <v>45</v>
      </c>
      <c r="C133" s="4"/>
      <c r="D133" s="4"/>
      <c r="E133" s="4"/>
      <c r="F133" s="4"/>
      <c r="G133" s="4"/>
      <c r="H133" s="4"/>
      <c r="I133" s="4"/>
      <c r="J133" s="4"/>
      <c r="K133" s="4"/>
      <c r="L133" s="4"/>
      <c r="M133" s="4"/>
      <c r="N133" s="4"/>
      <c r="O133" s="4"/>
      <c r="P133" s="4"/>
      <c r="Q133" s="4"/>
      <c r="R133" s="4"/>
      <c r="S133" s="4"/>
      <c r="T133" s="50"/>
      <c r="U133" s="4"/>
      <c r="V133" s="5"/>
    </row>
    <row r="134" spans="1:23" ht="15.6" x14ac:dyDescent="0.3">
      <c r="A134" s="6"/>
      <c r="B134" s="21"/>
      <c r="C134" s="8"/>
      <c r="D134" s="8"/>
      <c r="E134" s="8"/>
      <c r="F134" s="8"/>
      <c r="G134" s="8"/>
      <c r="H134" s="8"/>
      <c r="I134" s="8"/>
      <c r="J134" s="8"/>
      <c r="K134" s="8"/>
      <c r="L134" s="8"/>
      <c r="M134" s="8"/>
      <c r="N134" s="8"/>
      <c r="O134" s="8"/>
      <c r="P134" s="8"/>
      <c r="Q134" s="8"/>
      <c r="R134" s="8"/>
      <c r="S134" s="8"/>
      <c r="T134" s="52"/>
      <c r="U134" s="8"/>
      <c r="V134" s="5"/>
    </row>
    <row r="135" spans="1:23" ht="15.6" x14ac:dyDescent="0.3">
      <c r="A135" s="6"/>
      <c r="B135" s="120" t="s">
        <v>46</v>
      </c>
      <c r="C135" s="8"/>
      <c r="D135" s="8"/>
      <c r="E135" s="8"/>
      <c r="F135" s="8"/>
      <c r="G135" s="8"/>
      <c r="H135" s="8"/>
      <c r="I135" s="8"/>
      <c r="J135" s="8"/>
      <c r="K135" s="8"/>
      <c r="L135" s="8"/>
      <c r="M135" s="8"/>
      <c r="N135" s="8"/>
      <c r="O135" s="8"/>
      <c r="P135" s="8"/>
      <c r="Q135" s="8"/>
      <c r="R135" s="8"/>
      <c r="S135" s="8"/>
      <c r="T135" s="52"/>
      <c r="U135" s="8"/>
      <c r="V135" s="5"/>
    </row>
    <row r="136" spans="1:23" ht="15.6" x14ac:dyDescent="0.3">
      <c r="A136" s="24"/>
      <c r="B136" s="25" t="s">
        <v>47</v>
      </c>
      <c r="C136" s="25"/>
      <c r="D136" s="25"/>
      <c r="E136" s="25"/>
      <c r="F136" s="25"/>
      <c r="G136" s="25"/>
      <c r="H136" s="25"/>
      <c r="I136" s="25"/>
      <c r="J136" s="25"/>
      <c r="K136" s="25"/>
      <c r="L136" s="25"/>
      <c r="M136" s="25"/>
      <c r="N136" s="25"/>
      <c r="O136" s="25"/>
      <c r="P136" s="25"/>
      <c r="Q136" s="25"/>
      <c r="R136" s="25"/>
      <c r="S136" s="25"/>
      <c r="T136" s="53">
        <f>+T32*0.0176</f>
        <v>12320</v>
      </c>
      <c r="U136" s="25"/>
      <c r="V136" s="5"/>
    </row>
    <row r="137" spans="1:23" ht="15.6" x14ac:dyDescent="0.3">
      <c r="A137" s="24"/>
      <c r="B137" s="25" t="s">
        <v>48</v>
      </c>
      <c r="C137" s="25"/>
      <c r="D137" s="25"/>
      <c r="E137" s="25"/>
      <c r="F137" s="25"/>
      <c r="G137" s="25"/>
      <c r="H137" s="25"/>
      <c r="I137" s="25"/>
      <c r="J137" s="25"/>
      <c r="K137" s="25"/>
      <c r="L137" s="25"/>
      <c r="M137" s="25"/>
      <c r="N137" s="25"/>
      <c r="O137" s="25"/>
      <c r="P137" s="25"/>
      <c r="Q137" s="25"/>
      <c r="R137" s="25"/>
      <c r="S137" s="25"/>
      <c r="T137" s="53">
        <v>12320</v>
      </c>
      <c r="U137" s="25"/>
      <c r="V137" s="5"/>
    </row>
    <row r="138" spans="1:23" ht="15.6" x14ac:dyDescent="0.3">
      <c r="A138" s="24"/>
      <c r="B138" s="25" t="s">
        <v>145</v>
      </c>
      <c r="C138" s="25"/>
      <c r="D138" s="25"/>
      <c r="E138" s="25"/>
      <c r="F138" s="25"/>
      <c r="G138" s="25"/>
      <c r="H138" s="25"/>
      <c r="I138" s="25"/>
      <c r="J138" s="25"/>
      <c r="K138" s="25"/>
      <c r="L138" s="25"/>
      <c r="M138" s="25"/>
      <c r="N138" s="25"/>
      <c r="O138" s="25"/>
      <c r="P138" s="25"/>
      <c r="Q138" s="25"/>
      <c r="R138" s="25"/>
      <c r="S138" s="25"/>
      <c r="T138" s="53">
        <v>0</v>
      </c>
      <c r="U138" s="25"/>
      <c r="V138" s="5"/>
    </row>
    <row r="139" spans="1:23" ht="15.6" x14ac:dyDescent="0.3">
      <c r="A139" s="24"/>
      <c r="B139" s="25" t="s">
        <v>132</v>
      </c>
      <c r="C139" s="25"/>
      <c r="D139" s="25"/>
      <c r="E139" s="25"/>
      <c r="F139" s="25"/>
      <c r="G139" s="25"/>
      <c r="H139" s="25"/>
      <c r="I139" s="25"/>
      <c r="J139" s="25"/>
      <c r="K139" s="25"/>
      <c r="L139" s="25"/>
      <c r="M139" s="25"/>
      <c r="N139" s="25"/>
      <c r="O139" s="25"/>
      <c r="P139" s="25"/>
      <c r="Q139" s="25"/>
      <c r="R139" s="25"/>
      <c r="S139" s="25"/>
      <c r="T139" s="53">
        <v>0</v>
      </c>
      <c r="U139" s="25"/>
      <c r="V139" s="5"/>
    </row>
    <row r="140" spans="1:23" ht="15.6" x14ac:dyDescent="0.3">
      <c r="A140" s="24"/>
      <c r="B140" s="25" t="s">
        <v>133</v>
      </c>
      <c r="C140" s="25"/>
      <c r="D140" s="25"/>
      <c r="E140" s="25"/>
      <c r="F140" s="25"/>
      <c r="G140" s="25"/>
      <c r="H140" s="25"/>
      <c r="I140" s="25"/>
      <c r="J140" s="25"/>
      <c r="K140" s="25"/>
      <c r="L140" s="25"/>
      <c r="M140" s="25"/>
      <c r="N140" s="25"/>
      <c r="O140" s="25"/>
      <c r="P140" s="25"/>
      <c r="Q140" s="25"/>
      <c r="R140" s="25"/>
      <c r="S140" s="25"/>
      <c r="T140" s="53">
        <v>0</v>
      </c>
      <c r="U140" s="25"/>
      <c r="V140" s="5"/>
    </row>
    <row r="141" spans="1:23" ht="15.6" x14ac:dyDescent="0.3">
      <c r="A141" s="24"/>
      <c r="B141" s="25" t="s">
        <v>232</v>
      </c>
      <c r="C141" s="25"/>
      <c r="D141" s="25"/>
      <c r="E141" s="25"/>
      <c r="F141" s="25"/>
      <c r="G141" s="25"/>
      <c r="H141" s="25"/>
      <c r="I141" s="25"/>
      <c r="J141" s="25"/>
      <c r="K141" s="25"/>
      <c r="L141" s="25"/>
      <c r="M141" s="25"/>
      <c r="N141" s="25"/>
      <c r="O141" s="25"/>
      <c r="P141" s="25"/>
      <c r="Q141" s="25"/>
      <c r="R141" s="25"/>
      <c r="S141" s="25"/>
      <c r="T141" s="53">
        <v>0</v>
      </c>
      <c r="U141" s="25"/>
      <c r="V141" s="5"/>
    </row>
    <row r="142" spans="1:23" ht="15.6" x14ac:dyDescent="0.3">
      <c r="A142" s="24"/>
      <c r="B142" s="25" t="s">
        <v>49</v>
      </c>
      <c r="C142" s="25"/>
      <c r="D142" s="25"/>
      <c r="E142" s="25"/>
      <c r="F142" s="25"/>
      <c r="G142" s="25"/>
      <c r="H142" s="25"/>
      <c r="I142" s="25"/>
      <c r="J142" s="25"/>
      <c r="K142" s="25"/>
      <c r="L142" s="25"/>
      <c r="M142" s="25"/>
      <c r="N142" s="25"/>
      <c r="O142" s="25"/>
      <c r="P142" s="25"/>
      <c r="Q142" s="25"/>
      <c r="R142" s="25"/>
      <c r="S142" s="25"/>
      <c r="T142" s="53">
        <v>0</v>
      </c>
      <c r="U142" s="25"/>
      <c r="V142" s="5"/>
    </row>
    <row r="143" spans="1:23" ht="15.6" x14ac:dyDescent="0.3">
      <c r="A143" s="24"/>
      <c r="B143" s="25" t="s">
        <v>138</v>
      </c>
      <c r="C143" s="25"/>
      <c r="D143" s="25"/>
      <c r="E143" s="25"/>
      <c r="F143" s="25"/>
      <c r="G143" s="25"/>
      <c r="H143" s="25"/>
      <c r="I143" s="25"/>
      <c r="J143" s="25"/>
      <c r="K143" s="25"/>
      <c r="L143" s="25"/>
      <c r="M143" s="25"/>
      <c r="N143" s="25"/>
      <c r="O143" s="25"/>
      <c r="P143" s="25"/>
      <c r="Q143" s="25"/>
      <c r="R143" s="25"/>
      <c r="S143" s="25"/>
      <c r="T143" s="53">
        <v>0</v>
      </c>
      <c r="U143" s="25"/>
      <c r="V143" s="5"/>
    </row>
    <row r="144" spans="1:23" ht="15.6" x14ac:dyDescent="0.3">
      <c r="A144" s="24"/>
      <c r="B144" s="25" t="s">
        <v>231</v>
      </c>
      <c r="C144" s="25"/>
      <c r="D144" s="25"/>
      <c r="E144" s="25"/>
      <c r="F144" s="25"/>
      <c r="G144" s="25"/>
      <c r="H144" s="25"/>
      <c r="I144" s="25"/>
      <c r="J144" s="25"/>
      <c r="K144" s="25"/>
      <c r="L144" s="25"/>
      <c r="M144" s="25"/>
      <c r="N144" s="25"/>
      <c r="O144" s="25"/>
      <c r="P144" s="25"/>
      <c r="Q144" s="25"/>
      <c r="R144" s="25"/>
      <c r="S144" s="25"/>
      <c r="T144" s="53">
        <v>0</v>
      </c>
      <c r="U144" s="25"/>
      <c r="V144" s="5"/>
      <c r="W144" s="110"/>
    </row>
    <row r="145" spans="1:22" ht="15.6" x14ac:dyDescent="0.3">
      <c r="A145" s="24"/>
      <c r="B145" s="25" t="s">
        <v>50</v>
      </c>
      <c r="C145" s="25"/>
      <c r="D145" s="25"/>
      <c r="E145" s="25"/>
      <c r="F145" s="25"/>
      <c r="G145" s="25"/>
      <c r="H145" s="25"/>
      <c r="I145" s="25"/>
      <c r="J145" s="25"/>
      <c r="K145" s="25"/>
      <c r="L145" s="25"/>
      <c r="M145" s="25"/>
      <c r="N145" s="25"/>
      <c r="O145" s="25"/>
      <c r="P145" s="25"/>
      <c r="Q145" s="25"/>
      <c r="R145" s="25"/>
      <c r="S145" s="25"/>
      <c r="T145" s="53">
        <f>SUM(T137:T144)</f>
        <v>12320</v>
      </c>
      <c r="U145" s="25"/>
      <c r="V145" s="5"/>
    </row>
    <row r="146" spans="1:22" ht="15.6" x14ac:dyDescent="0.3">
      <c r="A146" s="24"/>
      <c r="B146" s="25"/>
      <c r="C146" s="25"/>
      <c r="D146" s="25"/>
      <c r="E146" s="25"/>
      <c r="F146" s="25"/>
      <c r="G146" s="25"/>
      <c r="H146" s="25"/>
      <c r="I146" s="25"/>
      <c r="J146" s="25"/>
      <c r="K146" s="25"/>
      <c r="L146" s="25"/>
      <c r="M146" s="25"/>
      <c r="N146" s="25"/>
      <c r="O146" s="25"/>
      <c r="P146" s="25"/>
      <c r="Q146" s="25"/>
      <c r="R146" s="25"/>
      <c r="S146" s="25"/>
      <c r="T146" s="53"/>
      <c r="U146" s="25"/>
      <c r="V146" s="5"/>
    </row>
    <row r="147" spans="1:22" ht="15.6" x14ac:dyDescent="0.3">
      <c r="A147" s="24"/>
      <c r="B147" s="141" t="s">
        <v>264</v>
      </c>
      <c r="C147" s="25"/>
      <c r="D147" s="25"/>
      <c r="E147" s="25"/>
      <c r="F147" s="25"/>
      <c r="G147" s="25"/>
      <c r="H147" s="25"/>
      <c r="I147" s="25"/>
      <c r="J147" s="25"/>
      <c r="K147" s="25"/>
      <c r="L147" s="25"/>
      <c r="M147" s="25"/>
      <c r="N147" s="25"/>
      <c r="O147" s="25"/>
      <c r="P147" s="25"/>
      <c r="Q147" s="25"/>
      <c r="R147" s="25"/>
      <c r="S147" s="25"/>
      <c r="T147" s="53"/>
      <c r="U147" s="25"/>
      <c r="V147" s="5"/>
    </row>
    <row r="148" spans="1:22" ht="15.6" x14ac:dyDescent="0.3">
      <c r="A148" s="24"/>
      <c r="B148" s="25" t="s">
        <v>170</v>
      </c>
      <c r="C148" s="25"/>
      <c r="D148" s="25"/>
      <c r="E148" s="25"/>
      <c r="F148" s="25"/>
      <c r="G148" s="25"/>
      <c r="H148" s="25"/>
      <c r="I148" s="25"/>
      <c r="J148" s="25"/>
      <c r="K148" s="25"/>
      <c r="L148" s="25"/>
      <c r="M148" s="25"/>
      <c r="N148" s="25"/>
      <c r="O148" s="25"/>
      <c r="P148" s="25"/>
      <c r="Q148" s="25"/>
      <c r="R148" s="25"/>
      <c r="S148" s="25"/>
      <c r="T148" s="53">
        <v>10000</v>
      </c>
      <c r="U148" s="25"/>
      <c r="V148" s="5"/>
    </row>
    <row r="149" spans="1:22" ht="15.6" x14ac:dyDescent="0.3">
      <c r="A149" s="24"/>
      <c r="B149" s="25" t="s">
        <v>260</v>
      </c>
      <c r="C149" s="25"/>
      <c r="D149" s="25"/>
      <c r="E149" s="25"/>
      <c r="F149" s="25"/>
      <c r="G149" s="25"/>
      <c r="H149" s="25"/>
      <c r="I149" s="25"/>
      <c r="J149" s="25"/>
      <c r="K149" s="25"/>
      <c r="L149" s="25"/>
      <c r="M149" s="25"/>
      <c r="N149" s="25"/>
      <c r="O149" s="25"/>
      <c r="P149" s="25"/>
      <c r="Q149" s="25"/>
      <c r="R149" s="25"/>
      <c r="S149" s="25"/>
      <c r="T149" s="53">
        <f>+'July 06'!T151</f>
        <v>7558</v>
      </c>
      <c r="U149" s="25"/>
      <c r="V149" s="5"/>
    </row>
    <row r="150" spans="1:22" ht="15.6" x14ac:dyDescent="0.3">
      <c r="A150" s="24"/>
      <c r="B150" s="25" t="s">
        <v>228</v>
      </c>
      <c r="C150" s="25"/>
      <c r="D150" s="25"/>
      <c r="E150" s="25"/>
      <c r="F150" s="25"/>
      <c r="G150" s="25"/>
      <c r="H150" s="25"/>
      <c r="I150" s="25"/>
      <c r="J150" s="25"/>
      <c r="K150" s="25"/>
      <c r="L150" s="25"/>
      <c r="M150" s="25"/>
      <c r="N150" s="25"/>
      <c r="O150" s="25"/>
      <c r="P150" s="25"/>
      <c r="Q150" s="25"/>
      <c r="R150" s="25"/>
      <c r="S150" s="25"/>
      <c r="T150" s="53">
        <v>0</v>
      </c>
      <c r="U150" s="25"/>
      <c r="V150" s="5"/>
    </row>
    <row r="151" spans="1:22" ht="15.6" x14ac:dyDescent="0.3">
      <c r="A151" s="24"/>
      <c r="B151" s="25" t="s">
        <v>266</v>
      </c>
      <c r="C151" s="25"/>
      <c r="D151" s="25"/>
      <c r="E151" s="25"/>
      <c r="F151" s="25"/>
      <c r="G151" s="25"/>
      <c r="H151" s="25"/>
      <c r="I151" s="25"/>
      <c r="J151" s="25"/>
      <c r="K151" s="25"/>
      <c r="L151" s="25"/>
      <c r="M151" s="25"/>
      <c r="N151" s="25"/>
      <c r="O151" s="25"/>
      <c r="P151" s="25"/>
      <c r="Q151" s="25"/>
      <c r="R151" s="25"/>
      <c r="S151" s="25"/>
      <c r="T151" s="53">
        <v>7347</v>
      </c>
      <c r="U151" s="25"/>
      <c r="V151" s="5"/>
    </row>
    <row r="152" spans="1:22" ht="15.6" x14ac:dyDescent="0.3">
      <c r="A152" s="24"/>
      <c r="B152" s="25"/>
      <c r="C152" s="25"/>
      <c r="D152" s="25"/>
      <c r="E152" s="25"/>
      <c r="F152" s="25"/>
      <c r="G152" s="25"/>
      <c r="H152" s="25"/>
      <c r="I152" s="25"/>
      <c r="J152" s="25"/>
      <c r="K152" s="25"/>
      <c r="L152" s="25"/>
      <c r="M152" s="25"/>
      <c r="N152" s="25"/>
      <c r="O152" s="25"/>
      <c r="P152" s="25"/>
      <c r="Q152" s="25"/>
      <c r="R152" s="25"/>
      <c r="S152" s="25"/>
      <c r="T152" s="53"/>
      <c r="U152" s="25"/>
      <c r="V152" s="5"/>
    </row>
    <row r="153" spans="1:22" ht="15.6" x14ac:dyDescent="0.3">
      <c r="A153" s="24"/>
      <c r="B153" s="25"/>
      <c r="C153" s="25"/>
      <c r="D153" s="25"/>
      <c r="E153" s="25"/>
      <c r="F153" s="25"/>
      <c r="G153" s="25"/>
      <c r="H153" s="25"/>
      <c r="I153" s="25"/>
      <c r="J153" s="25"/>
      <c r="K153" s="25"/>
      <c r="L153" s="25"/>
      <c r="M153" s="25"/>
      <c r="N153" s="25"/>
      <c r="O153" s="25"/>
      <c r="P153" s="25"/>
      <c r="Q153" s="25"/>
      <c r="R153" s="25"/>
      <c r="S153" s="25"/>
      <c r="T153" s="61"/>
      <c r="U153" s="25"/>
      <c r="V153" s="5"/>
    </row>
    <row r="154" spans="1:22" ht="15.6" x14ac:dyDescent="0.3">
      <c r="A154" s="6"/>
      <c r="B154" s="120" t="s">
        <v>25</v>
      </c>
      <c r="C154" s="8"/>
      <c r="D154" s="8"/>
      <c r="E154" s="8"/>
      <c r="F154" s="8"/>
      <c r="G154" s="8"/>
      <c r="H154" s="8"/>
      <c r="I154" s="8"/>
      <c r="J154" s="8"/>
      <c r="K154" s="8"/>
      <c r="L154" s="8"/>
      <c r="M154" s="8"/>
      <c r="N154" s="8"/>
      <c r="O154" s="8"/>
      <c r="P154" s="8"/>
      <c r="Q154" s="8"/>
      <c r="R154" s="8"/>
      <c r="S154" s="8"/>
      <c r="T154" s="52"/>
      <c r="U154" s="8"/>
      <c r="V154" s="5"/>
    </row>
    <row r="155" spans="1:22" ht="15.6" x14ac:dyDescent="0.3">
      <c r="A155" s="24"/>
      <c r="B155" s="25" t="s">
        <v>51</v>
      </c>
      <c r="C155" s="25"/>
      <c r="D155" s="25"/>
      <c r="E155" s="25"/>
      <c r="F155" s="25"/>
      <c r="G155" s="25"/>
      <c r="H155" s="25"/>
      <c r="I155" s="25"/>
      <c r="J155" s="25"/>
      <c r="K155" s="25"/>
      <c r="L155" s="25"/>
      <c r="M155" s="25"/>
      <c r="N155" s="25"/>
      <c r="O155" s="25"/>
      <c r="P155" s="25"/>
      <c r="Q155" s="25"/>
      <c r="R155" s="25"/>
      <c r="S155" s="25"/>
      <c r="T155" s="59" t="s">
        <v>127</v>
      </c>
      <c r="U155" s="25"/>
      <c r="V155" s="5"/>
    </row>
    <row r="156" spans="1:22" ht="15.6" x14ac:dyDescent="0.3">
      <c r="A156" s="24"/>
      <c r="B156" s="25" t="s">
        <v>52</v>
      </c>
      <c r="C156" s="160"/>
      <c r="D156" s="160"/>
      <c r="E156" s="160"/>
      <c r="F156" s="160"/>
      <c r="G156" s="160"/>
      <c r="H156" s="160"/>
      <c r="I156" s="160"/>
      <c r="J156" s="160"/>
      <c r="K156" s="160"/>
      <c r="L156" s="160"/>
      <c r="M156" s="160"/>
      <c r="N156" s="160"/>
      <c r="O156" s="160"/>
      <c r="P156" s="160"/>
      <c r="Q156" s="160"/>
      <c r="R156" s="160"/>
      <c r="S156" s="160"/>
      <c r="T156" s="59" t="s">
        <v>127</v>
      </c>
      <c r="U156" s="25"/>
      <c r="V156" s="5"/>
    </row>
    <row r="157" spans="1:22" ht="15.6" x14ac:dyDescent="0.3">
      <c r="A157" s="24"/>
      <c r="B157" s="25" t="s">
        <v>53</v>
      </c>
      <c r="C157" s="25"/>
      <c r="D157" s="25"/>
      <c r="E157" s="25"/>
      <c r="F157" s="25"/>
      <c r="G157" s="25"/>
      <c r="H157" s="25"/>
      <c r="I157" s="25"/>
      <c r="J157" s="25"/>
      <c r="K157" s="25"/>
      <c r="L157" s="25"/>
      <c r="M157" s="25"/>
      <c r="N157" s="25"/>
      <c r="O157" s="25"/>
      <c r="P157" s="25"/>
      <c r="Q157" s="25"/>
      <c r="R157" s="25"/>
      <c r="S157" s="25"/>
      <c r="T157" s="59" t="s">
        <v>127</v>
      </c>
      <c r="U157" s="25"/>
      <c r="V157" s="5"/>
    </row>
    <row r="158" spans="1:22" ht="15.6" x14ac:dyDescent="0.3">
      <c r="A158" s="24"/>
      <c r="B158" s="25" t="s">
        <v>54</v>
      </c>
      <c r="C158" s="25"/>
      <c r="D158" s="25"/>
      <c r="E158" s="25"/>
      <c r="F158" s="25"/>
      <c r="G158" s="25"/>
      <c r="H158" s="25"/>
      <c r="I158" s="25"/>
      <c r="J158" s="25"/>
      <c r="K158" s="25"/>
      <c r="L158" s="25"/>
      <c r="M158" s="25"/>
      <c r="N158" s="25"/>
      <c r="O158" s="25"/>
      <c r="P158" s="25"/>
      <c r="Q158" s="25"/>
      <c r="R158" s="25"/>
      <c r="S158" s="25"/>
      <c r="T158" s="59" t="s">
        <v>127</v>
      </c>
      <c r="U158" s="25"/>
      <c r="V158" s="5"/>
    </row>
    <row r="159" spans="1:22" ht="15.6" x14ac:dyDescent="0.3">
      <c r="A159" s="24"/>
      <c r="B159" s="25"/>
      <c r="C159" s="25"/>
      <c r="D159" s="25"/>
      <c r="E159" s="25"/>
      <c r="F159" s="25"/>
      <c r="G159" s="25"/>
      <c r="H159" s="25"/>
      <c r="I159" s="25"/>
      <c r="J159" s="25"/>
      <c r="K159" s="25"/>
      <c r="L159" s="25"/>
      <c r="M159" s="25"/>
      <c r="N159" s="25"/>
      <c r="O159" s="25"/>
      <c r="P159" s="25"/>
      <c r="Q159" s="25"/>
      <c r="R159" s="25"/>
      <c r="S159" s="25"/>
      <c r="T159" s="61"/>
      <c r="U159" s="25"/>
      <c r="V159" s="5"/>
    </row>
    <row r="160" spans="1:22" ht="15.6" x14ac:dyDescent="0.3">
      <c r="A160" s="6"/>
      <c r="B160" s="120" t="s">
        <v>55</v>
      </c>
      <c r="C160" s="8"/>
      <c r="D160" s="8"/>
      <c r="E160" s="8"/>
      <c r="F160" s="8"/>
      <c r="G160" s="8"/>
      <c r="H160" s="8"/>
      <c r="I160" s="8"/>
      <c r="J160" s="8"/>
      <c r="K160" s="8"/>
      <c r="L160" s="8"/>
      <c r="M160" s="8"/>
      <c r="N160" s="8"/>
      <c r="O160" s="8"/>
      <c r="P160" s="8"/>
      <c r="Q160" s="8"/>
      <c r="R160" s="8"/>
      <c r="S160" s="8"/>
      <c r="T160" s="63"/>
      <c r="U160" s="8"/>
      <c r="V160" s="5"/>
    </row>
    <row r="161" spans="1:22" ht="15.6" x14ac:dyDescent="0.3">
      <c r="A161" s="24"/>
      <c r="B161" s="25" t="s">
        <v>56</v>
      </c>
      <c r="C161" s="25"/>
      <c r="D161" s="25"/>
      <c r="E161" s="25"/>
      <c r="F161" s="25"/>
      <c r="G161" s="25"/>
      <c r="H161" s="25"/>
      <c r="I161" s="25"/>
      <c r="J161" s="25"/>
      <c r="K161" s="25"/>
      <c r="L161" s="25"/>
      <c r="M161" s="25"/>
      <c r="N161" s="25"/>
      <c r="O161" s="25"/>
      <c r="P161" s="25"/>
      <c r="Q161" s="25"/>
      <c r="R161" s="25"/>
      <c r="S161" s="25"/>
      <c r="T161" s="53">
        <v>0</v>
      </c>
      <c r="U161" s="25"/>
      <c r="V161" s="5"/>
    </row>
    <row r="162" spans="1:22" ht="15.6" x14ac:dyDescent="0.3">
      <c r="A162" s="24"/>
      <c r="B162" s="25" t="s">
        <v>57</v>
      </c>
      <c r="C162" s="25"/>
      <c r="D162" s="25"/>
      <c r="E162" s="25"/>
      <c r="F162" s="25"/>
      <c r="G162" s="25"/>
      <c r="H162" s="25"/>
      <c r="I162" s="25"/>
      <c r="J162" s="25"/>
      <c r="K162" s="25"/>
      <c r="L162" s="25"/>
      <c r="M162" s="25"/>
      <c r="N162" s="25"/>
      <c r="O162" s="25"/>
      <c r="P162" s="25"/>
      <c r="Q162" s="25"/>
      <c r="R162" s="25"/>
      <c r="S162" s="25"/>
      <c r="T162" s="53">
        <f>-T111</f>
        <v>1</v>
      </c>
      <c r="U162" s="25"/>
      <c r="V162" s="5"/>
    </row>
    <row r="163" spans="1:22" ht="15.6" x14ac:dyDescent="0.3">
      <c r="A163" s="24"/>
      <c r="B163" s="25" t="s">
        <v>58</v>
      </c>
      <c r="C163" s="25"/>
      <c r="D163" s="25"/>
      <c r="E163" s="25"/>
      <c r="F163" s="25"/>
      <c r="G163" s="25"/>
      <c r="H163" s="25"/>
      <c r="I163" s="25"/>
      <c r="J163" s="25"/>
      <c r="K163" s="25"/>
      <c r="L163" s="25"/>
      <c r="M163" s="25"/>
      <c r="N163" s="25"/>
      <c r="O163" s="25"/>
      <c r="P163" s="25"/>
      <c r="Q163" s="25"/>
      <c r="R163" s="25"/>
      <c r="S163" s="25"/>
      <c r="T163" s="53">
        <f>T162+T161</f>
        <v>1</v>
      </c>
      <c r="U163" s="25"/>
      <c r="V163" s="5"/>
    </row>
    <row r="164" spans="1:22" ht="15.6" x14ac:dyDescent="0.3">
      <c r="A164" s="24"/>
      <c r="B164" s="25" t="s">
        <v>309</v>
      </c>
      <c r="C164" s="25"/>
      <c r="D164" s="25"/>
      <c r="E164" s="25"/>
      <c r="F164" s="25"/>
      <c r="G164" s="25"/>
      <c r="H164" s="25"/>
      <c r="I164" s="25"/>
      <c r="J164" s="25"/>
      <c r="K164" s="25"/>
      <c r="L164" s="25"/>
      <c r="M164" s="25"/>
      <c r="N164" s="25"/>
      <c r="O164" s="25"/>
      <c r="P164" s="25"/>
      <c r="Q164" s="25"/>
      <c r="R164" s="25"/>
      <c r="S164" s="25"/>
      <c r="T164" s="53">
        <f>T111</f>
        <v>-1</v>
      </c>
      <c r="U164" s="25"/>
      <c r="V164" s="5"/>
    </row>
    <row r="165" spans="1:22" ht="15.6" x14ac:dyDescent="0.3">
      <c r="A165" s="24"/>
      <c r="B165" s="25" t="s">
        <v>59</v>
      </c>
      <c r="C165" s="25"/>
      <c r="D165" s="25"/>
      <c r="E165" s="25"/>
      <c r="F165" s="25"/>
      <c r="G165" s="25"/>
      <c r="H165" s="25"/>
      <c r="I165" s="25"/>
      <c r="J165" s="25"/>
      <c r="K165" s="25"/>
      <c r="L165" s="25"/>
      <c r="M165" s="25"/>
      <c r="N165" s="25"/>
      <c r="O165" s="25"/>
      <c r="P165" s="25"/>
      <c r="Q165" s="25"/>
      <c r="R165" s="25"/>
      <c r="S165" s="25"/>
      <c r="T165" s="53">
        <f>T163+T164</f>
        <v>0</v>
      </c>
      <c r="U165" s="25"/>
      <c r="V165" s="5"/>
    </row>
    <row r="166" spans="1:22" ht="16.2" thickBot="1" x14ac:dyDescent="0.35">
      <c r="A166" s="24"/>
      <c r="B166" s="25"/>
      <c r="C166" s="25"/>
      <c r="D166" s="25"/>
      <c r="E166" s="25"/>
      <c r="F166" s="25"/>
      <c r="G166" s="25"/>
      <c r="H166" s="25"/>
      <c r="I166" s="25"/>
      <c r="J166" s="25"/>
      <c r="K166" s="25"/>
      <c r="L166" s="25"/>
      <c r="M166" s="25"/>
      <c r="N166" s="25"/>
      <c r="O166" s="25"/>
      <c r="P166" s="25"/>
      <c r="Q166" s="25"/>
      <c r="R166" s="25"/>
      <c r="S166" s="25"/>
      <c r="T166" s="61"/>
      <c r="U166" s="25"/>
      <c r="V166" s="5"/>
    </row>
    <row r="167" spans="1:22" ht="15.6" x14ac:dyDescent="0.3">
      <c r="A167" s="2"/>
      <c r="B167" s="4"/>
      <c r="C167" s="4"/>
      <c r="D167" s="4"/>
      <c r="E167" s="4"/>
      <c r="F167" s="4"/>
      <c r="G167" s="4"/>
      <c r="H167" s="4"/>
      <c r="I167" s="4"/>
      <c r="J167" s="4"/>
      <c r="K167" s="4"/>
      <c r="L167" s="4"/>
      <c r="M167" s="4"/>
      <c r="N167" s="4"/>
      <c r="O167" s="4"/>
      <c r="P167" s="4"/>
      <c r="Q167" s="4"/>
      <c r="R167" s="4"/>
      <c r="S167" s="4"/>
      <c r="T167" s="50"/>
      <c r="U167" s="4"/>
      <c r="V167" s="5"/>
    </row>
    <row r="168" spans="1:22" ht="15.6" x14ac:dyDescent="0.3">
      <c r="A168" s="6"/>
      <c r="B168" s="120" t="s">
        <v>60</v>
      </c>
      <c r="C168" s="8"/>
      <c r="D168" s="8"/>
      <c r="E168" s="8"/>
      <c r="F168" s="8"/>
      <c r="G168" s="8"/>
      <c r="H168" s="8"/>
      <c r="I168" s="8"/>
      <c r="J168" s="8"/>
      <c r="K168" s="8"/>
      <c r="L168" s="8"/>
      <c r="M168" s="8"/>
      <c r="N168" s="8"/>
      <c r="O168" s="8"/>
      <c r="P168" s="8"/>
      <c r="Q168" s="8"/>
      <c r="R168" s="8"/>
      <c r="S168" s="8"/>
      <c r="T168" s="52"/>
      <c r="U168" s="8"/>
      <c r="V168" s="5"/>
    </row>
    <row r="169" spans="1:22" ht="15.6" x14ac:dyDescent="0.3">
      <c r="A169" s="6"/>
      <c r="B169" s="21"/>
      <c r="C169" s="8"/>
      <c r="D169" s="8"/>
      <c r="E169" s="8"/>
      <c r="F169" s="8"/>
      <c r="G169" s="8"/>
      <c r="H169" s="8"/>
      <c r="I169" s="8"/>
      <c r="J169" s="8"/>
      <c r="K169" s="8"/>
      <c r="L169" s="8"/>
      <c r="M169" s="8"/>
      <c r="N169" s="8"/>
      <c r="O169" s="8"/>
      <c r="P169" s="8"/>
      <c r="Q169" s="8"/>
      <c r="R169" s="8"/>
      <c r="S169" s="8"/>
      <c r="T169" s="52"/>
      <c r="U169" s="8"/>
      <c r="V169" s="5"/>
    </row>
    <row r="170" spans="1:22" ht="15.6" x14ac:dyDescent="0.3">
      <c r="A170" s="24"/>
      <c r="B170" s="25" t="s">
        <v>61</v>
      </c>
      <c r="C170" s="25"/>
      <c r="D170" s="25"/>
      <c r="E170" s="25"/>
      <c r="F170" s="25"/>
      <c r="G170" s="25"/>
      <c r="H170" s="25"/>
      <c r="I170" s="25"/>
      <c r="J170" s="25"/>
      <c r="K170" s="25"/>
      <c r="L170" s="25"/>
      <c r="M170" s="25"/>
      <c r="N170" s="25"/>
      <c r="O170" s="25"/>
      <c r="P170" s="25"/>
      <c r="Q170" s="25"/>
      <c r="R170" s="25"/>
      <c r="S170" s="25"/>
      <c r="T170" s="53">
        <f>T69</f>
        <v>612146</v>
      </c>
      <c r="U170" s="25"/>
      <c r="V170" s="5"/>
    </row>
    <row r="171" spans="1:22" ht="15.6" x14ac:dyDescent="0.3">
      <c r="A171" s="24"/>
      <c r="B171" s="25" t="s">
        <v>62</v>
      </c>
      <c r="C171" s="25"/>
      <c r="D171" s="25"/>
      <c r="E171" s="25"/>
      <c r="F171" s="25"/>
      <c r="G171" s="25"/>
      <c r="H171" s="25"/>
      <c r="I171" s="25"/>
      <c r="J171" s="25"/>
      <c r="K171" s="25"/>
      <c r="L171" s="25"/>
      <c r="M171" s="25"/>
      <c r="N171" s="25"/>
      <c r="O171" s="25"/>
      <c r="P171" s="25"/>
      <c r="Q171" s="25"/>
      <c r="R171" s="25"/>
      <c r="S171" s="25"/>
      <c r="T171" s="53">
        <f>T82</f>
        <v>612146</v>
      </c>
      <c r="U171" s="25"/>
      <c r="V171" s="5"/>
    </row>
    <row r="172" spans="1:22" ht="16.2" thickBot="1" x14ac:dyDescent="0.35">
      <c r="A172" s="24"/>
      <c r="B172" s="25"/>
      <c r="C172" s="25"/>
      <c r="D172" s="25"/>
      <c r="E172" s="25"/>
      <c r="F172" s="25"/>
      <c r="G172" s="25"/>
      <c r="H172" s="25"/>
      <c r="I172" s="25"/>
      <c r="J172" s="25"/>
      <c r="K172" s="25"/>
      <c r="L172" s="25"/>
      <c r="M172" s="25"/>
      <c r="N172" s="25"/>
      <c r="O172" s="25"/>
      <c r="P172" s="25"/>
      <c r="Q172" s="25"/>
      <c r="R172" s="25"/>
      <c r="S172" s="25"/>
      <c r="T172" s="61"/>
      <c r="U172" s="25"/>
      <c r="V172" s="5"/>
    </row>
    <row r="173" spans="1:22" ht="15.6" x14ac:dyDescent="0.3">
      <c r="A173" s="2"/>
      <c r="B173" s="4"/>
      <c r="C173" s="4"/>
      <c r="D173" s="4"/>
      <c r="E173" s="4"/>
      <c r="F173" s="4"/>
      <c r="G173" s="4"/>
      <c r="H173" s="4"/>
      <c r="I173" s="4"/>
      <c r="J173" s="4"/>
      <c r="K173" s="4"/>
      <c r="L173" s="4"/>
      <c r="M173" s="4"/>
      <c r="N173" s="4"/>
      <c r="O173" s="4"/>
      <c r="P173" s="4"/>
      <c r="Q173" s="4"/>
      <c r="R173" s="4"/>
      <c r="S173" s="4"/>
      <c r="T173" s="50"/>
      <c r="U173" s="4"/>
      <c r="V173" s="5"/>
    </row>
    <row r="174" spans="1:22" ht="15.6" x14ac:dyDescent="0.3">
      <c r="A174" s="6"/>
      <c r="B174" s="120" t="s">
        <v>63</v>
      </c>
      <c r="C174" s="118"/>
      <c r="D174" s="118"/>
      <c r="E174" s="118"/>
      <c r="F174" s="118"/>
      <c r="G174" s="118"/>
      <c r="H174" s="121"/>
      <c r="I174" s="121"/>
      <c r="J174" s="121"/>
      <c r="K174" s="121"/>
      <c r="L174" s="121"/>
      <c r="M174" s="121"/>
      <c r="N174" s="121"/>
      <c r="O174" s="121"/>
      <c r="P174" s="121"/>
      <c r="Q174" s="121" t="s">
        <v>107</v>
      </c>
      <c r="R174" s="121" t="s">
        <v>234</v>
      </c>
      <c r="S174" s="112"/>
      <c r="T174" s="122" t="s">
        <v>123</v>
      </c>
      <c r="U174" s="10"/>
      <c r="V174" s="5"/>
    </row>
    <row r="175" spans="1:22" ht="15.6" x14ac:dyDescent="0.3">
      <c r="A175" s="24"/>
      <c r="B175" s="25" t="s">
        <v>64</v>
      </c>
      <c r="C175" s="25"/>
      <c r="D175" s="25"/>
      <c r="E175" s="25"/>
      <c r="F175" s="25"/>
      <c r="G175" s="25"/>
      <c r="H175" s="25"/>
      <c r="I175" s="25"/>
      <c r="J175" s="25"/>
      <c r="K175" s="25"/>
      <c r="L175" s="25"/>
      <c r="M175" s="25"/>
      <c r="N175" s="25"/>
      <c r="O175" s="25"/>
      <c r="P175" s="25"/>
      <c r="Q175" s="53">
        <v>112000</v>
      </c>
      <c r="R175" s="40"/>
      <c r="S175" s="25"/>
      <c r="T175" s="53"/>
      <c r="U175" s="25"/>
      <c r="V175" s="5"/>
    </row>
    <row r="176" spans="1:22" ht="15.6" x14ac:dyDescent="0.3">
      <c r="A176" s="24"/>
      <c r="B176" s="25" t="s">
        <v>65</v>
      </c>
      <c r="C176" s="25"/>
      <c r="D176" s="25"/>
      <c r="E176" s="25"/>
      <c r="F176" s="25"/>
      <c r="G176" s="25"/>
      <c r="H176" s="25"/>
      <c r="I176" s="25"/>
      <c r="J176" s="25"/>
      <c r="K176" s="25"/>
      <c r="L176" s="25"/>
      <c r="M176" s="25"/>
      <c r="N176" s="25"/>
      <c r="O176" s="25"/>
      <c r="P176" s="25"/>
      <c r="Q176" s="53">
        <f>'July 06'!Q178</f>
        <v>16527</v>
      </c>
      <c r="R176" s="53">
        <f>'July 06'!R178</f>
        <v>1980</v>
      </c>
      <c r="S176" s="25"/>
      <c r="T176" s="53">
        <f>Q176+R176</f>
        <v>18507</v>
      </c>
      <c r="U176" s="25"/>
      <c r="V176" s="5"/>
    </row>
    <row r="177" spans="1:22" ht="15.6" x14ac:dyDescent="0.3">
      <c r="A177" s="24"/>
      <c r="B177" s="25" t="s">
        <v>66</v>
      </c>
      <c r="C177" s="25"/>
      <c r="D177" s="25"/>
      <c r="E177" s="25"/>
      <c r="F177" s="25"/>
      <c r="G177" s="25"/>
      <c r="H177" s="25"/>
      <c r="I177" s="25"/>
      <c r="J177" s="25"/>
      <c r="K177" s="25"/>
      <c r="L177" s="25"/>
      <c r="M177" s="25"/>
      <c r="N177" s="25"/>
      <c r="O177" s="25"/>
      <c r="P177" s="25"/>
      <c r="Q177" s="34">
        <v>5348</v>
      </c>
      <c r="R177" s="34">
        <v>5</v>
      </c>
      <c r="S177" s="25"/>
      <c r="T177" s="53">
        <f>Q177+R177</f>
        <v>5353</v>
      </c>
      <c r="U177" s="25"/>
      <c r="V177" s="5"/>
    </row>
    <row r="178" spans="1:22" ht="15.6" x14ac:dyDescent="0.3">
      <c r="A178" s="24"/>
      <c r="B178" s="25" t="s">
        <v>67</v>
      </c>
      <c r="C178" s="25"/>
      <c r="D178" s="25"/>
      <c r="E178" s="25"/>
      <c r="F178" s="25"/>
      <c r="G178" s="25"/>
      <c r="H178" s="25"/>
      <c r="I178" s="25"/>
      <c r="J178" s="25"/>
      <c r="K178" s="25"/>
      <c r="L178" s="25"/>
      <c r="M178" s="25"/>
      <c r="N178" s="25"/>
      <c r="O178" s="25"/>
      <c r="P178" s="25"/>
      <c r="Q178" s="53">
        <f>Q176+Q177</f>
        <v>21875</v>
      </c>
      <c r="R178" s="53">
        <f>R177+R176</f>
        <v>1985</v>
      </c>
      <c r="S178" s="25"/>
      <c r="T178" s="53">
        <f>Q178+R178</f>
        <v>23860</v>
      </c>
      <c r="U178" s="25"/>
      <c r="V178" s="5"/>
    </row>
    <row r="179" spans="1:22" ht="15.6" x14ac:dyDescent="0.3">
      <c r="A179" s="24"/>
      <c r="B179" s="25" t="s">
        <v>68</v>
      </c>
      <c r="C179" s="25"/>
      <c r="D179" s="25"/>
      <c r="E179" s="25"/>
      <c r="F179" s="25"/>
      <c r="G179" s="25"/>
      <c r="H179" s="25"/>
      <c r="I179" s="25"/>
      <c r="J179" s="25"/>
      <c r="K179" s="25"/>
      <c r="L179" s="25"/>
      <c r="M179" s="25"/>
      <c r="N179" s="25"/>
      <c r="O179" s="25"/>
      <c r="P179" s="25"/>
      <c r="Q179" s="53">
        <f>Q175-Q178-R178</f>
        <v>88140</v>
      </c>
      <c r="R179" s="40"/>
      <c r="S179" s="25"/>
      <c r="T179" s="53"/>
      <c r="U179" s="25"/>
      <c r="V179" s="5"/>
    </row>
    <row r="180" spans="1:22" ht="16.2" thickBot="1" x14ac:dyDescent="0.35">
      <c r="A180" s="24"/>
      <c r="B180" s="25"/>
      <c r="C180" s="25"/>
      <c r="D180" s="25"/>
      <c r="E180" s="25"/>
      <c r="F180" s="25"/>
      <c r="G180" s="25"/>
      <c r="H180" s="25"/>
      <c r="I180" s="25"/>
      <c r="J180" s="25"/>
      <c r="K180" s="25"/>
      <c r="L180" s="25"/>
      <c r="M180" s="25"/>
      <c r="N180" s="25"/>
      <c r="O180" s="25"/>
      <c r="P180" s="25"/>
      <c r="Q180" s="25"/>
      <c r="R180" s="25"/>
      <c r="S180" s="25"/>
      <c r="T180" s="61"/>
      <c r="U180" s="25"/>
      <c r="V180" s="5"/>
    </row>
    <row r="181" spans="1:22" ht="15.6" x14ac:dyDescent="0.3">
      <c r="A181" s="2"/>
      <c r="B181" s="4"/>
      <c r="C181" s="4"/>
      <c r="D181" s="4"/>
      <c r="E181" s="4"/>
      <c r="F181" s="4"/>
      <c r="G181" s="4"/>
      <c r="H181" s="4"/>
      <c r="I181" s="4"/>
      <c r="J181" s="4"/>
      <c r="K181" s="4"/>
      <c r="L181" s="4"/>
      <c r="M181" s="4"/>
      <c r="N181" s="4"/>
      <c r="O181" s="4"/>
      <c r="P181" s="4"/>
      <c r="Q181" s="4"/>
      <c r="R181" s="4"/>
      <c r="S181" s="4"/>
      <c r="T181" s="50"/>
      <c r="U181" s="4"/>
      <c r="V181" s="5"/>
    </row>
    <row r="182" spans="1:22" ht="15.6" x14ac:dyDescent="0.3">
      <c r="A182" s="6"/>
      <c r="B182" s="120" t="s">
        <v>69</v>
      </c>
      <c r="C182" s="8"/>
      <c r="D182" s="8"/>
      <c r="E182" s="8"/>
      <c r="F182" s="8"/>
      <c r="G182" s="8"/>
      <c r="H182" s="8"/>
      <c r="I182" s="8"/>
      <c r="J182" s="8"/>
      <c r="K182" s="8"/>
      <c r="L182" s="8"/>
      <c r="M182" s="8"/>
      <c r="N182" s="8"/>
      <c r="O182" s="8"/>
      <c r="P182" s="8"/>
      <c r="Q182" s="8"/>
      <c r="R182" s="8"/>
      <c r="S182" s="8"/>
      <c r="T182" s="65"/>
      <c r="U182" s="8"/>
      <c r="V182" s="5"/>
    </row>
    <row r="183" spans="1:22" ht="15.6" x14ac:dyDescent="0.3">
      <c r="A183" s="24"/>
      <c r="B183" s="25" t="s">
        <v>70</v>
      </c>
      <c r="C183" s="25"/>
      <c r="D183" s="25"/>
      <c r="E183" s="25"/>
      <c r="F183" s="25"/>
      <c r="G183" s="25"/>
      <c r="H183" s="25"/>
      <c r="I183" s="25"/>
      <c r="J183" s="25"/>
      <c r="K183" s="25"/>
      <c r="L183" s="25"/>
      <c r="M183" s="25"/>
      <c r="N183" s="25"/>
      <c r="O183" s="25"/>
      <c r="P183" s="25"/>
      <c r="Q183" s="25"/>
      <c r="R183" s="25"/>
      <c r="S183" s="25"/>
      <c r="T183" s="59">
        <f>(T96+T98+T99+T100+T101+T102)/-(T103+T104+T105)</f>
        <v>1.395413870246085</v>
      </c>
      <c r="U183" s="25" t="s">
        <v>124</v>
      </c>
      <c r="V183" s="5"/>
    </row>
    <row r="184" spans="1:22" ht="15.6" x14ac:dyDescent="0.3">
      <c r="A184" s="24"/>
      <c r="B184" s="25" t="s">
        <v>71</v>
      </c>
      <c r="C184" s="25"/>
      <c r="D184" s="25"/>
      <c r="E184" s="25"/>
      <c r="F184" s="25"/>
      <c r="G184" s="25"/>
      <c r="H184" s="25"/>
      <c r="I184" s="25"/>
      <c r="J184" s="25"/>
      <c r="K184" s="25"/>
      <c r="L184" s="25"/>
      <c r="M184" s="25"/>
      <c r="N184" s="25"/>
      <c r="O184" s="25"/>
      <c r="P184" s="25"/>
      <c r="Q184" s="25"/>
      <c r="R184" s="25"/>
      <c r="S184" s="25"/>
      <c r="T184" s="66">
        <v>1.35</v>
      </c>
      <c r="U184" s="25" t="s">
        <v>124</v>
      </c>
      <c r="V184" s="5"/>
    </row>
    <row r="185" spans="1:22" ht="15.6" x14ac:dyDescent="0.3">
      <c r="A185" s="24"/>
      <c r="B185" s="25" t="s">
        <v>72</v>
      </c>
      <c r="C185" s="25"/>
      <c r="D185" s="25"/>
      <c r="E185" s="25"/>
      <c r="F185" s="25"/>
      <c r="G185" s="25"/>
      <c r="H185" s="25"/>
      <c r="I185" s="25"/>
      <c r="J185" s="25"/>
      <c r="K185" s="25"/>
      <c r="L185" s="25"/>
      <c r="M185" s="25"/>
      <c r="N185" s="25"/>
      <c r="O185" s="25"/>
      <c r="P185" s="25"/>
      <c r="Q185" s="25"/>
      <c r="R185" s="25"/>
      <c r="S185" s="25"/>
      <c r="T185" s="59">
        <f>(T96+T98+T99+T100+T101+T102+T103+T104+T105)/-(T106+T107)</f>
        <v>7.7692307692307692</v>
      </c>
      <c r="U185" s="25" t="s">
        <v>124</v>
      </c>
      <c r="V185" s="5"/>
    </row>
    <row r="186" spans="1:22" ht="15.6" x14ac:dyDescent="0.3">
      <c r="A186" s="24"/>
      <c r="B186" s="25" t="s">
        <v>73</v>
      </c>
      <c r="C186" s="25"/>
      <c r="D186" s="25"/>
      <c r="E186" s="25"/>
      <c r="F186" s="25"/>
      <c r="G186" s="25"/>
      <c r="H186" s="25"/>
      <c r="I186" s="25"/>
      <c r="J186" s="25"/>
      <c r="K186" s="25"/>
      <c r="L186" s="25"/>
      <c r="M186" s="25"/>
      <c r="N186" s="25"/>
      <c r="O186" s="25"/>
      <c r="P186" s="25"/>
      <c r="Q186" s="25"/>
      <c r="R186" s="25"/>
      <c r="S186" s="25"/>
      <c r="T186" s="67">
        <v>7.43</v>
      </c>
      <c r="U186" s="25" t="s">
        <v>124</v>
      </c>
      <c r="V186" s="5"/>
    </row>
    <row r="187" spans="1:22" ht="15.6" x14ac:dyDescent="0.3">
      <c r="A187" s="24"/>
      <c r="B187" s="25" t="s">
        <v>243</v>
      </c>
      <c r="C187" s="25"/>
      <c r="D187" s="25"/>
      <c r="E187" s="25"/>
      <c r="F187" s="25"/>
      <c r="G187" s="25"/>
      <c r="H187" s="25"/>
      <c r="I187" s="25"/>
      <c r="J187" s="25"/>
      <c r="K187" s="25"/>
      <c r="L187" s="25"/>
      <c r="M187" s="25"/>
      <c r="N187" s="25"/>
      <c r="O187" s="25"/>
      <c r="P187" s="25"/>
      <c r="Q187" s="25"/>
      <c r="R187" s="25"/>
      <c r="S187" s="25"/>
      <c r="T187" s="59">
        <f>(T96+T98+T99+T100+T101+T102+T103+T104+T105+T106+T107)/-(T108+T109)</f>
        <v>3.6612184249628528</v>
      </c>
      <c r="U187" s="25" t="s">
        <v>124</v>
      </c>
      <c r="V187" s="5"/>
    </row>
    <row r="188" spans="1:22" ht="15.6" x14ac:dyDescent="0.3">
      <c r="A188" s="24"/>
      <c r="B188" s="25" t="s">
        <v>244</v>
      </c>
      <c r="C188" s="25"/>
      <c r="D188" s="25"/>
      <c r="E188" s="25"/>
      <c r="F188" s="25"/>
      <c r="G188" s="25"/>
      <c r="H188" s="25"/>
      <c r="I188" s="25"/>
      <c r="J188" s="25"/>
      <c r="K188" s="25"/>
      <c r="L188" s="25"/>
      <c r="M188" s="25"/>
      <c r="N188" s="25"/>
      <c r="O188" s="25"/>
      <c r="P188" s="25"/>
      <c r="Q188" s="25"/>
      <c r="R188" s="25"/>
      <c r="S188" s="25"/>
      <c r="T188" s="67">
        <v>3.46</v>
      </c>
      <c r="U188" s="25" t="s">
        <v>124</v>
      </c>
      <c r="V188" s="5"/>
    </row>
    <row r="189" spans="1:22" ht="15.6" x14ac:dyDescent="0.3">
      <c r="A189" s="24"/>
      <c r="B189" s="25"/>
      <c r="C189" s="25"/>
      <c r="D189" s="25"/>
      <c r="E189" s="25"/>
      <c r="F189" s="25"/>
      <c r="G189" s="25"/>
      <c r="H189" s="25"/>
      <c r="I189" s="25"/>
      <c r="J189" s="25"/>
      <c r="K189" s="25"/>
      <c r="L189" s="25"/>
      <c r="M189" s="25"/>
      <c r="N189" s="25"/>
      <c r="O189" s="25"/>
      <c r="P189" s="25"/>
      <c r="Q189" s="25"/>
      <c r="R189" s="25"/>
      <c r="S189" s="25"/>
      <c r="T189" s="25"/>
      <c r="U189" s="25"/>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6"/>
      <c r="B191" s="8"/>
      <c r="C191" s="8"/>
      <c r="D191" s="8"/>
      <c r="E191" s="8"/>
      <c r="F191" s="8"/>
      <c r="G191" s="8"/>
      <c r="H191" s="8"/>
      <c r="I191" s="8"/>
      <c r="J191" s="8"/>
      <c r="K191" s="8"/>
      <c r="L191" s="8"/>
      <c r="M191" s="8"/>
      <c r="N191" s="8"/>
      <c r="O191" s="8"/>
      <c r="P191" s="8"/>
      <c r="Q191" s="8"/>
      <c r="R191" s="8"/>
      <c r="S191" s="8"/>
      <c r="T191" s="8"/>
      <c r="U191" s="8"/>
      <c r="V191" s="5"/>
    </row>
    <row r="192" spans="1:22" ht="18" thickBot="1" x14ac:dyDescent="0.35">
      <c r="A192" s="102"/>
      <c r="B192" s="103" t="str">
        <f>B132</f>
        <v>PM9 INVESTOR REPORT QUARTER ENDING OCTOBER 2006</v>
      </c>
      <c r="C192" s="162"/>
      <c r="D192" s="162"/>
      <c r="E192" s="162"/>
      <c r="F192" s="162"/>
      <c r="G192" s="162"/>
      <c r="H192" s="162"/>
      <c r="I192" s="162"/>
      <c r="J192" s="162"/>
      <c r="K192" s="162"/>
      <c r="L192" s="162"/>
      <c r="M192" s="162"/>
      <c r="N192" s="162"/>
      <c r="O192" s="162"/>
      <c r="P192" s="162"/>
      <c r="Q192" s="162"/>
      <c r="R192" s="162"/>
      <c r="S192" s="162"/>
      <c r="T192" s="162"/>
      <c r="U192" s="163"/>
      <c r="V192" s="5"/>
    </row>
    <row r="193" spans="1:22" ht="15.6" x14ac:dyDescent="0.3">
      <c r="A193" s="68"/>
      <c r="B193" s="60" t="s">
        <v>74</v>
      </c>
      <c r="C193" s="69"/>
      <c r="D193" s="69"/>
      <c r="E193" s="69"/>
      <c r="F193" s="69"/>
      <c r="G193" s="70"/>
      <c r="H193" s="70"/>
      <c r="I193" s="70"/>
      <c r="J193" s="70"/>
      <c r="K193" s="70"/>
      <c r="L193" s="70"/>
      <c r="M193" s="70"/>
      <c r="N193" s="70"/>
      <c r="O193" s="70"/>
      <c r="P193" s="70"/>
      <c r="Q193" s="70"/>
      <c r="R193" s="71">
        <v>39021</v>
      </c>
      <c r="S193" s="4"/>
      <c r="T193" s="4"/>
      <c r="U193" s="4"/>
      <c r="V193" s="5"/>
    </row>
    <row r="194" spans="1:22" ht="15.6" x14ac:dyDescent="0.3">
      <c r="A194" s="72"/>
      <c r="B194" s="73"/>
      <c r="C194" s="74"/>
      <c r="D194" s="74"/>
      <c r="E194" s="74"/>
      <c r="F194" s="74"/>
      <c r="G194" s="75"/>
      <c r="H194" s="75"/>
      <c r="I194" s="75"/>
      <c r="J194" s="75"/>
      <c r="K194" s="75"/>
      <c r="L194" s="75"/>
      <c r="M194" s="75"/>
      <c r="N194" s="75"/>
      <c r="O194" s="75"/>
      <c r="P194" s="75"/>
      <c r="Q194" s="75"/>
      <c r="R194" s="75"/>
      <c r="S194" s="8"/>
      <c r="T194" s="8"/>
      <c r="U194" s="8"/>
      <c r="V194" s="5"/>
    </row>
    <row r="195" spans="1:22" ht="15.6" x14ac:dyDescent="0.3">
      <c r="A195" s="76"/>
      <c r="B195" s="77" t="s">
        <v>75</v>
      </c>
      <c r="C195" s="78"/>
      <c r="D195" s="78"/>
      <c r="E195" s="78"/>
      <c r="F195" s="78"/>
      <c r="G195" s="64"/>
      <c r="H195" s="64"/>
      <c r="I195" s="64"/>
      <c r="J195" s="64"/>
      <c r="K195" s="64"/>
      <c r="L195" s="64"/>
      <c r="M195" s="64"/>
      <c r="N195" s="64"/>
      <c r="O195" s="64"/>
      <c r="P195" s="64"/>
      <c r="Q195" s="64"/>
      <c r="R195" s="79">
        <v>5.8209999999999998E-2</v>
      </c>
      <c r="S195" s="25"/>
      <c r="T195" s="25"/>
      <c r="U195" s="25"/>
      <c r="V195" s="5"/>
    </row>
    <row r="196" spans="1:22" ht="15.6" x14ac:dyDescent="0.3">
      <c r="A196" s="76"/>
      <c r="B196" s="77" t="s">
        <v>164</v>
      </c>
      <c r="C196" s="78"/>
      <c r="D196" s="78"/>
      <c r="E196" s="78"/>
      <c r="F196" s="78"/>
      <c r="G196" s="64"/>
      <c r="H196" s="64"/>
      <c r="I196" s="64"/>
      <c r="J196" s="64"/>
      <c r="K196" s="64"/>
      <c r="L196" s="64"/>
      <c r="M196" s="64"/>
      <c r="N196" s="64"/>
      <c r="O196" s="64"/>
      <c r="P196" s="64"/>
      <c r="Q196" s="64"/>
      <c r="R196" s="39">
        <f>'Oct 05'!R193</f>
        <v>4.8438496428571419E-2</v>
      </c>
      <c r="S196" s="25"/>
      <c r="T196" s="25"/>
      <c r="U196" s="25"/>
      <c r="V196" s="5"/>
    </row>
    <row r="197" spans="1:22" ht="15.6" x14ac:dyDescent="0.3">
      <c r="A197" s="76"/>
      <c r="B197" s="77" t="s">
        <v>76</v>
      </c>
      <c r="C197" s="78"/>
      <c r="D197" s="78"/>
      <c r="E197" s="78"/>
      <c r="F197" s="78"/>
      <c r="G197" s="64"/>
      <c r="H197" s="64"/>
      <c r="I197" s="64"/>
      <c r="J197" s="64"/>
      <c r="K197" s="64"/>
      <c r="L197" s="64"/>
      <c r="M197" s="64"/>
      <c r="N197" s="64"/>
      <c r="O197" s="64"/>
      <c r="P197" s="64"/>
      <c r="Q197" s="64"/>
      <c r="R197" s="79">
        <f>R195-R196</f>
        <v>9.7715035714285789E-3</v>
      </c>
      <c r="S197" s="25"/>
      <c r="T197" s="25"/>
      <c r="U197" s="25"/>
      <c r="V197" s="5"/>
    </row>
    <row r="198" spans="1:22" ht="15.6" x14ac:dyDescent="0.3">
      <c r="A198" s="76"/>
      <c r="B198" s="77" t="s">
        <v>77</v>
      </c>
      <c r="C198" s="78"/>
      <c r="D198" s="78"/>
      <c r="E198" s="78"/>
      <c r="F198" s="78"/>
      <c r="G198" s="64"/>
      <c r="H198" s="64"/>
      <c r="I198" s="64"/>
      <c r="J198" s="64"/>
      <c r="K198" s="64"/>
      <c r="L198" s="64"/>
      <c r="M198" s="64"/>
      <c r="N198" s="64"/>
      <c r="O198" s="64"/>
      <c r="P198" s="64"/>
      <c r="Q198" s="64"/>
      <c r="R198" s="79">
        <v>5.8369999999999998E-2</v>
      </c>
      <c r="S198" s="25"/>
      <c r="T198" s="25"/>
      <c r="U198" s="25"/>
      <c r="V198" s="5"/>
    </row>
    <row r="199" spans="1:22" ht="15.6" x14ac:dyDescent="0.3">
      <c r="A199" s="76"/>
      <c r="B199" s="77" t="s">
        <v>257</v>
      </c>
      <c r="C199" s="78"/>
      <c r="D199" s="78"/>
      <c r="E199" s="78"/>
      <c r="F199" s="78"/>
      <c r="G199" s="64"/>
      <c r="H199" s="64"/>
      <c r="I199" s="64"/>
      <c r="J199" s="64"/>
      <c r="K199" s="64"/>
      <c r="L199" s="64"/>
      <c r="M199" s="64"/>
      <c r="N199" s="64"/>
      <c r="O199" s="64"/>
      <c r="P199" s="64"/>
      <c r="Q199" s="64"/>
      <c r="R199" s="79">
        <f>+T41</f>
        <v>5.1897097273544274E-2</v>
      </c>
      <c r="S199" s="25"/>
      <c r="T199" s="25"/>
      <c r="U199" s="25"/>
      <c r="V199" s="5"/>
    </row>
    <row r="200" spans="1:22" ht="15.6" x14ac:dyDescent="0.3">
      <c r="A200" s="76"/>
      <c r="B200" s="77" t="s">
        <v>78</v>
      </c>
      <c r="C200" s="78"/>
      <c r="D200" s="78"/>
      <c r="E200" s="78"/>
      <c r="F200" s="78"/>
      <c r="G200" s="64"/>
      <c r="H200" s="64"/>
      <c r="I200" s="64"/>
      <c r="J200" s="64"/>
      <c r="K200" s="64"/>
      <c r="L200" s="64"/>
      <c r="M200" s="64"/>
      <c r="N200" s="64"/>
      <c r="O200" s="64"/>
      <c r="P200" s="64"/>
      <c r="Q200" s="64"/>
      <c r="R200" s="79">
        <f>R198-R199</f>
        <v>6.4729027264557246E-3</v>
      </c>
      <c r="S200" s="25"/>
      <c r="T200" s="25"/>
      <c r="U200" s="25"/>
      <c r="V200" s="5"/>
    </row>
    <row r="201" spans="1:22" ht="15.6" x14ac:dyDescent="0.3">
      <c r="A201" s="76"/>
      <c r="B201" s="77" t="s">
        <v>268</v>
      </c>
      <c r="C201" s="78"/>
      <c r="D201" s="78"/>
      <c r="E201" s="78"/>
      <c r="F201" s="78"/>
      <c r="G201" s="64"/>
      <c r="H201" s="64"/>
      <c r="I201" s="64"/>
      <c r="J201" s="64"/>
      <c r="K201" s="64"/>
      <c r="L201" s="64"/>
      <c r="M201" s="64"/>
      <c r="N201" s="64"/>
      <c r="O201" s="64"/>
      <c r="P201" s="64"/>
      <c r="Q201" s="64"/>
      <c r="R201" s="79">
        <f>+T96/L69</f>
        <v>1.603259871221669E-2</v>
      </c>
      <c r="S201" s="25"/>
      <c r="T201" s="25"/>
      <c r="U201" s="25"/>
      <c r="V201" s="5"/>
    </row>
    <row r="202" spans="1:22" ht="15.6" x14ac:dyDescent="0.3">
      <c r="A202" s="76"/>
      <c r="B202" s="77" t="s">
        <v>249</v>
      </c>
      <c r="C202" s="78"/>
      <c r="D202" s="78"/>
      <c r="E202" s="78"/>
      <c r="F202" s="78"/>
      <c r="G202" s="64"/>
      <c r="H202" s="64"/>
      <c r="I202" s="64"/>
      <c r="J202" s="64"/>
      <c r="K202" s="64"/>
      <c r="L202" s="64"/>
      <c r="M202" s="64"/>
      <c r="N202" s="64"/>
      <c r="O202" s="64"/>
      <c r="P202" s="64"/>
      <c r="Q202" s="64"/>
      <c r="R202" s="132">
        <v>51622</v>
      </c>
      <c r="S202" s="25"/>
      <c r="T202" s="25"/>
      <c r="U202" s="25"/>
      <c r="V202" s="5"/>
    </row>
    <row r="203" spans="1:22" ht="15.6" x14ac:dyDescent="0.3">
      <c r="A203" s="76"/>
      <c r="B203" s="77" t="s">
        <v>250</v>
      </c>
      <c r="C203" s="78"/>
      <c r="D203" s="78"/>
      <c r="E203" s="78"/>
      <c r="F203" s="78"/>
      <c r="G203" s="64"/>
      <c r="H203" s="64"/>
      <c r="I203" s="64"/>
      <c r="J203" s="64"/>
      <c r="K203" s="64"/>
      <c r="L203" s="64"/>
      <c r="M203" s="64"/>
      <c r="N203" s="64"/>
      <c r="O203" s="64"/>
      <c r="P203" s="64"/>
      <c r="Q203" s="64"/>
      <c r="R203" s="132">
        <v>51622</v>
      </c>
      <c r="S203" s="25"/>
      <c r="T203" s="25"/>
      <c r="U203" s="25"/>
      <c r="V203" s="5"/>
    </row>
    <row r="204" spans="1:22" ht="15.6" x14ac:dyDescent="0.3">
      <c r="A204" s="76"/>
      <c r="B204" s="77" t="s">
        <v>251</v>
      </c>
      <c r="C204" s="78"/>
      <c r="D204" s="78"/>
      <c r="E204" s="78"/>
      <c r="F204" s="78"/>
      <c r="G204" s="64"/>
      <c r="H204" s="64"/>
      <c r="I204" s="64"/>
      <c r="J204" s="64"/>
      <c r="K204" s="64"/>
      <c r="L204" s="64"/>
      <c r="M204" s="64"/>
      <c r="N204" s="64"/>
      <c r="O204" s="64"/>
      <c r="P204" s="64"/>
      <c r="Q204" s="64"/>
      <c r="R204" s="132">
        <v>51622</v>
      </c>
      <c r="S204" s="25"/>
      <c r="T204" s="25"/>
      <c r="U204" s="25"/>
      <c r="V204" s="5"/>
    </row>
    <row r="205" spans="1:22" ht="15.6" x14ac:dyDescent="0.3">
      <c r="A205" s="76"/>
      <c r="B205" s="77" t="s">
        <v>79</v>
      </c>
      <c r="C205" s="78"/>
      <c r="D205" s="78"/>
      <c r="E205" s="78"/>
      <c r="F205" s="78"/>
      <c r="G205" s="64"/>
      <c r="H205" s="64"/>
      <c r="I205" s="64"/>
      <c r="J205" s="64"/>
      <c r="K205" s="64"/>
      <c r="L205" s="64"/>
      <c r="M205" s="64"/>
      <c r="N205" s="64"/>
      <c r="O205" s="64"/>
      <c r="P205" s="64"/>
      <c r="Q205" s="64"/>
      <c r="R205" s="136">
        <v>20.95</v>
      </c>
      <c r="S205" s="25" t="s">
        <v>119</v>
      </c>
      <c r="T205" s="25"/>
      <c r="U205" s="25"/>
      <c r="V205" s="5"/>
    </row>
    <row r="206" spans="1:22" ht="15.6" x14ac:dyDescent="0.3">
      <c r="A206" s="76"/>
      <c r="B206" s="77" t="s">
        <v>80</v>
      </c>
      <c r="C206" s="78"/>
      <c r="D206" s="78"/>
      <c r="E206" s="78"/>
      <c r="F206" s="78"/>
      <c r="G206" s="64"/>
      <c r="H206" s="64"/>
      <c r="I206" s="64"/>
      <c r="J206" s="64"/>
      <c r="K206" s="64"/>
      <c r="L206" s="64"/>
      <c r="M206" s="64"/>
      <c r="N206" s="64"/>
      <c r="O206" s="64"/>
      <c r="P206" s="64"/>
      <c r="Q206" s="64"/>
      <c r="R206" s="136">
        <v>19.829999999999998</v>
      </c>
      <c r="S206" s="25" t="s">
        <v>119</v>
      </c>
      <c r="T206" s="25"/>
      <c r="U206" s="25"/>
      <c r="V206" s="5"/>
    </row>
    <row r="207" spans="1:22" ht="15.6" x14ac:dyDescent="0.3">
      <c r="A207" s="76"/>
      <c r="B207" s="77" t="s">
        <v>81</v>
      </c>
      <c r="C207" s="78"/>
      <c r="D207" s="78"/>
      <c r="E207" s="78"/>
      <c r="F207" s="78"/>
      <c r="G207" s="64"/>
      <c r="H207" s="64"/>
      <c r="I207" s="64"/>
      <c r="J207" s="64"/>
      <c r="K207" s="64"/>
      <c r="L207" s="64"/>
      <c r="M207" s="64"/>
      <c r="N207" s="64"/>
      <c r="O207" s="64"/>
      <c r="P207" s="64"/>
      <c r="Q207" s="64"/>
      <c r="R207" s="79">
        <v>3.1800000000000002E-2</v>
      </c>
      <c r="S207" s="25"/>
      <c r="T207" s="25"/>
      <c r="U207" s="25"/>
      <c r="V207" s="5"/>
    </row>
    <row r="208" spans="1:22" ht="15.6" x14ac:dyDescent="0.3">
      <c r="A208" s="76"/>
      <c r="B208" s="77" t="s">
        <v>82</v>
      </c>
      <c r="C208" s="78"/>
      <c r="D208" s="78"/>
      <c r="E208" s="78"/>
      <c r="F208" s="78"/>
      <c r="G208" s="64"/>
      <c r="H208" s="64"/>
      <c r="I208" s="64"/>
      <c r="J208" s="64"/>
      <c r="K208" s="64"/>
      <c r="L208" s="64"/>
      <c r="M208" s="64"/>
      <c r="N208" s="64"/>
      <c r="O208" s="64"/>
      <c r="P208" s="64"/>
      <c r="Q208" s="64"/>
      <c r="R208" s="79">
        <v>0.1239</v>
      </c>
      <c r="S208" s="25"/>
      <c r="T208" s="25"/>
      <c r="U208" s="25"/>
      <c r="V208" s="5"/>
    </row>
    <row r="209" spans="1:22" ht="15.6" x14ac:dyDescent="0.3">
      <c r="A209" s="76"/>
      <c r="B209" s="77"/>
      <c r="C209" s="77"/>
      <c r="D209" s="77"/>
      <c r="E209" s="77"/>
      <c r="F209" s="77"/>
      <c r="G209" s="25"/>
      <c r="H209" s="25"/>
      <c r="I209" s="25"/>
      <c r="J209" s="25"/>
      <c r="K209" s="25"/>
      <c r="L209" s="25"/>
      <c r="M209" s="25"/>
      <c r="N209" s="25"/>
      <c r="O209" s="25"/>
      <c r="P209" s="25"/>
      <c r="Q209" s="25"/>
      <c r="R209" s="61"/>
      <c r="S209" s="25"/>
      <c r="T209" s="80"/>
      <c r="U209" s="25"/>
      <c r="V209" s="5"/>
    </row>
    <row r="210" spans="1:22" ht="15.6" x14ac:dyDescent="0.3">
      <c r="A210" s="81"/>
      <c r="B210" s="14" t="s">
        <v>83</v>
      </c>
      <c r="C210" s="82"/>
      <c r="D210" s="82"/>
      <c r="E210" s="82"/>
      <c r="F210" s="83"/>
      <c r="G210" s="82"/>
      <c r="H210" s="17"/>
      <c r="I210" s="17"/>
      <c r="J210" s="17"/>
      <c r="K210" s="17"/>
      <c r="L210" s="17"/>
      <c r="M210" s="17"/>
      <c r="N210" s="17"/>
      <c r="O210" s="17"/>
      <c r="P210" s="17"/>
      <c r="Q210" s="17" t="s">
        <v>108</v>
      </c>
      <c r="R210" s="84" t="s">
        <v>115</v>
      </c>
      <c r="S210" s="8"/>
      <c r="T210" s="8"/>
      <c r="U210" s="8"/>
      <c r="V210" s="5"/>
    </row>
    <row r="211" spans="1:22" ht="15.6" x14ac:dyDescent="0.3">
      <c r="A211" s="85"/>
      <c r="B211" s="77" t="s">
        <v>84</v>
      </c>
      <c r="C211" s="54"/>
      <c r="D211" s="54"/>
      <c r="E211" s="54"/>
      <c r="F211" s="25"/>
      <c r="G211" s="25"/>
      <c r="H211" s="30"/>
      <c r="I211" s="30"/>
      <c r="J211" s="30"/>
      <c r="K211" s="30"/>
      <c r="L211" s="30"/>
      <c r="M211" s="30"/>
      <c r="N211" s="30"/>
      <c r="O211" s="30"/>
      <c r="P211" s="30"/>
      <c r="Q211" s="30">
        <v>0</v>
      </c>
      <c r="R211" s="86">
        <v>0</v>
      </c>
      <c r="S211" s="25"/>
      <c r="T211" s="80"/>
      <c r="U211" s="87"/>
      <c r="V211" s="5"/>
    </row>
    <row r="212" spans="1:22" ht="15.6" x14ac:dyDescent="0.3">
      <c r="A212" s="85"/>
      <c r="B212" s="77" t="s">
        <v>156</v>
      </c>
      <c r="C212" s="54"/>
      <c r="D212" s="54"/>
      <c r="E212" s="54"/>
      <c r="F212" s="25"/>
      <c r="G212" s="25"/>
      <c r="H212" s="30"/>
      <c r="I212" s="30"/>
      <c r="J212" s="30"/>
      <c r="K212" s="30"/>
      <c r="L212" s="30"/>
      <c r="M212" s="30"/>
      <c r="N212" s="30"/>
      <c r="O212" s="30"/>
      <c r="P212" s="30"/>
      <c r="Q212" s="156">
        <f>+P251</f>
        <v>20</v>
      </c>
      <c r="R212" s="86">
        <f>+R251</f>
        <v>2698</v>
      </c>
      <c r="S212" s="25"/>
      <c r="T212" s="80"/>
      <c r="U212" s="87"/>
      <c r="V212" s="5"/>
    </row>
    <row r="213" spans="1:22" ht="15.6" x14ac:dyDescent="0.3">
      <c r="A213" s="85"/>
      <c r="B213" s="77" t="s">
        <v>85</v>
      </c>
      <c r="C213" s="54"/>
      <c r="D213" s="54"/>
      <c r="E213" s="54"/>
      <c r="F213" s="25"/>
      <c r="G213" s="25"/>
      <c r="H213" s="30"/>
      <c r="I213" s="30"/>
      <c r="J213" s="30"/>
      <c r="K213" s="30"/>
      <c r="L213" s="30"/>
      <c r="M213" s="30"/>
      <c r="N213" s="30"/>
      <c r="O213" s="30"/>
      <c r="P213" s="30"/>
      <c r="Q213" s="30">
        <v>0</v>
      </c>
      <c r="R213" s="86">
        <v>0</v>
      </c>
      <c r="S213" s="25"/>
      <c r="T213" s="80"/>
      <c r="U213" s="87"/>
      <c r="V213" s="5"/>
    </row>
    <row r="214" spans="1:22" ht="15.6" x14ac:dyDescent="0.3">
      <c r="A214" s="85"/>
      <c r="B214" s="123" t="s">
        <v>86</v>
      </c>
      <c r="C214" s="54"/>
      <c r="D214" s="54"/>
      <c r="E214" s="54"/>
      <c r="F214" s="25"/>
      <c r="G214" s="25"/>
      <c r="H214" s="25"/>
      <c r="I214" s="25"/>
      <c r="J214" s="25"/>
      <c r="K214" s="25"/>
      <c r="L214" s="25"/>
      <c r="M214" s="25"/>
      <c r="N214" s="25"/>
      <c r="O214" s="25"/>
      <c r="P214" s="25"/>
      <c r="Q214" s="25"/>
      <c r="R214" s="86">
        <v>0</v>
      </c>
      <c r="S214" s="25"/>
      <c r="T214" s="80"/>
      <c r="U214" s="87"/>
      <c r="V214" s="5"/>
    </row>
    <row r="215" spans="1:22" ht="15.6" x14ac:dyDescent="0.3">
      <c r="A215" s="85"/>
      <c r="B215" s="123" t="s">
        <v>87</v>
      </c>
      <c r="C215" s="54"/>
      <c r="D215" s="54"/>
      <c r="E215" s="54"/>
      <c r="F215" s="25"/>
      <c r="G215" s="25"/>
      <c r="H215" s="25"/>
      <c r="I215" s="25"/>
      <c r="J215" s="25"/>
      <c r="K215" s="25"/>
      <c r="L215" s="25"/>
      <c r="M215" s="25"/>
      <c r="N215" s="25"/>
      <c r="O215" s="25"/>
      <c r="P215" s="25"/>
      <c r="Q215" s="25"/>
      <c r="R215" s="62" t="s">
        <v>116</v>
      </c>
      <c r="S215" s="25"/>
      <c r="T215" s="80"/>
      <c r="U215" s="87"/>
      <c r="V215" s="5"/>
    </row>
    <row r="216" spans="1:22" ht="15.6" x14ac:dyDescent="0.3">
      <c r="A216" s="88"/>
      <c r="B216" s="123" t="s">
        <v>88</v>
      </c>
      <c r="C216" s="77"/>
      <c r="D216" s="77"/>
      <c r="E216" s="77"/>
      <c r="F216" s="77"/>
      <c r="G216" s="25"/>
      <c r="H216" s="25"/>
      <c r="I216" s="25"/>
      <c r="J216" s="25"/>
      <c r="K216" s="25"/>
      <c r="L216" s="25"/>
      <c r="M216" s="25"/>
      <c r="N216" s="25"/>
      <c r="O216" s="25"/>
      <c r="P216" s="25"/>
      <c r="Q216" s="25"/>
      <c r="R216" s="86"/>
      <c r="S216" s="25"/>
      <c r="T216" s="80"/>
      <c r="U216" s="89"/>
      <c r="V216" s="5"/>
    </row>
    <row r="217" spans="1:22" ht="15.6" x14ac:dyDescent="0.3">
      <c r="A217" s="88"/>
      <c r="B217" s="134" t="s">
        <v>89</v>
      </c>
      <c r="C217" s="77"/>
      <c r="D217" s="77"/>
      <c r="E217" s="77"/>
      <c r="F217" s="77"/>
      <c r="G217" s="25"/>
      <c r="H217" s="25"/>
      <c r="I217" s="25"/>
      <c r="J217" s="25"/>
      <c r="K217" s="25"/>
      <c r="L217" s="25"/>
      <c r="M217" s="25"/>
      <c r="N217" s="25"/>
      <c r="O217" s="25"/>
      <c r="P217" s="25"/>
      <c r="Q217" s="30"/>
      <c r="R217" s="86">
        <f>T162</f>
        <v>1</v>
      </c>
      <c r="S217" s="25"/>
      <c r="T217" s="80"/>
      <c r="U217" s="89"/>
      <c r="V217" s="5"/>
    </row>
    <row r="218" spans="1:22" ht="15.6" x14ac:dyDescent="0.3">
      <c r="A218" s="85"/>
      <c r="B218" s="77" t="s">
        <v>90</v>
      </c>
      <c r="C218" s="54"/>
      <c r="D218" s="54"/>
      <c r="E218" s="54"/>
      <c r="F218" s="54"/>
      <c r="G218" s="25"/>
      <c r="H218" s="25"/>
      <c r="I218" s="25"/>
      <c r="J218" s="25"/>
      <c r="K218" s="25"/>
      <c r="L218" s="25"/>
      <c r="M218" s="25"/>
      <c r="N218" s="25"/>
      <c r="O218" s="25"/>
      <c r="P218" s="25"/>
      <c r="Q218" s="30"/>
      <c r="R218" s="86">
        <f>'July 06'!R218+R217</f>
        <v>1</v>
      </c>
      <c r="S218" s="25"/>
      <c r="T218" s="80"/>
      <c r="U218" s="89"/>
      <c r="V218" s="5"/>
    </row>
    <row r="219" spans="1:22" ht="15.6" x14ac:dyDescent="0.3">
      <c r="A219" s="88"/>
      <c r="B219" s="123" t="s">
        <v>288</v>
      </c>
      <c r="C219" s="77"/>
      <c r="D219" s="77"/>
      <c r="E219" s="77"/>
      <c r="F219" s="77"/>
      <c r="G219" s="25"/>
      <c r="H219" s="25"/>
      <c r="I219" s="25"/>
      <c r="J219" s="25"/>
      <c r="K219" s="25"/>
      <c r="L219" s="25"/>
      <c r="M219" s="25"/>
      <c r="N219" s="25"/>
      <c r="O219" s="25"/>
      <c r="P219" s="25"/>
      <c r="Q219" s="30"/>
      <c r="R219" s="86"/>
      <c r="S219" s="25"/>
      <c r="T219" s="80"/>
      <c r="U219" s="89"/>
      <c r="V219" s="5"/>
    </row>
    <row r="220" spans="1:22" ht="15.6" x14ac:dyDescent="0.3">
      <c r="A220" s="88"/>
      <c r="B220" s="77" t="s">
        <v>286</v>
      </c>
      <c r="C220" s="77"/>
      <c r="D220" s="77"/>
      <c r="E220" s="77"/>
      <c r="F220" s="77"/>
      <c r="G220" s="25"/>
      <c r="H220" s="25"/>
      <c r="I220" s="25"/>
      <c r="J220" s="25"/>
      <c r="K220" s="25"/>
      <c r="L220" s="25"/>
      <c r="M220" s="25"/>
      <c r="N220" s="25"/>
      <c r="O220" s="25"/>
      <c r="P220" s="25"/>
      <c r="Q220" s="30">
        <v>0</v>
      </c>
      <c r="R220" s="86">
        <v>0</v>
      </c>
      <c r="S220" s="25"/>
      <c r="T220" s="80"/>
      <c r="U220" s="89"/>
      <c r="V220" s="5"/>
    </row>
    <row r="221" spans="1:22" ht="15.6" x14ac:dyDescent="0.3">
      <c r="A221" s="85"/>
      <c r="B221" s="77" t="s">
        <v>92</v>
      </c>
      <c r="C221" s="90"/>
      <c r="D221" s="90"/>
      <c r="E221" s="90"/>
      <c r="F221" s="91"/>
      <c r="G221" s="25"/>
      <c r="H221" s="25"/>
      <c r="I221" s="25"/>
      <c r="J221" s="25"/>
      <c r="K221" s="25"/>
      <c r="L221" s="25"/>
      <c r="M221" s="25"/>
      <c r="N221" s="25"/>
      <c r="O221" s="25"/>
      <c r="P221" s="25"/>
      <c r="Q221" s="30"/>
      <c r="R221" s="62">
        <v>0</v>
      </c>
      <c r="S221" s="25"/>
      <c r="T221" s="80"/>
      <c r="U221" s="89"/>
      <c r="V221" s="5"/>
    </row>
    <row r="222" spans="1:22" ht="15.6" x14ac:dyDescent="0.3">
      <c r="A222" s="85"/>
      <c r="B222" s="77" t="s">
        <v>93</v>
      </c>
      <c r="C222" s="90"/>
      <c r="D222" s="90"/>
      <c r="E222" s="90"/>
      <c r="F222" s="91"/>
      <c r="G222" s="25"/>
      <c r="H222" s="25"/>
      <c r="I222" s="25"/>
      <c r="J222" s="25"/>
      <c r="K222" s="25"/>
      <c r="L222" s="25"/>
      <c r="M222" s="25"/>
      <c r="N222" s="25"/>
      <c r="O222" s="25"/>
      <c r="P222" s="25"/>
      <c r="Q222" s="30"/>
      <c r="R222" s="62">
        <v>0</v>
      </c>
      <c r="S222" s="25"/>
      <c r="T222" s="80"/>
      <c r="U222" s="89"/>
      <c r="V222" s="5"/>
    </row>
    <row r="223" spans="1:22" ht="15.6" x14ac:dyDescent="0.3">
      <c r="A223" s="85"/>
      <c r="B223" s="123" t="s">
        <v>258</v>
      </c>
      <c r="C223" s="90"/>
      <c r="D223" s="90"/>
      <c r="E223" s="90"/>
      <c r="F223" s="91"/>
      <c r="G223" s="25"/>
      <c r="H223" s="25"/>
      <c r="I223" s="25"/>
      <c r="J223" s="25"/>
      <c r="K223" s="25"/>
      <c r="L223" s="25"/>
      <c r="M223" s="25"/>
      <c r="N223" s="25"/>
      <c r="O223" s="25"/>
      <c r="P223" s="25"/>
      <c r="Q223" s="30"/>
      <c r="R223" s="92"/>
      <c r="S223" s="25"/>
      <c r="T223" s="80"/>
      <c r="U223" s="89"/>
      <c r="V223" s="5"/>
    </row>
    <row r="224" spans="1:22" ht="15.6" x14ac:dyDescent="0.3">
      <c r="A224" s="85"/>
      <c r="B224" s="77" t="s">
        <v>286</v>
      </c>
      <c r="C224" s="90"/>
      <c r="D224" s="90"/>
      <c r="E224" s="90"/>
      <c r="F224" s="91"/>
      <c r="G224" s="25"/>
      <c r="H224" s="25"/>
      <c r="I224" s="25"/>
      <c r="J224" s="25"/>
      <c r="K224" s="25"/>
      <c r="L224" s="25"/>
      <c r="M224" s="25"/>
      <c r="N224" s="25"/>
      <c r="O224" s="25"/>
      <c r="P224" s="25"/>
      <c r="Q224" s="30">
        <v>4</v>
      </c>
      <c r="R224" s="86">
        <v>262</v>
      </c>
      <c r="S224" s="25"/>
      <c r="T224" s="80"/>
      <c r="U224" s="89"/>
      <c r="V224" s="5"/>
    </row>
    <row r="225" spans="1:23" ht="15.6" x14ac:dyDescent="0.3">
      <c r="A225" s="85"/>
      <c r="B225" s="77" t="s">
        <v>259</v>
      </c>
      <c r="C225" s="90"/>
      <c r="D225" s="90"/>
      <c r="E225" s="90"/>
      <c r="F225" s="91"/>
      <c r="G225" s="25"/>
      <c r="H225" s="25"/>
      <c r="I225" s="25"/>
      <c r="J225" s="25"/>
      <c r="K225" s="25"/>
      <c r="L225" s="25"/>
      <c r="M225" s="25"/>
      <c r="N225" s="25"/>
      <c r="O225" s="25"/>
      <c r="P225" s="25"/>
      <c r="Q225" s="25"/>
      <c r="R225" s="62">
        <v>3.49</v>
      </c>
      <c r="S225" s="25"/>
      <c r="T225" s="80"/>
      <c r="U225" s="89"/>
      <c r="V225" s="5"/>
    </row>
    <row r="226" spans="1:23" ht="15.6" x14ac:dyDescent="0.3">
      <c r="A226" s="85"/>
      <c r="B226" s="77"/>
      <c r="C226" s="90"/>
      <c r="D226" s="90"/>
      <c r="E226" s="90"/>
      <c r="F226" s="91"/>
      <c r="G226" s="25"/>
      <c r="H226" s="25"/>
      <c r="I226" s="25"/>
      <c r="J226" s="25"/>
      <c r="K226" s="25"/>
      <c r="L226" s="25"/>
      <c r="M226" s="25"/>
      <c r="N226" s="25"/>
      <c r="O226" s="25"/>
      <c r="P226" s="25"/>
      <c r="Q226" s="25"/>
      <c r="R226" s="92"/>
      <c r="S226" s="25"/>
      <c r="T226" s="80"/>
      <c r="U226" s="89"/>
      <c r="V226" s="5"/>
    </row>
    <row r="227" spans="1:23" ht="17.399999999999999" x14ac:dyDescent="0.3">
      <c r="A227" s="85"/>
      <c r="B227" s="153" t="s">
        <v>208</v>
      </c>
      <c r="C227" s="90"/>
      <c r="D227" s="90"/>
      <c r="E227" s="90"/>
      <c r="F227" s="91"/>
      <c r="G227" s="25"/>
      <c r="H227" s="25"/>
      <c r="I227" s="25"/>
      <c r="J227" s="25"/>
      <c r="K227" s="25"/>
      <c r="L227" s="25"/>
      <c r="M227" s="25"/>
      <c r="N227" s="154" t="s">
        <v>207</v>
      </c>
      <c r="O227" s="25"/>
      <c r="P227" s="25"/>
      <c r="Q227" s="25"/>
      <c r="R227" s="92"/>
      <c r="S227" s="25"/>
      <c r="T227" s="80"/>
      <c r="U227" s="89"/>
      <c r="V227" s="5"/>
    </row>
    <row r="228" spans="1:23" ht="15.6" x14ac:dyDescent="0.3">
      <c r="A228" s="85"/>
      <c r="B228" s="77"/>
      <c r="C228" s="90"/>
      <c r="D228" s="90"/>
      <c r="E228" s="90"/>
      <c r="F228" s="91"/>
      <c r="G228" s="25"/>
      <c r="H228" s="25"/>
      <c r="I228" s="25"/>
      <c r="J228" s="25"/>
      <c r="K228" s="25"/>
      <c r="L228" s="25"/>
      <c r="M228" s="25"/>
      <c r="N228" s="25"/>
      <c r="O228" s="25"/>
      <c r="P228" s="25"/>
      <c r="Q228" s="25"/>
      <c r="R228" s="92"/>
      <c r="S228" s="25"/>
      <c r="T228" s="80"/>
      <c r="U228" s="89"/>
      <c r="V228" s="5"/>
    </row>
    <row r="229" spans="1:23" ht="15.6" x14ac:dyDescent="0.3">
      <c r="A229" s="6"/>
      <c r="B229" s="14" t="s">
        <v>177</v>
      </c>
      <c r="C229" s="82"/>
      <c r="D229" s="82"/>
      <c r="E229" s="82"/>
      <c r="F229" s="83"/>
      <c r="G229" s="82"/>
      <c r="H229" s="17"/>
      <c r="I229" s="17"/>
      <c r="J229" s="17"/>
      <c r="K229" s="17"/>
      <c r="L229" s="17"/>
      <c r="M229" s="17"/>
      <c r="N229" s="17"/>
      <c r="O229" s="17"/>
      <c r="P229" s="84" t="s">
        <v>108</v>
      </c>
      <c r="Q229" s="17" t="s">
        <v>109</v>
      </c>
      <c r="R229" s="84" t="s">
        <v>117</v>
      </c>
      <c r="S229" s="17" t="s">
        <v>109</v>
      </c>
      <c r="T229" s="8"/>
      <c r="U229" s="93"/>
      <c r="V229" s="5"/>
    </row>
    <row r="230" spans="1:23" ht="15.6" x14ac:dyDescent="0.3">
      <c r="A230" s="24"/>
      <c r="B230" s="54" t="s">
        <v>94</v>
      </c>
      <c r="C230" s="94"/>
      <c r="D230" s="94"/>
      <c r="E230" s="94"/>
      <c r="F230" s="25"/>
      <c r="G230" s="94"/>
      <c r="H230" s="94"/>
      <c r="I230" s="94"/>
      <c r="J230" s="94"/>
      <c r="K230" s="94"/>
      <c r="L230" s="94"/>
      <c r="M230" s="94"/>
      <c r="N230" s="94"/>
      <c r="O230" s="94"/>
      <c r="P230" s="54">
        <v>5462</v>
      </c>
      <c r="Q230" s="95">
        <f t="shared" ref="Q230:Q237" si="1">P230/$P$239</f>
        <v>0.99435645366830516</v>
      </c>
      <c r="R230" s="53">
        <v>605242</v>
      </c>
      <c r="S230" s="135">
        <f t="shared" ref="S230:S237" si="2">R230/$R$239</f>
        <v>0.99309867289744158</v>
      </c>
      <c r="T230" s="80"/>
      <c r="U230" s="89"/>
      <c r="V230" s="5"/>
    </row>
    <row r="231" spans="1:23" ht="15.6" x14ac:dyDescent="0.3">
      <c r="A231" s="24"/>
      <c r="B231" s="54" t="s">
        <v>95</v>
      </c>
      <c r="C231" s="94"/>
      <c r="D231" s="94"/>
      <c r="E231" s="94"/>
      <c r="F231" s="25"/>
      <c r="G231" s="95"/>
      <c r="H231" s="94"/>
      <c r="I231" s="94"/>
      <c r="J231" s="94"/>
      <c r="K231" s="94"/>
      <c r="L231" s="94"/>
      <c r="M231" s="94"/>
      <c r="N231" s="94"/>
      <c r="O231" s="94"/>
      <c r="P231" s="54">
        <v>22</v>
      </c>
      <c r="Q231" s="95">
        <f t="shared" si="1"/>
        <v>4.0050973966866922E-3</v>
      </c>
      <c r="R231" s="53">
        <v>2894</v>
      </c>
      <c r="S231" s="135">
        <f t="shared" si="2"/>
        <v>4.7485593520694138E-3</v>
      </c>
      <c r="T231" s="80"/>
      <c r="U231" s="89"/>
      <c r="V231" s="5"/>
      <c r="W231" s="110"/>
    </row>
    <row r="232" spans="1:23" ht="15.6" x14ac:dyDescent="0.3">
      <c r="A232" s="24"/>
      <c r="B232" s="54" t="s">
        <v>96</v>
      </c>
      <c r="C232" s="94"/>
      <c r="D232" s="94"/>
      <c r="E232" s="94"/>
      <c r="F232" s="25"/>
      <c r="G232" s="95"/>
      <c r="H232" s="94"/>
      <c r="I232" s="94"/>
      <c r="J232" s="94"/>
      <c r="K232" s="94"/>
      <c r="L232" s="94"/>
      <c r="M232" s="94"/>
      <c r="N232" s="94"/>
      <c r="O232" s="94"/>
      <c r="P232" s="54">
        <v>4</v>
      </c>
      <c r="Q232" s="95">
        <f t="shared" si="1"/>
        <v>7.2819952667030764E-4</v>
      </c>
      <c r="R232" s="53">
        <v>453</v>
      </c>
      <c r="S232" s="135">
        <f t="shared" si="2"/>
        <v>7.4329557238681562E-4</v>
      </c>
      <c r="T232" s="80"/>
      <c r="U232" s="89"/>
      <c r="V232" s="5"/>
    </row>
    <row r="233" spans="1:23" ht="15.6" x14ac:dyDescent="0.3">
      <c r="A233" s="24"/>
      <c r="B233" s="54" t="s">
        <v>171</v>
      </c>
      <c r="C233" s="94"/>
      <c r="D233" s="94"/>
      <c r="E233" s="94"/>
      <c r="F233" s="25"/>
      <c r="G233" s="95"/>
      <c r="H233" s="94"/>
      <c r="I233" s="94"/>
      <c r="J233" s="94"/>
      <c r="K233" s="94"/>
      <c r="L233" s="94"/>
      <c r="M233" s="94"/>
      <c r="N233" s="94"/>
      <c r="O233" s="94"/>
      <c r="P233" s="54">
        <v>1</v>
      </c>
      <c r="Q233" s="95">
        <f t="shared" si="1"/>
        <v>1.8204988166757691E-4</v>
      </c>
      <c r="R233" s="53">
        <v>491</v>
      </c>
      <c r="S233" s="135">
        <f t="shared" si="2"/>
        <v>8.0564707735524606E-4</v>
      </c>
      <c r="T233" s="80"/>
      <c r="U233" s="89"/>
      <c r="V233" s="5"/>
      <c r="W233" s="110"/>
    </row>
    <row r="234" spans="1:23" ht="15.6" x14ac:dyDescent="0.3">
      <c r="A234" s="24"/>
      <c r="B234" s="54" t="s">
        <v>172</v>
      </c>
      <c r="C234" s="94"/>
      <c r="D234" s="94"/>
      <c r="E234" s="94"/>
      <c r="F234" s="25"/>
      <c r="G234" s="95"/>
      <c r="H234" s="94"/>
      <c r="I234" s="94"/>
      <c r="J234" s="94"/>
      <c r="K234" s="94"/>
      <c r="L234" s="94"/>
      <c r="M234" s="94"/>
      <c r="N234" s="94"/>
      <c r="O234" s="94"/>
      <c r="P234" s="54">
        <v>1</v>
      </c>
      <c r="Q234" s="95">
        <f t="shared" si="1"/>
        <v>1.8204988166757691E-4</v>
      </c>
      <c r="R234" s="53">
        <v>60</v>
      </c>
      <c r="S234" s="135">
        <f t="shared" si="2"/>
        <v>9.8449744686995451E-5</v>
      </c>
      <c r="T234" s="80"/>
      <c r="U234" s="89"/>
      <c r="V234" s="5"/>
    </row>
    <row r="235" spans="1:23" ht="15.6" x14ac:dyDescent="0.3">
      <c r="A235" s="24"/>
      <c r="B235" s="54" t="s">
        <v>173</v>
      </c>
      <c r="C235" s="94"/>
      <c r="D235" s="94"/>
      <c r="E235" s="94"/>
      <c r="F235" s="25"/>
      <c r="G235" s="95"/>
      <c r="H235" s="94"/>
      <c r="I235" s="94"/>
      <c r="J235" s="94"/>
      <c r="K235" s="94"/>
      <c r="L235" s="94"/>
      <c r="M235" s="94"/>
      <c r="N235" s="94"/>
      <c r="O235" s="94"/>
      <c r="P235" s="54">
        <v>0</v>
      </c>
      <c r="Q235" s="95">
        <f t="shared" si="1"/>
        <v>0</v>
      </c>
      <c r="R235" s="53">
        <v>0</v>
      </c>
      <c r="S235" s="135">
        <f t="shared" si="2"/>
        <v>0</v>
      </c>
      <c r="T235" s="80"/>
      <c r="U235" s="89"/>
      <c r="V235" s="5"/>
      <c r="W235" s="110"/>
    </row>
    <row r="236" spans="1:23" ht="15.6" x14ac:dyDescent="0.3">
      <c r="A236" s="24"/>
      <c r="B236" s="54" t="s">
        <v>174</v>
      </c>
      <c r="C236" s="94"/>
      <c r="D236" s="94"/>
      <c r="E236" s="94"/>
      <c r="F236" s="25"/>
      <c r="G236" s="95"/>
      <c r="H236" s="94"/>
      <c r="I236" s="94"/>
      <c r="J236" s="94"/>
      <c r="K236" s="94"/>
      <c r="L236" s="94"/>
      <c r="M236" s="94"/>
      <c r="N236" s="94"/>
      <c r="O236" s="94"/>
      <c r="P236" s="54">
        <v>2</v>
      </c>
      <c r="Q236" s="95">
        <f t="shared" si="1"/>
        <v>3.6409976333515382E-4</v>
      </c>
      <c r="R236" s="53">
        <v>239</v>
      </c>
      <c r="S236" s="135">
        <f t="shared" si="2"/>
        <v>3.9215814966986519E-4</v>
      </c>
      <c r="T236" s="80"/>
      <c r="U236" s="89"/>
      <c r="V236" s="5"/>
    </row>
    <row r="237" spans="1:23" ht="15.6" x14ac:dyDescent="0.3">
      <c r="A237" s="24"/>
      <c r="B237" s="54" t="s">
        <v>175</v>
      </c>
      <c r="C237" s="94"/>
      <c r="D237" s="94"/>
      <c r="E237" s="94"/>
      <c r="F237" s="25"/>
      <c r="G237" s="95"/>
      <c r="H237" s="94"/>
      <c r="I237" s="94"/>
      <c r="J237" s="94"/>
      <c r="K237" s="94"/>
      <c r="L237" s="94"/>
      <c r="M237" s="94"/>
      <c r="N237" s="94"/>
      <c r="O237" s="94"/>
      <c r="P237" s="54">
        <v>1</v>
      </c>
      <c r="Q237" s="95">
        <f t="shared" si="1"/>
        <v>1.8204988166757691E-4</v>
      </c>
      <c r="R237" s="53">
        <v>69</v>
      </c>
      <c r="S237" s="135">
        <f t="shared" si="2"/>
        <v>1.1321720639004477E-4</v>
      </c>
      <c r="T237" s="80"/>
      <c r="U237" s="89"/>
      <c r="V237" s="5"/>
      <c r="W237" s="110"/>
    </row>
    <row r="238" spans="1:23" ht="15.6" x14ac:dyDescent="0.3">
      <c r="A238" s="24"/>
      <c r="B238" s="54"/>
      <c r="C238" s="94"/>
      <c r="D238" s="94"/>
      <c r="E238" s="94"/>
      <c r="F238" s="25"/>
      <c r="G238" s="95"/>
      <c r="H238" s="94"/>
      <c r="I238" s="94"/>
      <c r="J238" s="94"/>
      <c r="K238" s="94"/>
      <c r="L238" s="94"/>
      <c r="M238" s="94"/>
      <c r="N238" s="94"/>
      <c r="O238" s="94"/>
      <c r="P238" s="54"/>
      <c r="Q238" s="95"/>
      <c r="R238" s="53"/>
      <c r="S238" s="135"/>
      <c r="T238" s="80"/>
      <c r="U238" s="89"/>
      <c r="V238" s="5"/>
    </row>
    <row r="239" spans="1:23" ht="15.6" x14ac:dyDescent="0.3">
      <c r="A239" s="24"/>
      <c r="B239" s="25"/>
      <c r="C239" s="25"/>
      <c r="D239" s="25"/>
      <c r="E239" s="25"/>
      <c r="F239" s="25"/>
      <c r="G239" s="25"/>
      <c r="H239" s="96"/>
      <c r="I239" s="96"/>
      <c r="J239" s="96"/>
      <c r="K239" s="96"/>
      <c r="L239" s="96"/>
      <c r="M239" s="96"/>
      <c r="N239" s="96"/>
      <c r="O239" s="96"/>
      <c r="P239" s="34">
        <f>SUM(P230:P238)</f>
        <v>5493</v>
      </c>
      <c r="Q239" s="135">
        <f>SUM(Q230:Q238)</f>
        <v>1</v>
      </c>
      <c r="R239" s="53">
        <f>SUM(R230:R238)</f>
        <v>609448</v>
      </c>
      <c r="S239" s="135">
        <f>SUM(S230:S238)</f>
        <v>0.99999999999999989</v>
      </c>
      <c r="T239" s="25"/>
      <c r="U239" s="25"/>
      <c r="V239" s="5"/>
    </row>
    <row r="240" spans="1:23" ht="15.6" x14ac:dyDescent="0.3">
      <c r="A240" s="24"/>
      <c r="B240" s="25"/>
      <c r="C240" s="25"/>
      <c r="D240" s="25"/>
      <c r="E240" s="25"/>
      <c r="F240" s="25"/>
      <c r="G240" s="25"/>
      <c r="H240" s="96"/>
      <c r="I240" s="96"/>
      <c r="J240" s="96"/>
      <c r="K240" s="96"/>
      <c r="L240" s="96"/>
      <c r="M240" s="96"/>
      <c r="N240" s="96"/>
      <c r="O240" s="96"/>
      <c r="P240" s="34"/>
      <c r="Q240" s="135"/>
      <c r="R240" s="53"/>
      <c r="S240" s="135"/>
      <c r="T240" s="25"/>
      <c r="U240" s="25"/>
      <c r="V240" s="5"/>
    </row>
    <row r="241" spans="1:22" ht="15.6" x14ac:dyDescent="0.3">
      <c r="A241" s="144"/>
      <c r="B241" s="14" t="s">
        <v>178</v>
      </c>
      <c r="C241" s="82"/>
      <c r="D241" s="82"/>
      <c r="E241" s="82"/>
      <c r="F241" s="83"/>
      <c r="G241" s="82"/>
      <c r="H241" s="17"/>
      <c r="I241" s="17"/>
      <c r="J241" s="17"/>
      <c r="K241" s="17"/>
      <c r="L241" s="17"/>
      <c r="M241" s="17"/>
      <c r="N241" s="17"/>
      <c r="O241" s="17"/>
      <c r="P241" s="84" t="s">
        <v>108</v>
      </c>
      <c r="Q241" s="17" t="s">
        <v>109</v>
      </c>
      <c r="R241" s="84" t="s">
        <v>117</v>
      </c>
      <c r="S241" s="17" t="s">
        <v>109</v>
      </c>
      <c r="T241" s="142"/>
      <c r="U241" s="143"/>
      <c r="V241" s="5"/>
    </row>
    <row r="242" spans="1:22" ht="15.6" x14ac:dyDescent="0.3">
      <c r="A242" s="24"/>
      <c r="B242" s="54" t="s">
        <v>94</v>
      </c>
      <c r="C242" s="94"/>
      <c r="D242" s="94"/>
      <c r="E242" s="94"/>
      <c r="F242" s="25"/>
      <c r="G242" s="94"/>
      <c r="H242" s="94"/>
      <c r="I242" s="94"/>
      <c r="J242" s="94"/>
      <c r="K242" s="94"/>
      <c r="L242" s="94"/>
      <c r="M242" s="94"/>
      <c r="N242" s="94"/>
      <c r="O242" s="94"/>
      <c r="P242" s="54">
        <v>8</v>
      </c>
      <c r="Q242" s="95">
        <f t="shared" ref="Q242:Q249" si="3">P242/$P$251</f>
        <v>0.4</v>
      </c>
      <c r="R242" s="53">
        <v>910</v>
      </c>
      <c r="S242" s="135">
        <f t="shared" ref="S242:S249" si="4">R242/$R$251</f>
        <v>0.33728687916975536</v>
      </c>
      <c r="T242" s="25"/>
      <c r="U242" s="25"/>
      <c r="V242" s="5"/>
    </row>
    <row r="243" spans="1:22" ht="15.6" x14ac:dyDescent="0.3">
      <c r="A243" s="24"/>
      <c r="B243" s="54" t="s">
        <v>95</v>
      </c>
      <c r="C243" s="94"/>
      <c r="D243" s="94"/>
      <c r="E243" s="94"/>
      <c r="F243" s="25"/>
      <c r="G243" s="95"/>
      <c r="H243" s="94"/>
      <c r="I243" s="94"/>
      <c r="J243" s="94"/>
      <c r="K243" s="94"/>
      <c r="L243" s="94"/>
      <c r="M243" s="94"/>
      <c r="N243" s="94"/>
      <c r="O243" s="94"/>
      <c r="P243" s="54">
        <v>1</v>
      </c>
      <c r="Q243" s="95">
        <f t="shared" si="3"/>
        <v>0.05</v>
      </c>
      <c r="R243" s="53">
        <v>184</v>
      </c>
      <c r="S243" s="135">
        <f t="shared" si="4"/>
        <v>6.8198665678280201E-2</v>
      </c>
      <c r="T243" s="25"/>
      <c r="U243" s="25"/>
      <c r="V243" s="5"/>
    </row>
    <row r="244" spans="1:22" ht="15.6" x14ac:dyDescent="0.3">
      <c r="A244" s="24"/>
      <c r="B244" s="54" t="s">
        <v>96</v>
      </c>
      <c r="C244" s="94"/>
      <c r="D244" s="94"/>
      <c r="E244" s="94"/>
      <c r="F244" s="25"/>
      <c r="G244" s="95"/>
      <c r="H244" s="94"/>
      <c r="I244" s="94"/>
      <c r="J244" s="94"/>
      <c r="K244" s="94"/>
      <c r="L244" s="94"/>
      <c r="M244" s="94"/>
      <c r="N244" s="94"/>
      <c r="O244" s="94"/>
      <c r="P244" s="54">
        <v>1</v>
      </c>
      <c r="Q244" s="95">
        <f t="shared" si="3"/>
        <v>0.05</v>
      </c>
      <c r="R244" s="53">
        <v>92</v>
      </c>
      <c r="S244" s="135">
        <f t="shared" si="4"/>
        <v>3.4099332839140101E-2</v>
      </c>
      <c r="T244" s="25"/>
      <c r="U244" s="25"/>
      <c r="V244" s="5"/>
    </row>
    <row r="245" spans="1:22" ht="15.6" x14ac:dyDescent="0.3">
      <c r="A245" s="24"/>
      <c r="B245" s="54" t="s">
        <v>171</v>
      </c>
      <c r="C245" s="94"/>
      <c r="D245" s="94"/>
      <c r="E245" s="94"/>
      <c r="F245" s="25"/>
      <c r="G245" s="95"/>
      <c r="H245" s="94"/>
      <c r="I245" s="94"/>
      <c r="J245" s="94"/>
      <c r="K245" s="94"/>
      <c r="L245" s="94"/>
      <c r="M245" s="94"/>
      <c r="N245" s="94"/>
      <c r="O245" s="94"/>
      <c r="P245" s="54">
        <v>0</v>
      </c>
      <c r="Q245" s="95">
        <f t="shared" si="3"/>
        <v>0</v>
      </c>
      <c r="R245" s="53">
        <v>0</v>
      </c>
      <c r="S245" s="135">
        <f t="shared" si="4"/>
        <v>0</v>
      </c>
      <c r="T245" s="25"/>
      <c r="U245" s="25"/>
      <c r="V245" s="5"/>
    </row>
    <row r="246" spans="1:22" ht="15.6" x14ac:dyDescent="0.3">
      <c r="A246" s="24"/>
      <c r="B246" s="54" t="s">
        <v>172</v>
      </c>
      <c r="C246" s="94"/>
      <c r="D246" s="94"/>
      <c r="E246" s="94"/>
      <c r="F246" s="25"/>
      <c r="G246" s="95"/>
      <c r="H246" s="94"/>
      <c r="I246" s="94"/>
      <c r="J246" s="94"/>
      <c r="K246" s="94"/>
      <c r="L246" s="94"/>
      <c r="M246" s="94"/>
      <c r="N246" s="94"/>
      <c r="O246" s="94"/>
      <c r="P246" s="54">
        <v>1</v>
      </c>
      <c r="Q246" s="95">
        <f t="shared" si="3"/>
        <v>0.05</v>
      </c>
      <c r="R246" s="53">
        <v>140</v>
      </c>
      <c r="S246" s="135">
        <f t="shared" si="4"/>
        <v>5.1890289103039292E-2</v>
      </c>
      <c r="T246" s="25"/>
      <c r="U246" s="25"/>
      <c r="V246" s="5"/>
    </row>
    <row r="247" spans="1:22" ht="15.6" x14ac:dyDescent="0.3">
      <c r="A247" s="24"/>
      <c r="B247" s="54" t="s">
        <v>173</v>
      </c>
      <c r="C247" s="94"/>
      <c r="D247" s="94"/>
      <c r="E247" s="94"/>
      <c r="F247" s="25"/>
      <c r="G247" s="95"/>
      <c r="H247" s="94"/>
      <c r="I247" s="94"/>
      <c r="J247" s="94"/>
      <c r="K247" s="94"/>
      <c r="L247" s="94"/>
      <c r="M247" s="94"/>
      <c r="N247" s="94"/>
      <c r="O247" s="94"/>
      <c r="P247" s="54">
        <v>0</v>
      </c>
      <c r="Q247" s="95">
        <f t="shared" si="3"/>
        <v>0</v>
      </c>
      <c r="R247" s="53">
        <v>0</v>
      </c>
      <c r="S247" s="135">
        <f t="shared" si="4"/>
        <v>0</v>
      </c>
      <c r="T247" s="25"/>
      <c r="U247" s="25"/>
      <c r="V247" s="5"/>
    </row>
    <row r="248" spans="1:22" ht="15.6" x14ac:dyDescent="0.3">
      <c r="A248" s="24"/>
      <c r="B248" s="54" t="s">
        <v>174</v>
      </c>
      <c r="C248" s="94"/>
      <c r="D248" s="94"/>
      <c r="E248" s="94"/>
      <c r="F248" s="25"/>
      <c r="G248" s="95"/>
      <c r="H248" s="94"/>
      <c r="I248" s="94"/>
      <c r="J248" s="94"/>
      <c r="K248" s="94"/>
      <c r="L248" s="94"/>
      <c r="M248" s="94"/>
      <c r="N248" s="94"/>
      <c r="O248" s="94"/>
      <c r="P248" s="54">
        <v>4</v>
      </c>
      <c r="Q248" s="95">
        <f t="shared" si="3"/>
        <v>0.2</v>
      </c>
      <c r="R248" s="53">
        <v>683</v>
      </c>
      <c r="S248" s="135">
        <f t="shared" si="4"/>
        <v>0.25315048183839883</v>
      </c>
      <c r="T248" s="25"/>
      <c r="U248" s="25"/>
      <c r="V248" s="5"/>
    </row>
    <row r="249" spans="1:22" ht="15.6" x14ac:dyDescent="0.3">
      <c r="A249" s="24"/>
      <c r="B249" s="54" t="s">
        <v>175</v>
      </c>
      <c r="C249" s="94"/>
      <c r="D249" s="94"/>
      <c r="E249" s="94"/>
      <c r="F249" s="25"/>
      <c r="G249" s="95"/>
      <c r="H249" s="94"/>
      <c r="I249" s="94"/>
      <c r="J249" s="94"/>
      <c r="K249" s="94"/>
      <c r="L249" s="94"/>
      <c r="M249" s="94"/>
      <c r="N249" s="94"/>
      <c r="O249" s="94"/>
      <c r="P249" s="54">
        <v>5</v>
      </c>
      <c r="Q249" s="95">
        <f t="shared" si="3"/>
        <v>0.25</v>
      </c>
      <c r="R249" s="53">
        <v>689</v>
      </c>
      <c r="S249" s="135">
        <f t="shared" si="4"/>
        <v>0.2553743513713862</v>
      </c>
      <c r="T249" s="25"/>
      <c r="U249" s="25"/>
      <c r="V249" s="5"/>
    </row>
    <row r="250" spans="1:22" ht="15.6" x14ac:dyDescent="0.3">
      <c r="A250" s="24"/>
      <c r="B250" s="54"/>
      <c r="C250" s="94"/>
      <c r="D250" s="94"/>
      <c r="E250" s="94"/>
      <c r="F250" s="25"/>
      <c r="G250" s="95"/>
      <c r="H250" s="94"/>
      <c r="I250" s="94"/>
      <c r="J250" s="94"/>
      <c r="K250" s="94"/>
      <c r="L250" s="94"/>
      <c r="M250" s="94"/>
      <c r="N250" s="94"/>
      <c r="O250" s="94"/>
      <c r="P250" s="54"/>
      <c r="Q250" s="95"/>
      <c r="R250" s="53"/>
      <c r="S250" s="135"/>
      <c r="T250" s="25"/>
      <c r="U250" s="25"/>
      <c r="V250" s="5"/>
    </row>
    <row r="251" spans="1:22" ht="15.6" x14ac:dyDescent="0.3">
      <c r="A251" s="24"/>
      <c r="B251" s="25"/>
      <c r="C251" s="25"/>
      <c r="D251" s="25"/>
      <c r="E251" s="25"/>
      <c r="F251" s="25"/>
      <c r="G251" s="25"/>
      <c r="H251" s="96"/>
      <c r="I251" s="96"/>
      <c r="J251" s="96"/>
      <c r="K251" s="96"/>
      <c r="L251" s="96"/>
      <c r="M251" s="96"/>
      <c r="N251" s="96"/>
      <c r="O251" s="96"/>
      <c r="P251" s="34">
        <f>SUM(P242:P250)</f>
        <v>20</v>
      </c>
      <c r="Q251" s="135">
        <f>SUM(Q242:Q250)</f>
        <v>1</v>
      </c>
      <c r="R251" s="53">
        <f>SUM(R242:R250)</f>
        <v>2698</v>
      </c>
      <c r="S251" s="135">
        <f>SUM(S242:S250)</f>
        <v>1</v>
      </c>
      <c r="T251" s="25"/>
      <c r="U251" s="25"/>
      <c r="V251" s="5"/>
    </row>
    <row r="252" spans="1:22" ht="15.6" x14ac:dyDescent="0.3">
      <c r="A252" s="24"/>
      <c r="B252" s="25"/>
      <c r="C252" s="25"/>
      <c r="D252" s="25"/>
      <c r="E252" s="25"/>
      <c r="F252" s="25"/>
      <c r="G252" s="25"/>
      <c r="H252" s="96"/>
      <c r="I252" s="96"/>
      <c r="J252" s="96"/>
      <c r="K252" s="96"/>
      <c r="L252" s="96"/>
      <c r="M252" s="96"/>
      <c r="N252" s="96"/>
      <c r="O252" s="96"/>
      <c r="P252" s="34"/>
      <c r="Q252" s="135"/>
      <c r="R252" s="53"/>
      <c r="S252" s="135"/>
      <c r="T252" s="25"/>
      <c r="U252" s="25"/>
      <c r="V252" s="5"/>
    </row>
    <row r="253" spans="1:22" ht="15.6" x14ac:dyDescent="0.3">
      <c r="A253" s="144"/>
      <c r="B253" s="14" t="s">
        <v>179</v>
      </c>
      <c r="C253" s="142"/>
      <c r="D253" s="142"/>
      <c r="E253" s="142"/>
      <c r="F253" s="142"/>
      <c r="G253" s="142"/>
      <c r="H253" s="149"/>
      <c r="I253" s="149"/>
      <c r="J253" s="149"/>
      <c r="K253" s="149"/>
      <c r="L253" s="149"/>
      <c r="M253" s="149"/>
      <c r="N253" s="149"/>
      <c r="O253" s="149"/>
      <c r="P253" s="84" t="s">
        <v>108</v>
      </c>
      <c r="Q253" s="17" t="s">
        <v>109</v>
      </c>
      <c r="R253" s="84" t="s">
        <v>117</v>
      </c>
      <c r="S253" s="17" t="s">
        <v>109</v>
      </c>
      <c r="T253" s="142"/>
      <c r="U253" s="143"/>
      <c r="V253" s="5"/>
    </row>
    <row r="254" spans="1:22" ht="15.6" x14ac:dyDescent="0.3">
      <c r="A254" s="24"/>
      <c r="B254" s="54" t="s">
        <v>94</v>
      </c>
      <c r="C254" s="25"/>
      <c r="D254" s="25"/>
      <c r="E254" s="25"/>
      <c r="F254" s="25"/>
      <c r="G254" s="25"/>
      <c r="H254" s="96"/>
      <c r="I254" s="96"/>
      <c r="J254" s="96"/>
      <c r="K254" s="96"/>
      <c r="L254" s="96"/>
      <c r="M254" s="96"/>
      <c r="N254" s="96"/>
      <c r="O254" s="96"/>
      <c r="P254" s="54">
        <v>0</v>
      </c>
      <c r="Q254" s="95">
        <v>0</v>
      </c>
      <c r="R254" s="53">
        <v>0</v>
      </c>
      <c r="S254" s="135">
        <v>0</v>
      </c>
      <c r="T254" s="25"/>
      <c r="U254" s="25"/>
      <c r="V254" s="5"/>
    </row>
    <row r="255" spans="1:22" ht="15.6" x14ac:dyDescent="0.3">
      <c r="A255" s="24"/>
      <c r="B255" s="54" t="s">
        <v>95</v>
      </c>
      <c r="C255" s="25"/>
      <c r="D255" s="25"/>
      <c r="E255" s="25"/>
      <c r="F255" s="25"/>
      <c r="G255" s="25"/>
      <c r="H255" s="96"/>
      <c r="I255" s="96"/>
      <c r="J255" s="96"/>
      <c r="K255" s="96"/>
      <c r="L255" s="96"/>
      <c r="M255" s="96"/>
      <c r="N255" s="96"/>
      <c r="O255" s="96"/>
      <c r="P255" s="54">
        <v>0</v>
      </c>
      <c r="Q255" s="95">
        <v>0</v>
      </c>
      <c r="R255" s="53">
        <v>0</v>
      </c>
      <c r="S255" s="135">
        <v>0</v>
      </c>
      <c r="T255" s="25"/>
      <c r="U255" s="25"/>
      <c r="V255" s="5"/>
    </row>
    <row r="256" spans="1:22" ht="15.6" x14ac:dyDescent="0.3">
      <c r="A256" s="24"/>
      <c r="B256" s="54" t="s">
        <v>96</v>
      </c>
      <c r="C256" s="25"/>
      <c r="D256" s="25"/>
      <c r="E256" s="25"/>
      <c r="F256" s="25"/>
      <c r="G256" s="25"/>
      <c r="H256" s="96"/>
      <c r="I256" s="96"/>
      <c r="J256" s="96"/>
      <c r="K256" s="96"/>
      <c r="L256" s="96"/>
      <c r="M256" s="96"/>
      <c r="N256" s="96"/>
      <c r="O256" s="96"/>
      <c r="P256" s="54">
        <v>0</v>
      </c>
      <c r="Q256" s="95">
        <v>0</v>
      </c>
      <c r="R256" s="53">
        <v>0</v>
      </c>
      <c r="S256" s="135">
        <v>0</v>
      </c>
      <c r="T256" s="25"/>
      <c r="U256" s="25"/>
      <c r="V256" s="5"/>
    </row>
    <row r="257" spans="1:22" ht="15.6" x14ac:dyDescent="0.3">
      <c r="A257" s="24"/>
      <c r="B257" s="54" t="s">
        <v>171</v>
      </c>
      <c r="C257" s="25"/>
      <c r="D257" s="25"/>
      <c r="E257" s="25"/>
      <c r="F257" s="25"/>
      <c r="G257" s="25"/>
      <c r="H257" s="96"/>
      <c r="I257" s="96"/>
      <c r="J257" s="96"/>
      <c r="K257" s="96"/>
      <c r="L257" s="96"/>
      <c r="M257" s="96"/>
      <c r="N257" s="96"/>
      <c r="O257" s="96"/>
      <c r="P257" s="54">
        <v>0</v>
      </c>
      <c r="Q257" s="95">
        <v>0</v>
      </c>
      <c r="R257" s="53">
        <v>0</v>
      </c>
      <c r="S257" s="135">
        <v>0</v>
      </c>
      <c r="T257" s="25"/>
      <c r="U257" s="25"/>
      <c r="V257" s="5"/>
    </row>
    <row r="258" spans="1:22" ht="15.6" x14ac:dyDescent="0.3">
      <c r="A258" s="24"/>
      <c r="B258" s="54" t="s">
        <v>172</v>
      </c>
      <c r="C258" s="25"/>
      <c r="D258" s="25"/>
      <c r="E258" s="25"/>
      <c r="F258" s="25"/>
      <c r="G258" s="25"/>
      <c r="H258" s="96"/>
      <c r="I258" s="96"/>
      <c r="J258" s="96"/>
      <c r="K258" s="96"/>
      <c r="L258" s="96"/>
      <c r="M258" s="96"/>
      <c r="N258" s="96"/>
      <c r="O258" s="96"/>
      <c r="P258" s="54">
        <v>0</v>
      </c>
      <c r="Q258" s="95">
        <v>0</v>
      </c>
      <c r="R258" s="53">
        <v>0</v>
      </c>
      <c r="S258" s="135">
        <v>0</v>
      </c>
      <c r="T258" s="25"/>
      <c r="U258" s="25"/>
      <c r="V258" s="5"/>
    </row>
    <row r="259" spans="1:22" ht="15.6" x14ac:dyDescent="0.3">
      <c r="A259" s="24"/>
      <c r="B259" s="54" t="s">
        <v>173</v>
      </c>
      <c r="C259" s="25"/>
      <c r="D259" s="25"/>
      <c r="E259" s="25"/>
      <c r="F259" s="25"/>
      <c r="G259" s="25"/>
      <c r="H259" s="96"/>
      <c r="I259" s="96"/>
      <c r="J259" s="96"/>
      <c r="K259" s="96"/>
      <c r="L259" s="96"/>
      <c r="M259" s="96"/>
      <c r="N259" s="96"/>
      <c r="O259" s="96"/>
      <c r="P259" s="54">
        <v>0</v>
      </c>
      <c r="Q259" s="95">
        <v>0</v>
      </c>
      <c r="R259" s="53">
        <v>0</v>
      </c>
      <c r="S259" s="135">
        <v>0</v>
      </c>
      <c r="T259" s="25"/>
      <c r="U259" s="25"/>
      <c r="V259" s="5"/>
    </row>
    <row r="260" spans="1:22" ht="15.6" x14ac:dyDescent="0.3">
      <c r="A260" s="24"/>
      <c r="B260" s="54" t="s">
        <v>174</v>
      </c>
      <c r="C260" s="25"/>
      <c r="D260" s="25"/>
      <c r="E260" s="25"/>
      <c r="F260" s="25"/>
      <c r="G260" s="25"/>
      <c r="H260" s="96"/>
      <c r="I260" s="96"/>
      <c r="J260" s="96"/>
      <c r="K260" s="96"/>
      <c r="L260" s="96"/>
      <c r="M260" s="96"/>
      <c r="N260" s="96"/>
      <c r="O260" s="96"/>
      <c r="P260" s="54">
        <v>0</v>
      </c>
      <c r="Q260" s="95">
        <v>0</v>
      </c>
      <c r="R260" s="53">
        <v>0</v>
      </c>
      <c r="S260" s="135">
        <v>0</v>
      </c>
      <c r="T260" s="25"/>
      <c r="U260" s="25"/>
      <c r="V260" s="5"/>
    </row>
    <row r="261" spans="1:22" ht="15.6" x14ac:dyDescent="0.3">
      <c r="A261" s="24"/>
      <c r="B261" s="54" t="s">
        <v>175</v>
      </c>
      <c r="C261" s="25"/>
      <c r="D261" s="25"/>
      <c r="E261" s="25"/>
      <c r="F261" s="25"/>
      <c r="G261" s="25"/>
      <c r="H261" s="96"/>
      <c r="I261" s="96"/>
      <c r="J261" s="96"/>
      <c r="K261" s="96"/>
      <c r="L261" s="96"/>
      <c r="M261" s="96"/>
      <c r="N261" s="96"/>
      <c r="O261" s="96"/>
      <c r="P261" s="54">
        <v>0</v>
      </c>
      <c r="Q261" s="95">
        <v>0</v>
      </c>
      <c r="R261" s="53">
        <v>0</v>
      </c>
      <c r="S261" s="135">
        <v>0</v>
      </c>
      <c r="T261" s="25"/>
      <c r="U261" s="25"/>
      <c r="V261" s="5"/>
    </row>
    <row r="262" spans="1:22" ht="15.6" x14ac:dyDescent="0.3">
      <c r="A262" s="24"/>
      <c r="B262" s="54"/>
      <c r="C262" s="25"/>
      <c r="D262" s="25"/>
      <c r="E262" s="25"/>
      <c r="F262" s="25"/>
      <c r="G262" s="25"/>
      <c r="H262" s="96"/>
      <c r="I262" s="96"/>
      <c r="J262" s="96"/>
      <c r="K262" s="96"/>
      <c r="L262" s="96"/>
      <c r="M262" s="96"/>
      <c r="N262" s="96"/>
      <c r="O262" s="96"/>
      <c r="P262" s="54"/>
      <c r="Q262" s="95"/>
      <c r="R262" s="53"/>
      <c r="S262" s="135"/>
      <c r="T262" s="25"/>
      <c r="U262" s="25"/>
      <c r="V262" s="5"/>
    </row>
    <row r="263" spans="1:22" ht="15.6" x14ac:dyDescent="0.3">
      <c r="A263" s="24"/>
      <c r="B263" s="25" t="s">
        <v>123</v>
      </c>
      <c r="C263" s="25"/>
      <c r="D263" s="25"/>
      <c r="E263" s="25"/>
      <c r="F263" s="25"/>
      <c r="G263" s="25"/>
      <c r="H263" s="96"/>
      <c r="I263" s="96"/>
      <c r="J263" s="96"/>
      <c r="K263" s="96"/>
      <c r="L263" s="96"/>
      <c r="M263" s="96"/>
      <c r="N263" s="96"/>
      <c r="O263" s="96"/>
      <c r="P263" s="34">
        <f>SUM(P254:P261)</f>
        <v>0</v>
      </c>
      <c r="Q263" s="95">
        <f>SUM(Q254:Q261)</f>
        <v>0</v>
      </c>
      <c r="R263" s="53">
        <f>SUM(R254:R261)</f>
        <v>0</v>
      </c>
      <c r="S263" s="135">
        <f>SUM(S254:S261)</f>
        <v>0</v>
      </c>
      <c r="T263" s="25"/>
      <c r="U263" s="25"/>
      <c r="V263" s="5"/>
    </row>
    <row r="264" spans="1:22" ht="15.6" x14ac:dyDescent="0.3">
      <c r="A264" s="24"/>
      <c r="B264" s="25"/>
      <c r="C264" s="25"/>
      <c r="D264" s="25"/>
      <c r="E264" s="25"/>
      <c r="F264" s="25"/>
      <c r="G264" s="25"/>
      <c r="H264" s="96"/>
      <c r="I264" s="96"/>
      <c r="J264" s="96"/>
      <c r="K264" s="96"/>
      <c r="L264" s="96"/>
      <c r="M264" s="96"/>
      <c r="N264" s="96"/>
      <c r="O264" s="96"/>
      <c r="P264" s="34"/>
      <c r="Q264" s="135"/>
      <c r="R264" s="53"/>
      <c r="S264" s="135"/>
      <c r="T264" s="25"/>
      <c r="U264" s="25"/>
      <c r="V264" s="5"/>
    </row>
    <row r="265" spans="1:22" ht="15.6" x14ac:dyDescent="0.3">
      <c r="A265" s="24"/>
      <c r="B265" s="145" t="s">
        <v>180</v>
      </c>
      <c r="C265" s="25"/>
      <c r="D265" s="25"/>
      <c r="E265" s="25"/>
      <c r="F265" s="25"/>
      <c r="G265" s="25"/>
      <c r="H265" s="96"/>
      <c r="I265" s="96"/>
      <c r="J265" s="96"/>
      <c r="K265" s="96"/>
      <c r="L265" s="96"/>
      <c r="M265" s="96"/>
      <c r="N265" s="96"/>
      <c r="O265" s="96"/>
      <c r="P265" s="165">
        <f>+P239+P251+P263</f>
        <v>5513</v>
      </c>
      <c r="Q265" s="147"/>
      <c r="R265" s="148">
        <f>+R263+R251+R239</f>
        <v>612146</v>
      </c>
      <c r="S265" s="147"/>
      <c r="T265" s="25"/>
      <c r="U265" s="25"/>
      <c r="V265" s="5"/>
    </row>
    <row r="266" spans="1:22" ht="15.6" x14ac:dyDescent="0.3">
      <c r="A266" s="24"/>
      <c r="B266" s="25"/>
      <c r="C266" s="25"/>
      <c r="D266" s="25"/>
      <c r="E266" s="25"/>
      <c r="F266" s="25"/>
      <c r="G266" s="25"/>
      <c r="H266" s="96"/>
      <c r="I266" s="96"/>
      <c r="J266" s="96"/>
      <c r="K266" s="96"/>
      <c r="L266" s="96"/>
      <c r="M266" s="96"/>
      <c r="N266" s="96"/>
      <c r="O266" s="96"/>
      <c r="P266" s="96"/>
      <c r="Q266" s="96"/>
      <c r="R266" s="53"/>
      <c r="S266" s="96"/>
      <c r="T266" s="25"/>
      <c r="U266" s="25"/>
      <c r="V266" s="5"/>
    </row>
    <row r="267" spans="1:22" ht="15.6" x14ac:dyDescent="0.3">
      <c r="A267" s="6"/>
      <c r="B267" s="8"/>
      <c r="C267" s="8"/>
      <c r="D267" s="8"/>
      <c r="E267" s="8"/>
      <c r="F267" s="8"/>
      <c r="G267" s="8"/>
      <c r="H267" s="97"/>
      <c r="I267" s="97"/>
      <c r="J267" s="97"/>
      <c r="K267" s="97"/>
      <c r="L267" s="97"/>
      <c r="M267" s="97"/>
      <c r="N267" s="97"/>
      <c r="O267" s="97"/>
      <c r="P267" s="97"/>
      <c r="Q267" s="97"/>
      <c r="R267" s="98"/>
      <c r="S267" s="97"/>
      <c r="T267" s="8"/>
      <c r="U267" s="8"/>
      <c r="V267" s="5"/>
    </row>
    <row r="268" spans="1:22" ht="15.6" x14ac:dyDescent="0.3">
      <c r="A268" s="164"/>
      <c r="B268" s="14" t="s">
        <v>97</v>
      </c>
      <c r="C268" s="15"/>
      <c r="D268" s="15"/>
      <c r="E268" s="15"/>
      <c r="F268" s="17" t="s">
        <v>103</v>
      </c>
      <c r="G268" s="15"/>
      <c r="H268" s="14" t="s">
        <v>105</v>
      </c>
      <c r="I268" s="159"/>
      <c r="J268" s="159"/>
      <c r="K268" s="159"/>
      <c r="L268" s="159"/>
      <c r="M268" s="159"/>
      <c r="N268" s="159"/>
      <c r="O268" s="159"/>
      <c r="P268" s="159"/>
      <c r="Q268" s="159"/>
      <c r="R268" s="159"/>
      <c r="S268" s="159"/>
      <c r="T268" s="159"/>
      <c r="U268" s="159"/>
      <c r="V268" s="5"/>
    </row>
    <row r="269" spans="1:22" ht="15.6" x14ac:dyDescent="0.3">
      <c r="A269" s="164"/>
      <c r="B269" s="159"/>
      <c r="C269" s="8"/>
      <c r="D269" s="8"/>
      <c r="E269" s="8"/>
      <c r="F269" s="8"/>
      <c r="G269" s="8"/>
      <c r="H269" s="8"/>
      <c r="I269" s="159"/>
      <c r="J269" s="159"/>
      <c r="K269" s="159"/>
      <c r="L269" s="159"/>
      <c r="M269" s="159"/>
      <c r="N269" s="159"/>
      <c r="O269" s="159"/>
      <c r="P269" s="159"/>
      <c r="Q269" s="159"/>
      <c r="R269" s="159"/>
      <c r="S269" s="159"/>
      <c r="T269" s="159"/>
      <c r="U269" s="159"/>
      <c r="V269" s="5"/>
    </row>
    <row r="270" spans="1:22" ht="15.6" x14ac:dyDescent="0.3">
      <c r="A270" s="164"/>
      <c r="B270" s="13" t="s">
        <v>98</v>
      </c>
      <c r="C270" s="13"/>
      <c r="D270" s="13"/>
      <c r="E270" s="13"/>
      <c r="F270" s="133" t="s">
        <v>159</v>
      </c>
      <c r="G270" s="13"/>
      <c r="H270" s="13" t="s">
        <v>167</v>
      </c>
      <c r="I270" s="159"/>
      <c r="J270" s="159"/>
      <c r="K270" s="159"/>
      <c r="L270" s="159"/>
      <c r="M270" s="159"/>
      <c r="N270" s="159"/>
      <c r="O270" s="159"/>
      <c r="P270" s="159"/>
      <c r="Q270" s="159"/>
      <c r="R270" s="159"/>
      <c r="S270" s="159"/>
      <c r="T270" s="159"/>
      <c r="U270" s="159"/>
      <c r="V270" s="5"/>
    </row>
    <row r="271" spans="1:22" ht="15.6" x14ac:dyDescent="0.3">
      <c r="A271" s="164"/>
      <c r="B271" s="13" t="s">
        <v>273</v>
      </c>
      <c r="C271" s="13"/>
      <c r="D271" s="13"/>
      <c r="E271" s="13"/>
      <c r="F271" s="133" t="s">
        <v>274</v>
      </c>
      <c r="G271" s="13"/>
      <c r="H271" s="13" t="s">
        <v>275</v>
      </c>
      <c r="I271" s="159"/>
      <c r="J271" s="159"/>
      <c r="K271" s="159"/>
      <c r="L271" s="159"/>
      <c r="M271" s="159"/>
      <c r="N271" s="159"/>
      <c r="O271" s="159"/>
      <c r="P271" s="159"/>
      <c r="Q271" s="159"/>
      <c r="R271" s="159"/>
      <c r="S271" s="159"/>
      <c r="T271" s="159"/>
      <c r="U271" s="159"/>
      <c r="V271" s="5"/>
    </row>
    <row r="272" spans="1:22" ht="15.6" x14ac:dyDescent="0.3">
      <c r="A272" s="164"/>
      <c r="B272" s="13" t="s">
        <v>99</v>
      </c>
      <c r="C272" s="13"/>
      <c r="D272" s="13"/>
      <c r="E272" s="13"/>
      <c r="F272" s="133" t="s">
        <v>158</v>
      </c>
      <c r="G272" s="13"/>
      <c r="H272" s="13" t="s">
        <v>168</v>
      </c>
      <c r="I272" s="159"/>
      <c r="J272" s="159"/>
      <c r="K272" s="159"/>
      <c r="L272" s="159"/>
      <c r="M272" s="159"/>
      <c r="N272" s="159"/>
      <c r="O272" s="159"/>
      <c r="P272" s="159"/>
      <c r="Q272" s="159"/>
      <c r="R272" s="159"/>
      <c r="S272" s="159"/>
      <c r="T272" s="159"/>
      <c r="U272" s="159"/>
      <c r="V272" s="5"/>
    </row>
    <row r="273" spans="1:22" ht="15.6" x14ac:dyDescent="0.3">
      <c r="A273" s="164"/>
      <c r="B273" s="13"/>
      <c r="C273" s="13"/>
      <c r="D273" s="13"/>
      <c r="E273" s="13"/>
      <c r="F273" s="13"/>
      <c r="G273" s="100"/>
      <c r="H273" s="159"/>
      <c r="I273" s="159"/>
      <c r="J273" s="159"/>
      <c r="K273" s="159"/>
      <c r="L273" s="159"/>
      <c r="M273" s="159"/>
      <c r="N273" s="159"/>
      <c r="O273" s="159"/>
      <c r="P273" s="159"/>
      <c r="Q273" s="159"/>
      <c r="R273" s="159"/>
      <c r="S273" s="159"/>
      <c r="T273" s="159"/>
      <c r="U273" s="159"/>
      <c r="V273" s="5"/>
    </row>
    <row r="274" spans="1:22" ht="18" thickBot="1" x14ac:dyDescent="0.35">
      <c r="A274" s="164"/>
      <c r="B274" s="49" t="str">
        <f>B192</f>
        <v>PM9 INVESTOR REPORT QUARTER ENDING OCTOBER 2006</v>
      </c>
      <c r="C274" s="13"/>
      <c r="D274" s="13"/>
      <c r="E274" s="13"/>
      <c r="F274" s="13"/>
      <c r="G274" s="100"/>
      <c r="H274" s="159"/>
      <c r="I274" s="159"/>
      <c r="J274" s="159"/>
      <c r="K274" s="159"/>
      <c r="L274" s="159"/>
      <c r="M274" s="159"/>
      <c r="N274" s="159"/>
      <c r="O274" s="159"/>
      <c r="P274" s="159"/>
      <c r="Q274" s="159"/>
      <c r="R274" s="159"/>
      <c r="S274" s="159"/>
      <c r="T274" s="159"/>
      <c r="U274" s="159"/>
      <c r="V274" s="5"/>
    </row>
    <row r="275" spans="1:22" x14ac:dyDescent="0.25">
      <c r="A275" s="101"/>
      <c r="B275" s="101"/>
      <c r="C275" s="101"/>
      <c r="D275" s="101"/>
      <c r="E275" s="101"/>
      <c r="F275" s="101"/>
      <c r="G275" s="101"/>
      <c r="H275" s="101"/>
      <c r="I275" s="101"/>
      <c r="J275" s="101"/>
      <c r="K275" s="101"/>
      <c r="L275" s="101"/>
      <c r="M275" s="101"/>
      <c r="N275" s="101"/>
      <c r="O275" s="101"/>
      <c r="P275" s="101"/>
      <c r="Q275" s="101"/>
      <c r="R275" s="101"/>
      <c r="S275" s="101"/>
      <c r="T275" s="101"/>
      <c r="U275" s="101"/>
    </row>
  </sheetData>
  <phoneticPr fontId="0" type="noConversion"/>
  <hyperlinks>
    <hyperlink ref="J9" r:id="rId1" xr:uid="{00000000-0004-0000-0400-000000000000}"/>
    <hyperlink ref="N227" r:id="rId2" xr:uid="{00000000-0004-0000-04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2" max="14" man="1"/>
    <brk id="192" max="14" man="1"/>
  </rowBreaks>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2D2926"/>
  </sheetPr>
  <dimension ref="A1:W290"/>
  <sheetViews>
    <sheetView showGridLines="0" showOutlineSymbols="0" zoomScale="70" zoomScaleNormal="70" workbookViewId="0"/>
  </sheetViews>
  <sheetFormatPr defaultColWidth="9.6328125" defaultRowHeight="15.6" x14ac:dyDescent="0.3"/>
  <cols>
    <col min="1" max="1" width="4" style="406" customWidth="1"/>
    <col min="2" max="2" width="71.1796875" style="406" customWidth="1"/>
    <col min="3" max="3" width="2.1796875" style="406" customWidth="1"/>
    <col min="4" max="4" width="19.36328125" style="406" customWidth="1"/>
    <col min="5" max="5" width="2.1796875" style="406" customWidth="1"/>
    <col min="6" max="6" width="25.08984375" style="406" customWidth="1"/>
    <col min="7" max="7" width="2.1796875" style="406" customWidth="1"/>
    <col min="8" max="8" width="16.1796875" style="406" customWidth="1"/>
    <col min="9" max="9" width="2.1796875" style="406" customWidth="1"/>
    <col min="10" max="10" width="17.90625" style="406" customWidth="1"/>
    <col min="11" max="11" width="2.36328125" style="406" customWidth="1"/>
    <col min="12" max="12" width="14.90625" style="406" customWidth="1"/>
    <col min="13" max="13" width="2.36328125" style="406" customWidth="1"/>
    <col min="14" max="14" width="15.54296875" style="406" customWidth="1"/>
    <col min="15" max="15" width="2.1796875" style="406" customWidth="1"/>
    <col min="16" max="16" width="15.54296875" style="406" customWidth="1"/>
    <col min="17" max="18" width="12.6328125" style="406" customWidth="1"/>
    <col min="19" max="19" width="9.6328125" style="406" customWidth="1"/>
    <col min="20" max="20" width="14.6328125" style="406" customWidth="1"/>
    <col min="21" max="21" width="11.81640625" style="406" customWidth="1"/>
    <col min="22" max="16384" width="9.6328125" style="406"/>
  </cols>
  <sheetData>
    <row r="1" spans="1:22" ht="21" x14ac:dyDescent="0.4">
      <c r="A1" s="403"/>
      <c r="B1" s="602" t="s">
        <v>181</v>
      </c>
      <c r="C1" s="404" t="s">
        <v>263</v>
      </c>
      <c r="D1" s="404"/>
      <c r="E1" s="404"/>
      <c r="F1" s="404"/>
      <c r="G1" s="404"/>
      <c r="H1" s="404"/>
      <c r="I1" s="404"/>
      <c r="J1" s="404"/>
      <c r="K1" s="404"/>
      <c r="L1" s="404"/>
      <c r="M1" s="404"/>
      <c r="N1" s="404"/>
      <c r="O1" s="404"/>
      <c r="P1" s="404"/>
      <c r="Q1" s="404"/>
      <c r="R1" s="404"/>
      <c r="S1" s="404"/>
      <c r="T1" s="404"/>
      <c r="U1" s="404"/>
      <c r="V1" s="405"/>
    </row>
    <row r="2" spans="1:22" x14ac:dyDescent="0.3">
      <c r="A2" s="407"/>
      <c r="B2" s="408"/>
      <c r="C2" s="409"/>
      <c r="D2" s="409"/>
      <c r="E2" s="409"/>
      <c r="F2" s="409"/>
      <c r="G2" s="409"/>
      <c r="H2" s="409"/>
      <c r="I2" s="409"/>
      <c r="J2" s="409"/>
      <c r="K2" s="409"/>
      <c r="L2" s="409"/>
      <c r="M2" s="409"/>
      <c r="N2" s="409"/>
      <c r="O2" s="409"/>
      <c r="P2" s="409"/>
      <c r="Q2" s="409"/>
      <c r="R2" s="409"/>
      <c r="S2" s="409"/>
      <c r="T2" s="409"/>
      <c r="U2" s="409"/>
      <c r="V2" s="405"/>
    </row>
    <row r="3" spans="1:22" x14ac:dyDescent="0.3">
      <c r="A3" s="410"/>
      <c r="B3" s="411" t="s">
        <v>182</v>
      </c>
      <c r="C3" s="409"/>
      <c r="D3" s="409"/>
      <c r="E3" s="409"/>
      <c r="F3" s="409"/>
      <c r="G3" s="409"/>
      <c r="H3" s="409"/>
      <c r="I3" s="409"/>
      <c r="J3" s="409"/>
      <c r="K3" s="409"/>
      <c r="L3" s="409"/>
      <c r="M3" s="409"/>
      <c r="N3" s="409"/>
      <c r="O3" s="409"/>
      <c r="P3" s="409"/>
      <c r="Q3" s="409"/>
      <c r="R3" s="409"/>
      <c r="S3" s="409"/>
      <c r="T3" s="409"/>
      <c r="U3" s="409"/>
      <c r="V3" s="405"/>
    </row>
    <row r="4" spans="1:22" x14ac:dyDescent="0.3">
      <c r="A4" s="407"/>
      <c r="B4" s="408"/>
      <c r="C4" s="409"/>
      <c r="D4" s="409"/>
      <c r="E4" s="409"/>
      <c r="F4" s="409"/>
      <c r="G4" s="409"/>
      <c r="H4" s="409"/>
      <c r="I4" s="409"/>
      <c r="J4" s="409"/>
      <c r="K4" s="409"/>
      <c r="L4" s="409"/>
      <c r="M4" s="409"/>
      <c r="N4" s="409"/>
      <c r="O4" s="409"/>
      <c r="P4" s="409"/>
      <c r="Q4" s="409"/>
      <c r="R4" s="409"/>
      <c r="S4" s="409"/>
      <c r="T4" s="409"/>
      <c r="U4" s="409"/>
      <c r="V4" s="405"/>
    </row>
    <row r="5" spans="1:22" x14ac:dyDescent="0.3">
      <c r="A5" s="407"/>
      <c r="B5" s="601" t="s">
        <v>146</v>
      </c>
      <c r="C5" s="409"/>
      <c r="D5" s="409"/>
      <c r="E5" s="409"/>
      <c r="F5" s="409"/>
      <c r="G5" s="409"/>
      <c r="H5" s="409"/>
      <c r="I5" s="409"/>
      <c r="J5" s="409"/>
      <c r="K5" s="409"/>
      <c r="L5" s="409"/>
      <c r="M5" s="409"/>
      <c r="N5" s="409"/>
      <c r="O5" s="409"/>
      <c r="P5" s="409"/>
      <c r="Q5" s="409"/>
      <c r="R5" s="409"/>
      <c r="S5" s="409"/>
      <c r="T5" s="409"/>
      <c r="U5" s="409"/>
      <c r="V5" s="405"/>
    </row>
    <row r="6" spans="1:22" x14ac:dyDescent="0.3">
      <c r="A6" s="407"/>
      <c r="B6" s="601" t="s">
        <v>148</v>
      </c>
      <c r="C6" s="409"/>
      <c r="D6" s="409"/>
      <c r="E6" s="409"/>
      <c r="F6" s="409"/>
      <c r="G6" s="409"/>
      <c r="H6" s="409"/>
      <c r="I6" s="409"/>
      <c r="J6" s="409"/>
      <c r="K6" s="409"/>
      <c r="L6" s="409"/>
      <c r="M6" s="409"/>
      <c r="N6" s="409"/>
      <c r="O6" s="409"/>
      <c r="P6" s="409"/>
      <c r="Q6" s="409"/>
      <c r="R6" s="409"/>
      <c r="S6" s="409"/>
      <c r="T6" s="409"/>
      <c r="U6" s="409"/>
      <c r="V6" s="405"/>
    </row>
    <row r="7" spans="1:22" x14ac:dyDescent="0.3">
      <c r="A7" s="407"/>
      <c r="B7" s="601" t="s">
        <v>147</v>
      </c>
      <c r="C7" s="409"/>
      <c r="D7" s="409"/>
      <c r="E7" s="409"/>
      <c r="F7" s="409"/>
      <c r="G7" s="409"/>
      <c r="H7" s="409"/>
      <c r="I7" s="409"/>
      <c r="J7" s="409"/>
      <c r="K7" s="409"/>
      <c r="L7" s="409"/>
      <c r="M7" s="409"/>
      <c r="N7" s="409"/>
      <c r="O7" s="409"/>
      <c r="P7" s="409"/>
      <c r="Q7" s="409"/>
      <c r="R7" s="409"/>
      <c r="S7" s="409"/>
      <c r="T7" s="409"/>
      <c r="U7" s="409"/>
      <c r="V7" s="405"/>
    </row>
    <row r="8" spans="1:22" x14ac:dyDescent="0.3">
      <c r="A8" s="407"/>
      <c r="B8" s="412"/>
      <c r="C8" s="409"/>
      <c r="D8" s="409"/>
      <c r="E8" s="409"/>
      <c r="F8" s="409"/>
      <c r="G8" s="409"/>
      <c r="H8" s="409"/>
      <c r="I8" s="409"/>
      <c r="J8" s="409"/>
      <c r="K8" s="409"/>
      <c r="L8" s="409"/>
      <c r="M8" s="409"/>
      <c r="N8" s="409"/>
      <c r="O8" s="409"/>
      <c r="P8" s="409"/>
      <c r="Q8" s="409"/>
      <c r="R8" s="409"/>
      <c r="S8" s="409"/>
      <c r="T8" s="409"/>
      <c r="U8" s="409"/>
      <c r="V8" s="405"/>
    </row>
    <row r="9" spans="1:22" ht="18" x14ac:dyDescent="0.35">
      <c r="A9" s="407"/>
      <c r="B9" s="413" t="s">
        <v>206</v>
      </c>
      <c r="C9" s="409"/>
      <c r="D9" s="409"/>
      <c r="E9" s="409"/>
      <c r="F9" s="409"/>
      <c r="G9" s="409"/>
      <c r="H9" s="409"/>
      <c r="I9" s="409"/>
      <c r="J9" s="414" t="s">
        <v>347</v>
      </c>
      <c r="K9" s="409"/>
      <c r="L9" s="409"/>
      <c r="M9" s="409"/>
      <c r="N9" s="409"/>
      <c r="O9" s="409"/>
      <c r="P9" s="409"/>
      <c r="Q9" s="409"/>
      <c r="R9" s="409"/>
      <c r="S9" s="409"/>
      <c r="T9" s="409"/>
      <c r="U9" s="409"/>
      <c r="V9" s="405"/>
    </row>
    <row r="10" spans="1:22" x14ac:dyDescent="0.3">
      <c r="A10" s="407"/>
      <c r="B10" s="412"/>
      <c r="C10" s="415"/>
      <c r="D10" s="415"/>
      <c r="E10" s="415"/>
      <c r="F10" s="409"/>
      <c r="G10" s="409"/>
      <c r="H10" s="409"/>
      <c r="I10" s="409"/>
      <c r="J10" s="409"/>
      <c r="K10" s="409"/>
      <c r="L10" s="409"/>
      <c r="M10" s="409"/>
      <c r="N10" s="409"/>
      <c r="O10" s="409"/>
      <c r="P10" s="409"/>
      <c r="Q10" s="409"/>
      <c r="R10" s="409"/>
      <c r="S10" s="409"/>
      <c r="T10" s="409"/>
      <c r="U10" s="409"/>
      <c r="V10" s="405"/>
    </row>
    <row r="11" spans="1:22" x14ac:dyDescent="0.3">
      <c r="A11" s="407"/>
      <c r="B11" s="545" t="s">
        <v>0</v>
      </c>
      <c r="C11" s="542"/>
      <c r="D11" s="542"/>
      <c r="E11" s="542"/>
      <c r="F11" s="542"/>
      <c r="G11" s="542"/>
      <c r="H11" s="542"/>
      <c r="I11" s="542"/>
      <c r="J11" s="542"/>
      <c r="K11" s="542"/>
      <c r="L11" s="542"/>
      <c r="M11" s="542"/>
      <c r="N11" s="542"/>
      <c r="O11" s="542"/>
      <c r="P11" s="542"/>
      <c r="Q11" s="542"/>
      <c r="R11" s="542"/>
      <c r="S11" s="542"/>
      <c r="T11" s="542"/>
      <c r="U11" s="409"/>
      <c r="V11" s="405"/>
    </row>
    <row r="12" spans="1:22" ht="16.2" thickBot="1" x14ac:dyDescent="0.35">
      <c r="A12" s="407"/>
      <c r="B12" s="545"/>
      <c r="C12" s="542"/>
      <c r="D12" s="542"/>
      <c r="E12" s="542"/>
      <c r="F12" s="542"/>
      <c r="G12" s="542"/>
      <c r="H12" s="542"/>
      <c r="I12" s="542"/>
      <c r="J12" s="542"/>
      <c r="K12" s="542"/>
      <c r="L12" s="542"/>
      <c r="M12" s="542"/>
      <c r="N12" s="542"/>
      <c r="O12" s="542"/>
      <c r="P12" s="542"/>
      <c r="Q12" s="542"/>
      <c r="R12" s="542"/>
      <c r="S12" s="542"/>
      <c r="T12" s="542"/>
      <c r="U12" s="409"/>
      <c r="V12" s="405"/>
    </row>
    <row r="13" spans="1:22" x14ac:dyDescent="0.3">
      <c r="A13" s="403"/>
      <c r="B13" s="593"/>
      <c r="C13" s="593"/>
      <c r="D13" s="593"/>
      <c r="E13" s="593"/>
      <c r="F13" s="593"/>
      <c r="G13" s="593"/>
      <c r="H13" s="593"/>
      <c r="I13" s="593"/>
      <c r="J13" s="593"/>
      <c r="K13" s="593"/>
      <c r="L13" s="593"/>
      <c r="M13" s="593"/>
      <c r="N13" s="593"/>
      <c r="O13" s="593"/>
      <c r="P13" s="593"/>
      <c r="Q13" s="593"/>
      <c r="R13" s="593"/>
      <c r="S13" s="593"/>
      <c r="T13" s="593"/>
      <c r="U13" s="404"/>
      <c r="V13" s="405"/>
    </row>
    <row r="14" spans="1:22" x14ac:dyDescent="0.3">
      <c r="A14" s="407"/>
      <c r="B14" s="545" t="s">
        <v>1</v>
      </c>
      <c r="C14" s="542"/>
      <c r="D14" s="542"/>
      <c r="E14" s="542"/>
      <c r="F14" s="542"/>
      <c r="G14" s="542"/>
      <c r="H14" s="542"/>
      <c r="I14" s="542"/>
      <c r="J14" s="542"/>
      <c r="K14" s="542"/>
      <c r="L14" s="542"/>
      <c r="M14" s="542"/>
      <c r="N14" s="542"/>
      <c r="O14" s="542"/>
      <c r="P14" s="542"/>
      <c r="Q14" s="542"/>
      <c r="R14" s="542"/>
      <c r="S14" s="542"/>
      <c r="T14" s="594" t="s">
        <v>183</v>
      </c>
      <c r="U14" s="416"/>
      <c r="V14" s="405"/>
    </row>
    <row r="15" spans="1:22" x14ac:dyDescent="0.3">
      <c r="A15" s="407"/>
      <c r="B15" s="545" t="s">
        <v>2</v>
      </c>
      <c r="C15" s="542"/>
      <c r="D15" s="542"/>
      <c r="E15" s="542"/>
      <c r="F15" s="542"/>
      <c r="G15" s="542"/>
      <c r="H15" s="595"/>
      <c r="I15" s="595"/>
      <c r="J15" s="595"/>
      <c r="K15" s="595"/>
      <c r="L15" s="595"/>
      <c r="M15" s="595"/>
      <c r="N15" s="595"/>
      <c r="O15" s="595"/>
      <c r="P15" s="595" t="s">
        <v>110</v>
      </c>
      <c r="Q15" s="596">
        <v>0.59430000000000005</v>
      </c>
      <c r="R15" s="546" t="s">
        <v>149</v>
      </c>
      <c r="S15" s="596">
        <v>0.40570000000000001</v>
      </c>
      <c r="T15" s="594"/>
      <c r="U15" s="416"/>
      <c r="V15" s="405"/>
    </row>
    <row r="16" spans="1:22" x14ac:dyDescent="0.3">
      <c r="A16" s="407"/>
      <c r="B16" s="545" t="s">
        <v>3</v>
      </c>
      <c r="C16" s="542"/>
      <c r="D16" s="542"/>
      <c r="E16" s="542"/>
      <c r="F16" s="542"/>
      <c r="G16" s="542"/>
      <c r="H16" s="595"/>
      <c r="I16" s="595"/>
      <c r="J16" s="595"/>
      <c r="K16" s="595"/>
      <c r="L16" s="595"/>
      <c r="M16" s="595"/>
      <c r="N16" s="595"/>
      <c r="O16" s="595"/>
      <c r="P16" s="595" t="s">
        <v>110</v>
      </c>
      <c r="Q16" s="596">
        <v>0.73060000000000003</v>
      </c>
      <c r="R16" s="546" t="s">
        <v>149</v>
      </c>
      <c r="S16" s="596">
        <v>0.26939999999999997</v>
      </c>
      <c r="T16" s="594"/>
      <c r="U16" s="416"/>
      <c r="V16" s="405"/>
    </row>
    <row r="17" spans="1:22" x14ac:dyDescent="0.3">
      <c r="A17" s="407"/>
      <c r="B17" s="545" t="s">
        <v>4</v>
      </c>
      <c r="C17" s="542"/>
      <c r="D17" s="542"/>
      <c r="E17" s="542"/>
      <c r="F17" s="542"/>
      <c r="G17" s="542"/>
      <c r="H17" s="542"/>
      <c r="I17" s="542"/>
      <c r="J17" s="542"/>
      <c r="K17" s="542"/>
      <c r="L17" s="542"/>
      <c r="M17" s="542"/>
      <c r="N17" s="542"/>
      <c r="O17" s="542"/>
      <c r="P17" s="542"/>
      <c r="Q17" s="597"/>
      <c r="R17" s="542"/>
      <c r="S17" s="542"/>
      <c r="T17" s="598">
        <v>38552</v>
      </c>
      <c r="U17" s="416"/>
      <c r="V17" s="405"/>
    </row>
    <row r="18" spans="1:22" x14ac:dyDescent="0.3">
      <c r="A18" s="407"/>
      <c r="B18" s="545" t="s">
        <v>5</v>
      </c>
      <c r="C18" s="542"/>
      <c r="D18" s="542"/>
      <c r="E18" s="542"/>
      <c r="F18" s="542"/>
      <c r="G18" s="542"/>
      <c r="H18" s="542"/>
      <c r="I18" s="542"/>
      <c r="J18" s="542"/>
      <c r="K18" s="542"/>
      <c r="L18" s="542"/>
      <c r="M18" s="542"/>
      <c r="N18" s="542"/>
      <c r="O18" s="542"/>
      <c r="P18" s="542"/>
      <c r="Q18" s="542"/>
      <c r="R18" s="542"/>
      <c r="S18" s="542"/>
      <c r="T18" s="598">
        <v>43152</v>
      </c>
      <c r="U18" s="416"/>
      <c r="V18" s="405"/>
    </row>
    <row r="19" spans="1:22" x14ac:dyDescent="0.3">
      <c r="A19" s="407"/>
      <c r="B19" s="542"/>
      <c r="C19" s="542"/>
      <c r="D19" s="542"/>
      <c r="E19" s="542"/>
      <c r="F19" s="542"/>
      <c r="G19" s="542"/>
      <c r="H19" s="542"/>
      <c r="I19" s="542"/>
      <c r="J19" s="542"/>
      <c r="K19" s="542"/>
      <c r="L19" s="542"/>
      <c r="M19" s="542"/>
      <c r="N19" s="542"/>
      <c r="O19" s="542"/>
      <c r="P19" s="542"/>
      <c r="Q19" s="542"/>
      <c r="R19" s="542"/>
      <c r="S19" s="542"/>
      <c r="T19" s="599"/>
      <c r="U19" s="409"/>
      <c r="V19" s="405"/>
    </row>
    <row r="20" spans="1:22" x14ac:dyDescent="0.3">
      <c r="A20" s="407"/>
      <c r="B20" s="600" t="s">
        <v>6</v>
      </c>
      <c r="C20" s="542"/>
      <c r="D20" s="542"/>
      <c r="E20" s="542"/>
      <c r="F20" s="542"/>
      <c r="G20" s="542"/>
      <c r="H20" s="542"/>
      <c r="I20" s="542"/>
      <c r="J20" s="542"/>
      <c r="K20" s="542"/>
      <c r="L20" s="542"/>
      <c r="M20" s="542"/>
      <c r="N20" s="542"/>
      <c r="O20" s="542"/>
      <c r="P20" s="542"/>
      <c r="Q20" s="542"/>
      <c r="R20" s="599" t="s">
        <v>111</v>
      </c>
      <c r="S20" s="542"/>
      <c r="T20" s="542"/>
      <c r="U20" s="409"/>
      <c r="V20" s="405"/>
    </row>
    <row r="21" spans="1:22" x14ac:dyDescent="0.3">
      <c r="A21" s="407"/>
      <c r="B21" s="409"/>
      <c r="C21" s="409"/>
      <c r="D21" s="409"/>
      <c r="E21" s="409"/>
      <c r="F21" s="409"/>
      <c r="G21" s="409"/>
      <c r="H21" s="409"/>
      <c r="I21" s="409"/>
      <c r="J21" s="409"/>
      <c r="K21" s="409"/>
      <c r="L21" s="409"/>
      <c r="M21" s="409"/>
      <c r="N21" s="409"/>
      <c r="O21" s="409"/>
      <c r="P21" s="409"/>
      <c r="Q21" s="409"/>
      <c r="R21" s="409"/>
      <c r="S21" s="409"/>
      <c r="T21" s="417"/>
      <c r="U21" s="409"/>
      <c r="V21" s="405"/>
    </row>
    <row r="22" spans="1:22" x14ac:dyDescent="0.3">
      <c r="A22" s="503"/>
      <c r="B22" s="608"/>
      <c r="C22" s="609"/>
      <c r="D22" s="609" t="s">
        <v>185</v>
      </c>
      <c r="E22" s="609"/>
      <c r="F22" s="609" t="s">
        <v>186</v>
      </c>
      <c r="G22" s="609"/>
      <c r="H22" s="609" t="s">
        <v>187</v>
      </c>
      <c r="I22" s="609"/>
      <c r="J22" s="609" t="s">
        <v>188</v>
      </c>
      <c r="K22" s="609"/>
      <c r="L22" s="609" t="s">
        <v>189</v>
      </c>
      <c r="M22" s="609"/>
      <c r="N22" s="609" t="s">
        <v>190</v>
      </c>
      <c r="O22" s="609"/>
      <c r="P22" s="609" t="s">
        <v>191</v>
      </c>
      <c r="Q22" s="610"/>
      <c r="R22" s="610"/>
      <c r="S22" s="608"/>
      <c r="T22" s="608"/>
      <c r="U22" s="611"/>
      <c r="V22" s="405"/>
    </row>
    <row r="23" spans="1:22" x14ac:dyDescent="0.3">
      <c r="A23" s="604"/>
      <c r="B23" s="605" t="s">
        <v>7</v>
      </c>
      <c r="C23" s="606"/>
      <c r="D23" s="606" t="s">
        <v>150</v>
      </c>
      <c r="E23" s="606"/>
      <c r="F23" s="606" t="s">
        <v>150</v>
      </c>
      <c r="G23" s="606"/>
      <c r="H23" s="606" t="s">
        <v>150</v>
      </c>
      <c r="I23" s="606"/>
      <c r="J23" s="606" t="s">
        <v>192</v>
      </c>
      <c r="K23" s="606"/>
      <c r="L23" s="606" t="s">
        <v>192</v>
      </c>
      <c r="M23" s="606"/>
      <c r="N23" s="606" t="s">
        <v>151</v>
      </c>
      <c r="O23" s="606"/>
      <c r="P23" s="606" t="s">
        <v>151</v>
      </c>
      <c r="Q23" s="606"/>
      <c r="R23" s="606"/>
      <c r="S23" s="605"/>
      <c r="T23" s="605"/>
      <c r="U23" s="607"/>
      <c r="V23" s="405"/>
    </row>
    <row r="24" spans="1:22" x14ac:dyDescent="0.3">
      <c r="A24" s="418"/>
      <c r="B24" s="532" t="s">
        <v>8</v>
      </c>
      <c r="C24" s="582"/>
      <c r="D24" s="582" t="s">
        <v>152</v>
      </c>
      <c r="E24" s="582"/>
      <c r="F24" s="582" t="s">
        <v>152</v>
      </c>
      <c r="G24" s="582"/>
      <c r="H24" s="582" t="s">
        <v>152</v>
      </c>
      <c r="I24" s="582"/>
      <c r="J24" s="582" t="s">
        <v>193</v>
      </c>
      <c r="K24" s="582"/>
      <c r="L24" s="582" t="s">
        <v>193</v>
      </c>
      <c r="M24" s="582"/>
      <c r="N24" s="582" t="s">
        <v>153</v>
      </c>
      <c r="O24" s="582"/>
      <c r="P24" s="582" t="s">
        <v>153</v>
      </c>
      <c r="Q24" s="582"/>
      <c r="R24" s="582"/>
      <c r="S24" s="532"/>
      <c r="T24" s="532"/>
      <c r="U24" s="420"/>
      <c r="V24" s="405"/>
    </row>
    <row r="25" spans="1:22" x14ac:dyDescent="0.3">
      <c r="A25" s="421"/>
      <c r="B25" s="536" t="s">
        <v>9</v>
      </c>
      <c r="C25" s="583"/>
      <c r="D25" s="583" t="s">
        <v>329</v>
      </c>
      <c r="E25" s="583"/>
      <c r="F25" s="583" t="s">
        <v>329</v>
      </c>
      <c r="G25" s="583"/>
      <c r="H25" s="583" t="s">
        <v>329</v>
      </c>
      <c r="I25" s="583"/>
      <c r="J25" s="583" t="s">
        <v>192</v>
      </c>
      <c r="K25" s="583"/>
      <c r="L25" s="583" t="s">
        <v>192</v>
      </c>
      <c r="M25" s="583"/>
      <c r="N25" s="583" t="s">
        <v>340</v>
      </c>
      <c r="O25" s="583"/>
      <c r="P25" s="583" t="s">
        <v>340</v>
      </c>
      <c r="Q25" s="583"/>
      <c r="R25" s="582"/>
      <c r="S25" s="532"/>
      <c r="T25" s="532"/>
      <c r="U25" s="420"/>
      <c r="V25" s="405"/>
    </row>
    <row r="26" spans="1:22" x14ac:dyDescent="0.3">
      <c r="A26" s="421"/>
      <c r="B26" s="536" t="s">
        <v>10</v>
      </c>
      <c r="C26" s="583"/>
      <c r="D26" s="583" t="s">
        <v>339</v>
      </c>
      <c r="E26" s="583"/>
      <c r="F26" s="583" t="s">
        <v>339</v>
      </c>
      <c r="G26" s="583"/>
      <c r="H26" s="583" t="s">
        <v>339</v>
      </c>
      <c r="I26" s="583"/>
      <c r="J26" s="583" t="s">
        <v>339</v>
      </c>
      <c r="K26" s="583"/>
      <c r="L26" s="583" t="s">
        <v>339</v>
      </c>
      <c r="M26" s="583"/>
      <c r="N26" s="583" t="s">
        <v>314</v>
      </c>
      <c r="O26" s="583"/>
      <c r="P26" s="583" t="s">
        <v>314</v>
      </c>
      <c r="Q26" s="583"/>
      <c r="R26" s="582"/>
      <c r="S26" s="532"/>
      <c r="T26" s="532"/>
      <c r="U26" s="420"/>
      <c r="V26" s="405"/>
    </row>
    <row r="27" spans="1:22" x14ac:dyDescent="0.3">
      <c r="A27" s="418"/>
      <c r="B27" s="532" t="s">
        <v>11</v>
      </c>
      <c r="C27" s="582"/>
      <c r="D27" s="582" t="s">
        <v>194</v>
      </c>
      <c r="E27" s="582"/>
      <c r="F27" s="552" t="s">
        <v>195</v>
      </c>
      <c r="G27" s="582"/>
      <c r="H27" s="582" t="s">
        <v>196</v>
      </c>
      <c r="I27" s="582"/>
      <c r="J27" s="582" t="s">
        <v>198</v>
      </c>
      <c r="K27" s="582"/>
      <c r="L27" s="582" t="s">
        <v>199</v>
      </c>
      <c r="M27" s="582"/>
      <c r="N27" s="582" t="s">
        <v>200</v>
      </c>
      <c r="O27" s="582"/>
      <c r="P27" s="582" t="s">
        <v>201</v>
      </c>
      <c r="Q27" s="582"/>
      <c r="R27" s="552"/>
      <c r="S27" s="532"/>
      <c r="T27" s="532"/>
      <c r="U27" s="420"/>
      <c r="V27" s="405"/>
    </row>
    <row r="28" spans="1:22" x14ac:dyDescent="0.3">
      <c r="A28" s="418"/>
      <c r="B28" s="532" t="s">
        <v>11</v>
      </c>
      <c r="C28" s="582"/>
      <c r="D28" s="582" t="s">
        <v>127</v>
      </c>
      <c r="E28" s="582"/>
      <c r="F28" s="552" t="s">
        <v>127</v>
      </c>
      <c r="G28" s="582"/>
      <c r="H28" s="582" t="s">
        <v>197</v>
      </c>
      <c r="I28" s="582"/>
      <c r="J28" s="582" t="s">
        <v>127</v>
      </c>
      <c r="K28" s="582"/>
      <c r="L28" s="582" t="s">
        <v>127</v>
      </c>
      <c r="M28" s="582"/>
      <c r="N28" s="582" t="s">
        <v>127</v>
      </c>
      <c r="O28" s="582"/>
      <c r="P28" s="582" t="s">
        <v>127</v>
      </c>
      <c r="Q28" s="582"/>
      <c r="R28" s="552"/>
      <c r="S28" s="532"/>
      <c r="T28" s="532"/>
      <c r="U28" s="420"/>
      <c r="V28" s="405"/>
    </row>
    <row r="29" spans="1:22" x14ac:dyDescent="0.3">
      <c r="A29" s="418"/>
      <c r="B29" s="532" t="s">
        <v>142</v>
      </c>
      <c r="C29" s="584"/>
      <c r="D29" s="577">
        <v>346000</v>
      </c>
      <c r="E29" s="584"/>
      <c r="F29" s="585">
        <v>355000</v>
      </c>
      <c r="G29" s="577"/>
      <c r="H29" s="586">
        <v>60000</v>
      </c>
      <c r="I29" s="577"/>
      <c r="J29" s="577">
        <v>7000</v>
      </c>
      <c r="K29" s="577"/>
      <c r="L29" s="585">
        <v>29500</v>
      </c>
      <c r="M29" s="577"/>
      <c r="N29" s="587">
        <v>3000</v>
      </c>
      <c r="O29" s="577"/>
      <c r="P29" s="585">
        <v>66000</v>
      </c>
      <c r="Q29" s="577"/>
      <c r="R29" s="577"/>
      <c r="S29" s="584"/>
      <c r="T29" s="577"/>
      <c r="U29" s="423"/>
      <c r="V29" s="405"/>
    </row>
    <row r="30" spans="1:22" x14ac:dyDescent="0.3">
      <c r="A30" s="418"/>
      <c r="B30" s="532" t="s">
        <v>141</v>
      </c>
      <c r="C30" s="584"/>
      <c r="D30" s="577">
        <f>D29*D36</f>
        <v>100450.72</v>
      </c>
      <c r="E30" s="584"/>
      <c r="F30" s="585">
        <f>F29*F36</f>
        <v>103063.6</v>
      </c>
      <c r="G30" s="577"/>
      <c r="H30" s="586">
        <f>H29*H36</f>
        <v>17419.067999999999</v>
      </c>
      <c r="I30" s="577"/>
      <c r="J30" s="577">
        <f>J29*J36</f>
        <v>4624.3554000000004</v>
      </c>
      <c r="K30" s="577"/>
      <c r="L30" s="585">
        <f>L29*L36</f>
        <v>19488.354900000002</v>
      </c>
      <c r="M30" s="577"/>
      <c r="N30" s="587">
        <f>N29*N36</f>
        <v>1981.8666000000001</v>
      </c>
      <c r="O30" s="577"/>
      <c r="P30" s="585">
        <f>P29*P36</f>
        <v>43601.065200000005</v>
      </c>
      <c r="Q30" s="577"/>
      <c r="R30" s="577"/>
      <c r="S30" s="584"/>
      <c r="T30" s="577"/>
      <c r="U30" s="423"/>
      <c r="V30" s="405"/>
    </row>
    <row r="31" spans="1:22" x14ac:dyDescent="0.3">
      <c r="A31" s="421"/>
      <c r="B31" s="536" t="s">
        <v>143</v>
      </c>
      <c r="C31" s="588"/>
      <c r="D31" s="589">
        <f>D35*D29</f>
        <v>99288.506000000008</v>
      </c>
      <c r="E31" s="588"/>
      <c r="F31" s="590">
        <f>F35*F29</f>
        <v>101871.15500000001</v>
      </c>
      <c r="G31" s="589"/>
      <c r="H31" s="591">
        <f>H35*H29</f>
        <v>17217.522000000001</v>
      </c>
      <c r="I31" s="589"/>
      <c r="J31" s="589">
        <f>J35*J29</f>
        <v>4570.8487999999998</v>
      </c>
      <c r="K31" s="589"/>
      <c r="L31" s="590">
        <f>L35*L29</f>
        <v>19262.862799999999</v>
      </c>
      <c r="M31" s="589"/>
      <c r="N31" s="592">
        <f>N35*N29</f>
        <v>1958.9351999999999</v>
      </c>
      <c r="O31" s="589"/>
      <c r="P31" s="590">
        <f>P35*P29</f>
        <v>43096.574399999998</v>
      </c>
      <c r="Q31" s="589"/>
      <c r="R31" s="589"/>
      <c r="S31" s="588"/>
      <c r="T31" s="589"/>
      <c r="U31" s="423"/>
      <c r="V31" s="405"/>
    </row>
    <row r="32" spans="1:22" x14ac:dyDescent="0.3">
      <c r="A32" s="418"/>
      <c r="B32" s="532" t="s">
        <v>289</v>
      </c>
      <c r="C32" s="584"/>
      <c r="D32" s="577">
        <v>346000</v>
      </c>
      <c r="E32" s="584"/>
      <c r="F32" s="577">
        <v>244500</v>
      </c>
      <c r="G32" s="577"/>
      <c r="H32" s="577">
        <v>33900</v>
      </c>
      <c r="I32" s="577"/>
      <c r="J32" s="577">
        <v>7000</v>
      </c>
      <c r="K32" s="577"/>
      <c r="L32" s="577">
        <v>20300</v>
      </c>
      <c r="M32" s="577"/>
      <c r="N32" s="577">
        <v>3000</v>
      </c>
      <c r="O32" s="577"/>
      <c r="P32" s="577">
        <v>45300</v>
      </c>
      <c r="Q32" s="577"/>
      <c r="R32" s="577"/>
      <c r="S32" s="584"/>
      <c r="T32" s="577">
        <f>SUM(C32:P32)</f>
        <v>700000</v>
      </c>
      <c r="U32" s="423"/>
      <c r="V32" s="405"/>
    </row>
    <row r="33" spans="1:22" x14ac:dyDescent="0.3">
      <c r="A33" s="418"/>
      <c r="B33" s="532" t="s">
        <v>290</v>
      </c>
      <c r="C33" s="584"/>
      <c r="D33" s="577">
        <f>D32*D36</f>
        <v>100450.72</v>
      </c>
      <c r="E33" s="584"/>
      <c r="F33" s="577">
        <f>F32*F36</f>
        <v>70983.240000000005</v>
      </c>
      <c r="G33" s="577"/>
      <c r="H33" s="577">
        <f>H32*H36</f>
        <v>9841.7734200000014</v>
      </c>
      <c r="I33" s="577"/>
      <c r="J33" s="577">
        <f>J32*J36</f>
        <v>4624.3554000000004</v>
      </c>
      <c r="K33" s="577"/>
      <c r="L33" s="577">
        <f>L32*L36</f>
        <v>13410.630660000001</v>
      </c>
      <c r="M33" s="577"/>
      <c r="N33" s="577">
        <f>N32*N36</f>
        <v>1981.8666000000001</v>
      </c>
      <c r="O33" s="577"/>
      <c r="P33" s="577">
        <f>P32*P36</f>
        <v>29926.185660000003</v>
      </c>
      <c r="Q33" s="577"/>
      <c r="R33" s="577"/>
      <c r="S33" s="584"/>
      <c r="T33" s="577">
        <f>SUM(C33:P33)</f>
        <v>231218.77174000005</v>
      </c>
      <c r="U33" s="423"/>
      <c r="V33" s="405"/>
    </row>
    <row r="34" spans="1:22" x14ac:dyDescent="0.3">
      <c r="A34" s="421"/>
      <c r="B34" s="536" t="s">
        <v>291</v>
      </c>
      <c r="C34" s="588"/>
      <c r="D34" s="589">
        <f>D35*D32</f>
        <v>99288.506000000008</v>
      </c>
      <c r="E34" s="588"/>
      <c r="F34" s="589">
        <f>F35*F32</f>
        <v>70161.964500000002</v>
      </c>
      <c r="G34" s="589"/>
      <c r="H34" s="589">
        <f>H35*H32</f>
        <v>9727.8999299999996</v>
      </c>
      <c r="I34" s="589"/>
      <c r="J34" s="589">
        <f>J35*J32</f>
        <v>4570.8487999999998</v>
      </c>
      <c r="K34" s="589"/>
      <c r="L34" s="589">
        <f>L35*L32</f>
        <v>13255.461519999999</v>
      </c>
      <c r="M34" s="589"/>
      <c r="N34" s="589">
        <f>N35*N32</f>
        <v>1958.9351999999999</v>
      </c>
      <c r="O34" s="589"/>
      <c r="P34" s="589">
        <f>P35*P32</f>
        <v>29579.92152</v>
      </c>
      <c r="Q34" s="589"/>
      <c r="R34" s="589"/>
      <c r="S34" s="588"/>
      <c r="T34" s="589">
        <f>SUM(C34:P34)</f>
        <v>228543.53747000004</v>
      </c>
      <c r="U34" s="423"/>
      <c r="V34" s="405"/>
    </row>
    <row r="35" spans="1:22" x14ac:dyDescent="0.3">
      <c r="A35" s="421"/>
      <c r="B35" s="514" t="s">
        <v>139</v>
      </c>
      <c r="C35" s="515"/>
      <c r="D35" s="516">
        <v>0.28696100000000002</v>
      </c>
      <c r="E35" s="517"/>
      <c r="F35" s="516">
        <v>0.28696100000000002</v>
      </c>
      <c r="G35" s="516"/>
      <c r="H35" s="516">
        <v>0.28695870000000001</v>
      </c>
      <c r="I35" s="518"/>
      <c r="J35" s="516">
        <v>0.65297839999999996</v>
      </c>
      <c r="K35" s="516"/>
      <c r="L35" s="516">
        <v>0.65297839999999996</v>
      </c>
      <c r="M35" s="518"/>
      <c r="N35" s="516">
        <v>0.65297839999999996</v>
      </c>
      <c r="O35" s="516"/>
      <c r="P35" s="516">
        <v>0.65297839999999996</v>
      </c>
      <c r="Q35" s="424"/>
      <c r="R35" s="424"/>
      <c r="S35" s="425"/>
      <c r="T35" s="424"/>
      <c r="U35" s="426"/>
      <c r="V35" s="405"/>
    </row>
    <row r="36" spans="1:22" x14ac:dyDescent="0.3">
      <c r="A36" s="421"/>
      <c r="B36" s="514" t="s">
        <v>140</v>
      </c>
      <c r="C36" s="515"/>
      <c r="D36" s="516">
        <v>0.29032000000000002</v>
      </c>
      <c r="E36" s="517"/>
      <c r="F36" s="516">
        <v>0.29032000000000002</v>
      </c>
      <c r="G36" s="516"/>
      <c r="H36" s="516">
        <v>0.29031780000000001</v>
      </c>
      <c r="I36" s="518"/>
      <c r="J36" s="516">
        <v>0.66062220000000005</v>
      </c>
      <c r="K36" s="516"/>
      <c r="L36" s="516">
        <v>0.66062220000000005</v>
      </c>
      <c r="M36" s="518"/>
      <c r="N36" s="516">
        <v>0.66062220000000005</v>
      </c>
      <c r="O36" s="516"/>
      <c r="P36" s="516">
        <v>0.66062220000000005</v>
      </c>
      <c r="Q36" s="427"/>
      <c r="R36" s="427"/>
      <c r="S36" s="425"/>
      <c r="T36" s="424"/>
      <c r="U36" s="426"/>
      <c r="V36" s="405"/>
    </row>
    <row r="37" spans="1:22" x14ac:dyDescent="0.3">
      <c r="A37" s="428"/>
      <c r="B37" s="532" t="s">
        <v>12</v>
      </c>
      <c r="C37" s="532"/>
      <c r="D37" s="552" t="s">
        <v>166</v>
      </c>
      <c r="E37" s="532"/>
      <c r="F37" s="552" t="s">
        <v>166</v>
      </c>
      <c r="G37" s="552"/>
      <c r="H37" s="552" t="s">
        <v>166</v>
      </c>
      <c r="I37" s="552"/>
      <c r="J37" s="552" t="s">
        <v>204</v>
      </c>
      <c r="K37" s="552"/>
      <c r="L37" s="552" t="s">
        <v>204</v>
      </c>
      <c r="M37" s="552"/>
      <c r="N37" s="552" t="s">
        <v>205</v>
      </c>
      <c r="O37" s="552"/>
      <c r="P37" s="552" t="s">
        <v>205</v>
      </c>
      <c r="Q37" s="552"/>
      <c r="R37" s="552"/>
      <c r="S37" s="532"/>
      <c r="T37" s="532"/>
      <c r="U37" s="562"/>
      <c r="V37" s="405"/>
    </row>
    <row r="38" spans="1:22" x14ac:dyDescent="0.3">
      <c r="A38" s="428"/>
      <c r="B38" s="532" t="s">
        <v>13</v>
      </c>
      <c r="C38" s="532"/>
      <c r="D38" s="574">
        <v>8.8625000000000006E-3</v>
      </c>
      <c r="E38" s="532"/>
      <c r="F38" s="574">
        <v>3.1E-4</v>
      </c>
      <c r="G38" s="558"/>
      <c r="H38" s="574">
        <v>1.7758599999999999E-2</v>
      </c>
      <c r="I38" s="558"/>
      <c r="J38" s="574">
        <v>1.1062499999999999E-2</v>
      </c>
      <c r="K38" s="558"/>
      <c r="L38" s="574">
        <v>2.5100000000000001E-3</v>
      </c>
      <c r="M38" s="558"/>
      <c r="N38" s="574">
        <v>1.5662499999999999E-2</v>
      </c>
      <c r="O38" s="558"/>
      <c r="P38" s="574">
        <v>7.11E-3</v>
      </c>
      <c r="Q38" s="558"/>
      <c r="R38" s="574"/>
      <c r="S38" s="532"/>
      <c r="T38" s="558"/>
      <c r="U38" s="562"/>
      <c r="V38" s="405"/>
    </row>
    <row r="39" spans="1:22" x14ac:dyDescent="0.3">
      <c r="A39" s="428"/>
      <c r="B39" s="532" t="s">
        <v>14</v>
      </c>
      <c r="C39" s="532"/>
      <c r="D39" s="574">
        <v>6.3962999999999997E-3</v>
      </c>
      <c r="E39" s="532"/>
      <c r="F39" s="574">
        <v>3.1E-4</v>
      </c>
      <c r="G39" s="558"/>
      <c r="H39" s="574">
        <v>1.6750000000000001E-2</v>
      </c>
      <c r="I39" s="558"/>
      <c r="J39" s="574">
        <v>8.5962999999999994E-3</v>
      </c>
      <c r="K39" s="558"/>
      <c r="L39" s="574">
        <v>2.5100000000000001E-3</v>
      </c>
      <c r="M39" s="558"/>
      <c r="N39" s="574">
        <v>1.3196299999999999E-2</v>
      </c>
      <c r="O39" s="558"/>
      <c r="P39" s="574">
        <v>7.11E-3</v>
      </c>
      <c r="Q39" s="558"/>
      <c r="R39" s="574"/>
      <c r="S39" s="532"/>
      <c r="T39" s="532"/>
      <c r="U39" s="562"/>
      <c r="V39" s="405"/>
    </row>
    <row r="40" spans="1:22" x14ac:dyDescent="0.3">
      <c r="A40" s="428"/>
      <c r="B40" s="532" t="s">
        <v>292</v>
      </c>
      <c r="C40" s="532"/>
      <c r="D40" s="552" t="s">
        <v>166</v>
      </c>
      <c r="E40" s="532"/>
      <c r="F40" s="552" t="s">
        <v>209</v>
      </c>
      <c r="G40" s="552"/>
      <c r="H40" s="552" t="s">
        <v>210</v>
      </c>
      <c r="I40" s="552"/>
      <c r="J40" s="552" t="s">
        <v>204</v>
      </c>
      <c r="K40" s="552"/>
      <c r="L40" s="552" t="s">
        <v>211</v>
      </c>
      <c r="M40" s="552"/>
      <c r="N40" s="552" t="s">
        <v>205</v>
      </c>
      <c r="O40" s="552"/>
      <c r="P40" s="552" t="s">
        <v>212</v>
      </c>
      <c r="Q40" s="558"/>
      <c r="R40" s="574"/>
      <c r="S40" s="532"/>
      <c r="T40" s="558"/>
      <c r="U40" s="562"/>
      <c r="V40" s="405"/>
    </row>
    <row r="41" spans="1:22" x14ac:dyDescent="0.3">
      <c r="A41" s="428"/>
      <c r="B41" s="532" t="s">
        <v>293</v>
      </c>
      <c r="C41" s="532"/>
      <c r="D41" s="574">
        <f>+D38</f>
        <v>8.8625000000000006E-3</v>
      </c>
      <c r="E41" s="532"/>
      <c r="F41" s="574">
        <v>9.0624999999999994E-3</v>
      </c>
      <c r="G41" s="558"/>
      <c r="H41" s="574">
        <v>9.3224999999999992E-3</v>
      </c>
      <c r="I41" s="558"/>
      <c r="J41" s="574">
        <f>+J38</f>
        <v>1.1062499999999999E-2</v>
      </c>
      <c r="K41" s="558"/>
      <c r="L41" s="574">
        <v>1.16525E-2</v>
      </c>
      <c r="M41" s="558"/>
      <c r="N41" s="574">
        <f>+N38</f>
        <v>1.5662499999999999E-2</v>
      </c>
      <c r="O41" s="558"/>
      <c r="P41" s="574">
        <v>1.6542500000000002E-2</v>
      </c>
      <c r="Q41" s="558"/>
      <c r="R41" s="574"/>
      <c r="S41" s="532"/>
      <c r="T41" s="558">
        <f>SUMPRODUCT(D41:P41,D33:P33)/T33</f>
        <v>1.0201590687202351E-2</v>
      </c>
      <c r="U41" s="562"/>
      <c r="V41" s="405"/>
    </row>
    <row r="42" spans="1:22" x14ac:dyDescent="0.3">
      <c r="A42" s="428"/>
      <c r="B42" s="532" t="s">
        <v>294</v>
      </c>
      <c r="C42" s="532"/>
      <c r="D42" s="574">
        <f>+D39</f>
        <v>6.3962999999999997E-3</v>
      </c>
      <c r="E42" s="532"/>
      <c r="F42" s="574">
        <v>6.5963000000000003E-3</v>
      </c>
      <c r="G42" s="558"/>
      <c r="H42" s="574">
        <v>6.8563000000000001E-3</v>
      </c>
      <c r="I42" s="558"/>
      <c r="J42" s="574">
        <f>+J39</f>
        <v>8.5962999999999994E-3</v>
      </c>
      <c r="K42" s="558"/>
      <c r="L42" s="574">
        <v>9.1862999999999997E-3</v>
      </c>
      <c r="M42" s="558"/>
      <c r="N42" s="574">
        <f>+N39</f>
        <v>1.3196299999999999E-2</v>
      </c>
      <c r="O42" s="558"/>
      <c r="P42" s="574">
        <v>1.40763E-2</v>
      </c>
      <c r="Q42" s="558"/>
      <c r="R42" s="574"/>
      <c r="S42" s="532"/>
      <c r="T42" s="532"/>
      <c r="U42" s="562"/>
      <c r="V42" s="405"/>
    </row>
    <row r="43" spans="1:22" x14ac:dyDescent="0.3">
      <c r="A43" s="428"/>
      <c r="B43" s="532" t="s">
        <v>15</v>
      </c>
      <c r="C43" s="575"/>
      <c r="D43" s="575">
        <v>39948</v>
      </c>
      <c r="E43" s="575"/>
      <c r="F43" s="575">
        <v>39948</v>
      </c>
      <c r="G43" s="575"/>
      <c r="H43" s="575">
        <v>39948</v>
      </c>
      <c r="I43" s="575"/>
      <c r="J43" s="575">
        <v>39948</v>
      </c>
      <c r="K43" s="575"/>
      <c r="L43" s="575">
        <v>39948</v>
      </c>
      <c r="M43" s="575"/>
      <c r="N43" s="575">
        <v>39948</v>
      </c>
      <c r="O43" s="575"/>
      <c r="P43" s="575">
        <v>39948</v>
      </c>
      <c r="Q43" s="552"/>
      <c r="R43" s="552"/>
      <c r="S43" s="532"/>
      <c r="T43" s="532"/>
      <c r="U43" s="562"/>
      <c r="V43" s="405"/>
    </row>
    <row r="44" spans="1:22" x14ac:dyDescent="0.3">
      <c r="A44" s="428"/>
      <c r="B44" s="532" t="s">
        <v>16</v>
      </c>
      <c r="C44" s="575"/>
      <c r="D44" s="575">
        <v>40313</v>
      </c>
      <c r="E44" s="575"/>
      <c r="F44" s="575">
        <v>40313</v>
      </c>
      <c r="G44" s="575"/>
      <c r="H44" s="575">
        <v>40313</v>
      </c>
      <c r="I44" s="552"/>
      <c r="J44" s="575">
        <v>40313</v>
      </c>
      <c r="K44" s="552"/>
      <c r="L44" s="575">
        <v>40313</v>
      </c>
      <c r="M44" s="552"/>
      <c r="N44" s="575">
        <v>40313</v>
      </c>
      <c r="O44" s="552"/>
      <c r="P44" s="575">
        <v>40313</v>
      </c>
      <c r="Q44" s="552"/>
      <c r="R44" s="552"/>
      <c r="S44" s="532"/>
      <c r="T44" s="532"/>
      <c r="U44" s="562"/>
      <c r="V44" s="405"/>
    </row>
    <row r="45" spans="1:22" x14ac:dyDescent="0.3">
      <c r="A45" s="428"/>
      <c r="B45" s="532" t="s">
        <v>128</v>
      </c>
      <c r="C45" s="532"/>
      <c r="D45" s="552" t="s">
        <v>166</v>
      </c>
      <c r="E45" s="532"/>
      <c r="F45" s="552" t="s">
        <v>166</v>
      </c>
      <c r="G45" s="552"/>
      <c r="H45" s="552" t="s">
        <v>166</v>
      </c>
      <c r="I45" s="552"/>
      <c r="J45" s="552" t="s">
        <v>204</v>
      </c>
      <c r="K45" s="552"/>
      <c r="L45" s="552" t="s">
        <v>204</v>
      </c>
      <c r="M45" s="552"/>
      <c r="N45" s="552" t="s">
        <v>205</v>
      </c>
      <c r="O45" s="552"/>
      <c r="P45" s="552" t="s">
        <v>205</v>
      </c>
      <c r="Q45" s="552"/>
      <c r="R45" s="552"/>
      <c r="S45" s="532"/>
      <c r="T45" s="532"/>
      <c r="U45" s="562"/>
      <c r="V45" s="405"/>
    </row>
    <row r="46" spans="1:22" x14ac:dyDescent="0.3">
      <c r="A46" s="428"/>
      <c r="B46" s="532" t="s">
        <v>295</v>
      </c>
      <c r="C46" s="532"/>
      <c r="D46" s="552" t="s">
        <v>166</v>
      </c>
      <c r="E46" s="532"/>
      <c r="F46" s="552" t="s">
        <v>209</v>
      </c>
      <c r="G46" s="552"/>
      <c r="H46" s="552" t="s">
        <v>210</v>
      </c>
      <c r="I46" s="552"/>
      <c r="J46" s="552" t="s">
        <v>204</v>
      </c>
      <c r="K46" s="552"/>
      <c r="L46" s="552" t="s">
        <v>211</v>
      </c>
      <c r="M46" s="552"/>
      <c r="N46" s="552" t="s">
        <v>205</v>
      </c>
      <c r="O46" s="552"/>
      <c r="P46" s="552" t="s">
        <v>212</v>
      </c>
      <c r="Q46" s="552"/>
      <c r="R46" s="552"/>
      <c r="S46" s="532"/>
      <c r="T46" s="532"/>
      <c r="U46" s="562"/>
      <c r="V46" s="405"/>
    </row>
    <row r="47" spans="1:22" x14ac:dyDescent="0.3">
      <c r="A47" s="428"/>
      <c r="B47" s="532"/>
      <c r="C47" s="532"/>
      <c r="D47" s="532"/>
      <c r="E47" s="532"/>
      <c r="F47" s="552"/>
      <c r="G47" s="552"/>
      <c r="H47" s="550"/>
      <c r="I47" s="550"/>
      <c r="J47" s="550"/>
      <c r="K47" s="550"/>
      <c r="L47" s="550"/>
      <c r="M47" s="550"/>
      <c r="N47" s="550"/>
      <c r="O47" s="550"/>
      <c r="P47" s="550"/>
      <c r="Q47" s="550"/>
      <c r="R47" s="550"/>
      <c r="S47" s="550"/>
      <c r="T47" s="550"/>
      <c r="U47" s="562"/>
      <c r="V47" s="405"/>
    </row>
    <row r="48" spans="1:22" x14ac:dyDescent="0.3">
      <c r="A48" s="428"/>
      <c r="B48" s="532" t="s">
        <v>224</v>
      </c>
      <c r="C48" s="532"/>
      <c r="D48" s="532"/>
      <c r="E48" s="532"/>
      <c r="F48" s="576"/>
      <c r="G48" s="532"/>
      <c r="H48" s="532"/>
      <c r="I48" s="532"/>
      <c r="J48" s="532"/>
      <c r="K48" s="532"/>
      <c r="L48" s="532"/>
      <c r="M48" s="532"/>
      <c r="N48" s="532"/>
      <c r="O48" s="532"/>
      <c r="P48" s="532"/>
      <c r="Q48" s="532"/>
      <c r="R48" s="532"/>
      <c r="S48" s="532"/>
      <c r="T48" s="558">
        <f>SUM(J32:P32)/SUM(D32:H32)</f>
        <v>0.1210762331838565</v>
      </c>
      <c r="U48" s="562"/>
      <c r="V48" s="405"/>
    </row>
    <row r="49" spans="1:23" x14ac:dyDescent="0.3">
      <c r="A49" s="428"/>
      <c r="B49" s="532" t="s">
        <v>225</v>
      </c>
      <c r="C49" s="532"/>
      <c r="D49" s="532"/>
      <c r="E49" s="532"/>
      <c r="F49" s="576"/>
      <c r="G49" s="532"/>
      <c r="H49" s="532"/>
      <c r="I49" s="532"/>
      <c r="J49" s="532"/>
      <c r="K49" s="532"/>
      <c r="L49" s="532"/>
      <c r="M49" s="532"/>
      <c r="N49" s="532"/>
      <c r="O49" s="532"/>
      <c r="P49" s="532"/>
      <c r="Q49" s="532"/>
      <c r="R49" s="532"/>
      <c r="S49" s="532"/>
      <c r="T49" s="558">
        <f>SUM(J34:P34)/SUM(D34:H34)</f>
        <v>0.27550851657781761</v>
      </c>
      <c r="U49" s="562"/>
      <c r="V49" s="405"/>
    </row>
    <row r="50" spans="1:23" x14ac:dyDescent="0.3">
      <c r="A50" s="428"/>
      <c r="B50" s="532" t="s">
        <v>226</v>
      </c>
      <c r="C50" s="532"/>
      <c r="D50" s="532"/>
      <c r="E50" s="532"/>
      <c r="F50" s="532"/>
      <c r="G50" s="532"/>
      <c r="H50" s="532"/>
      <c r="I50" s="532"/>
      <c r="J50" s="532"/>
      <c r="K50" s="532"/>
      <c r="L50" s="532"/>
      <c r="M50" s="532"/>
      <c r="N50" s="532"/>
      <c r="O50" s="532"/>
      <c r="P50" s="532"/>
      <c r="Q50" s="532"/>
      <c r="R50" s="552" t="s">
        <v>112</v>
      </c>
      <c r="S50" s="552" t="s">
        <v>118</v>
      </c>
      <c r="T50" s="577">
        <f>+T32/2-SUM(J32:P32)</f>
        <v>274400</v>
      </c>
      <c r="U50" s="562"/>
      <c r="V50" s="405"/>
    </row>
    <row r="51" spans="1:23" x14ac:dyDescent="0.3">
      <c r="A51" s="428"/>
      <c r="B51" s="532"/>
      <c r="C51" s="532"/>
      <c r="D51" s="532"/>
      <c r="E51" s="532"/>
      <c r="F51" s="532"/>
      <c r="G51" s="532"/>
      <c r="H51" s="532"/>
      <c r="I51" s="532"/>
      <c r="J51" s="532"/>
      <c r="K51" s="532"/>
      <c r="L51" s="532"/>
      <c r="M51" s="532"/>
      <c r="N51" s="532"/>
      <c r="O51" s="532"/>
      <c r="P51" s="532"/>
      <c r="Q51" s="532"/>
      <c r="R51" s="532" t="s">
        <v>284</v>
      </c>
      <c r="S51" s="532"/>
      <c r="T51" s="560"/>
      <c r="U51" s="562"/>
      <c r="V51" s="405"/>
    </row>
    <row r="52" spans="1:23" x14ac:dyDescent="0.3">
      <c r="A52" s="428"/>
      <c r="B52" s="532" t="s">
        <v>154</v>
      </c>
      <c r="C52" s="532"/>
      <c r="D52" s="532"/>
      <c r="E52" s="532"/>
      <c r="F52" s="532"/>
      <c r="G52" s="532"/>
      <c r="H52" s="532"/>
      <c r="I52" s="532"/>
      <c r="J52" s="532"/>
      <c r="K52" s="532"/>
      <c r="L52" s="532"/>
      <c r="M52" s="532"/>
      <c r="N52" s="532"/>
      <c r="O52" s="532"/>
      <c r="P52" s="532"/>
      <c r="Q52" s="532"/>
      <c r="R52" s="552"/>
      <c r="S52" s="552"/>
      <c r="T52" s="552" t="s">
        <v>120</v>
      </c>
      <c r="U52" s="562"/>
      <c r="V52" s="405"/>
    </row>
    <row r="53" spans="1:23" x14ac:dyDescent="0.3">
      <c r="A53" s="428"/>
      <c r="B53" s="536" t="s">
        <v>155</v>
      </c>
      <c r="C53" s="536"/>
      <c r="D53" s="536"/>
      <c r="E53" s="536"/>
      <c r="F53" s="536"/>
      <c r="G53" s="536"/>
      <c r="H53" s="536"/>
      <c r="I53" s="536"/>
      <c r="J53" s="536"/>
      <c r="K53" s="536"/>
      <c r="L53" s="536"/>
      <c r="M53" s="536"/>
      <c r="N53" s="536"/>
      <c r="O53" s="536"/>
      <c r="P53" s="536"/>
      <c r="Q53" s="536"/>
      <c r="R53" s="557"/>
      <c r="S53" s="557"/>
      <c r="T53" s="578">
        <v>43146</v>
      </c>
      <c r="U53" s="562"/>
      <c r="V53" s="405"/>
    </row>
    <row r="54" spans="1:23" x14ac:dyDescent="0.3">
      <c r="A54" s="428"/>
      <c r="B54" s="532" t="s">
        <v>130</v>
      </c>
      <c r="C54" s="532"/>
      <c r="D54" s="532"/>
      <c r="E54" s="532"/>
      <c r="F54" s="532"/>
      <c r="G54" s="532"/>
      <c r="H54" s="579"/>
      <c r="I54" s="579"/>
      <c r="J54" s="579"/>
      <c r="K54" s="579"/>
      <c r="L54" s="579"/>
      <c r="M54" s="579"/>
      <c r="N54" s="579"/>
      <c r="O54" s="579"/>
      <c r="P54" s="532">
        <f>+T54-R54+1</f>
        <v>92</v>
      </c>
      <c r="Q54" s="532"/>
      <c r="R54" s="580">
        <v>42962</v>
      </c>
      <c r="S54" s="581"/>
      <c r="T54" s="580">
        <v>43053</v>
      </c>
      <c r="U54" s="562"/>
      <c r="V54" s="405"/>
    </row>
    <row r="55" spans="1:23" x14ac:dyDescent="0.3">
      <c r="A55" s="428"/>
      <c r="B55" s="532" t="s">
        <v>131</v>
      </c>
      <c r="C55" s="532"/>
      <c r="D55" s="532"/>
      <c r="E55" s="532"/>
      <c r="F55" s="532"/>
      <c r="G55" s="532"/>
      <c r="H55" s="532"/>
      <c r="I55" s="532"/>
      <c r="J55" s="532"/>
      <c r="K55" s="532"/>
      <c r="L55" s="532"/>
      <c r="M55" s="532"/>
      <c r="N55" s="532"/>
      <c r="O55" s="532"/>
      <c r="P55" s="532">
        <f>+T55-R55+1</f>
        <v>92</v>
      </c>
      <c r="Q55" s="532"/>
      <c r="R55" s="580">
        <v>43054</v>
      </c>
      <c r="S55" s="581"/>
      <c r="T55" s="580">
        <v>43145</v>
      </c>
      <c r="U55" s="562"/>
      <c r="V55" s="405"/>
    </row>
    <row r="56" spans="1:23" x14ac:dyDescent="0.3">
      <c r="A56" s="428"/>
      <c r="B56" s="532" t="s">
        <v>213</v>
      </c>
      <c r="C56" s="532"/>
      <c r="D56" s="532"/>
      <c r="E56" s="532"/>
      <c r="F56" s="532"/>
      <c r="G56" s="532"/>
      <c r="H56" s="532"/>
      <c r="I56" s="532"/>
      <c r="J56" s="532"/>
      <c r="K56" s="532"/>
      <c r="L56" s="532"/>
      <c r="M56" s="532"/>
      <c r="N56" s="532"/>
      <c r="O56" s="532"/>
      <c r="P56" s="532"/>
      <c r="Q56" s="532"/>
      <c r="R56" s="580"/>
      <c r="S56" s="581"/>
      <c r="T56" s="580" t="s">
        <v>129</v>
      </c>
      <c r="U56" s="562"/>
      <c r="V56" s="405"/>
    </row>
    <row r="57" spans="1:23" x14ac:dyDescent="0.3">
      <c r="A57" s="428"/>
      <c r="B57" s="532" t="s">
        <v>227</v>
      </c>
      <c r="C57" s="532"/>
      <c r="D57" s="532"/>
      <c r="E57" s="532"/>
      <c r="F57" s="532"/>
      <c r="G57" s="532"/>
      <c r="H57" s="532"/>
      <c r="I57" s="532"/>
      <c r="J57" s="532"/>
      <c r="K57" s="532"/>
      <c r="L57" s="532"/>
      <c r="M57" s="532"/>
      <c r="N57" s="532"/>
      <c r="O57" s="532"/>
      <c r="P57" s="532"/>
      <c r="Q57" s="532"/>
      <c r="R57" s="580"/>
      <c r="S57" s="581"/>
      <c r="T57" s="580" t="s">
        <v>169</v>
      </c>
      <c r="U57" s="562"/>
      <c r="V57" s="405"/>
      <c r="W57" s="429"/>
    </row>
    <row r="58" spans="1:23" x14ac:dyDescent="0.3">
      <c r="A58" s="428"/>
      <c r="B58" s="532" t="s">
        <v>17</v>
      </c>
      <c r="C58" s="532"/>
      <c r="D58" s="532"/>
      <c r="E58" s="532"/>
      <c r="F58" s="532"/>
      <c r="G58" s="532"/>
      <c r="H58" s="532"/>
      <c r="I58" s="532"/>
      <c r="J58" s="532"/>
      <c r="K58" s="532"/>
      <c r="L58" s="532"/>
      <c r="M58" s="532"/>
      <c r="N58" s="532"/>
      <c r="O58" s="532"/>
      <c r="P58" s="532"/>
      <c r="Q58" s="532"/>
      <c r="R58" s="580"/>
      <c r="S58" s="581"/>
      <c r="T58" s="580">
        <v>43132</v>
      </c>
      <c r="U58" s="562"/>
      <c r="V58" s="405"/>
    </row>
    <row r="59" spans="1:23" x14ac:dyDescent="0.3">
      <c r="A59" s="430"/>
      <c r="B59" s="431"/>
      <c r="C59" s="431"/>
      <c r="D59" s="431"/>
      <c r="E59" s="431"/>
      <c r="F59" s="431"/>
      <c r="G59" s="431"/>
      <c r="H59" s="431"/>
      <c r="I59" s="431"/>
      <c r="J59" s="431"/>
      <c r="K59" s="431"/>
      <c r="L59" s="431"/>
      <c r="M59" s="431"/>
      <c r="N59" s="431"/>
      <c r="O59" s="431"/>
      <c r="P59" s="431"/>
      <c r="Q59" s="431"/>
      <c r="R59" s="432"/>
      <c r="S59" s="433"/>
      <c r="T59" s="432"/>
      <c r="U59" s="431"/>
      <c r="V59" s="405"/>
    </row>
    <row r="60" spans="1:23" x14ac:dyDescent="0.3">
      <c r="A60" s="430"/>
      <c r="B60" s="434"/>
      <c r="C60" s="434"/>
      <c r="D60" s="434"/>
      <c r="E60" s="434"/>
      <c r="F60" s="434"/>
      <c r="G60" s="434"/>
      <c r="H60" s="434"/>
      <c r="I60" s="434"/>
      <c r="J60" s="434"/>
      <c r="K60" s="434"/>
      <c r="L60" s="434"/>
      <c r="M60" s="434"/>
      <c r="N60" s="434"/>
      <c r="O60" s="434"/>
      <c r="P60" s="434"/>
      <c r="Q60" s="434"/>
      <c r="R60" s="435"/>
      <c r="S60" s="436"/>
      <c r="T60" s="435"/>
      <c r="U60" s="434"/>
      <c r="V60" s="405"/>
    </row>
    <row r="61" spans="1:23" ht="18.600000000000001" thickBot="1" x14ac:dyDescent="0.4">
      <c r="A61" s="437"/>
      <c r="B61" s="565" t="s">
        <v>351</v>
      </c>
      <c r="C61" s="438"/>
      <c r="D61" s="438"/>
      <c r="E61" s="438"/>
      <c r="F61" s="438"/>
      <c r="G61" s="438"/>
      <c r="H61" s="438"/>
      <c r="I61" s="438"/>
      <c r="J61" s="438"/>
      <c r="K61" s="438"/>
      <c r="L61" s="438"/>
      <c r="M61" s="438"/>
      <c r="N61" s="438"/>
      <c r="O61" s="438"/>
      <c r="P61" s="438"/>
      <c r="Q61" s="438"/>
      <c r="R61" s="438"/>
      <c r="S61" s="438"/>
      <c r="T61" s="439"/>
      <c r="U61" s="440"/>
      <c r="V61" s="405"/>
    </row>
    <row r="62" spans="1:23" x14ac:dyDescent="0.3">
      <c r="A62" s="503"/>
      <c r="B62" s="505" t="s">
        <v>18</v>
      </c>
      <c r="C62" s="504"/>
      <c r="D62" s="504"/>
      <c r="E62" s="504"/>
      <c r="F62" s="504"/>
      <c r="G62" s="504"/>
      <c r="H62" s="504"/>
      <c r="I62" s="504"/>
      <c r="J62" s="504"/>
      <c r="K62" s="504"/>
      <c r="L62" s="504"/>
      <c r="M62" s="504"/>
      <c r="N62" s="504"/>
      <c r="O62" s="504"/>
      <c r="P62" s="504"/>
      <c r="Q62" s="504"/>
      <c r="R62" s="504"/>
      <c r="S62" s="504"/>
      <c r="T62" s="506"/>
      <c r="U62" s="504"/>
      <c r="V62" s="405"/>
    </row>
    <row r="63" spans="1:23" x14ac:dyDescent="0.3">
      <c r="A63" s="407"/>
      <c r="B63" s="415"/>
      <c r="C63" s="409"/>
      <c r="D63" s="409"/>
      <c r="E63" s="409"/>
      <c r="F63" s="409"/>
      <c r="G63" s="409"/>
      <c r="H63" s="409"/>
      <c r="I63" s="409"/>
      <c r="J63" s="409"/>
      <c r="K63" s="409"/>
      <c r="L63" s="409"/>
      <c r="M63" s="409"/>
      <c r="N63" s="409"/>
      <c r="O63" s="409"/>
      <c r="P63" s="409"/>
      <c r="Q63" s="409"/>
      <c r="R63" s="409"/>
      <c r="S63" s="409"/>
      <c r="T63" s="441"/>
      <c r="U63" s="409"/>
      <c r="V63" s="405"/>
    </row>
    <row r="64" spans="1:23" ht="46.8" x14ac:dyDescent="0.3">
      <c r="A64" s="407"/>
      <c r="B64" s="519" t="s">
        <v>19</v>
      </c>
      <c r="C64" s="520"/>
      <c r="D64" s="520"/>
      <c r="E64" s="520"/>
      <c r="F64" s="520"/>
      <c r="G64" s="520"/>
      <c r="H64" s="520"/>
      <c r="I64" s="520"/>
      <c r="J64" s="520" t="s">
        <v>100</v>
      </c>
      <c r="K64" s="520"/>
      <c r="L64" s="520" t="s">
        <v>102</v>
      </c>
      <c r="M64" s="520"/>
      <c r="N64" s="520" t="s">
        <v>104</v>
      </c>
      <c r="O64" s="520"/>
      <c r="P64" s="520" t="s">
        <v>106</v>
      </c>
      <c r="Q64" s="520"/>
      <c r="R64" s="520" t="s">
        <v>113</v>
      </c>
      <c r="S64" s="520"/>
      <c r="T64" s="521" t="s">
        <v>121</v>
      </c>
      <c r="U64" s="442"/>
      <c r="V64" s="405"/>
    </row>
    <row r="65" spans="1:22" x14ac:dyDescent="0.3">
      <c r="A65" s="418"/>
      <c r="B65" s="532" t="s">
        <v>20</v>
      </c>
      <c r="C65" s="531"/>
      <c r="D65" s="531"/>
      <c r="E65" s="531"/>
      <c r="F65" s="531"/>
      <c r="G65" s="531"/>
      <c r="H65" s="531"/>
      <c r="I65" s="531"/>
      <c r="J65" s="531">
        <v>699958</v>
      </c>
      <c r="K65" s="531"/>
      <c r="L65" s="535">
        <v>231219</v>
      </c>
      <c r="M65" s="531"/>
      <c r="N65" s="531">
        <f>2675+191</f>
        <v>2866</v>
      </c>
      <c r="O65" s="531"/>
      <c r="P65" s="531">
        <v>191</v>
      </c>
      <c r="Q65" s="531"/>
      <c r="R65" s="531">
        <v>0</v>
      </c>
      <c r="S65" s="531"/>
      <c r="T65" s="535">
        <f>+L65-N65+P65-R65</f>
        <v>228544</v>
      </c>
      <c r="U65" s="420"/>
      <c r="V65" s="405"/>
    </row>
    <row r="66" spans="1:22" x14ac:dyDescent="0.3">
      <c r="A66" s="418"/>
      <c r="B66" s="532" t="s">
        <v>21</v>
      </c>
      <c r="C66" s="531"/>
      <c r="D66" s="531"/>
      <c r="E66" s="531"/>
      <c r="F66" s="531"/>
      <c r="G66" s="531"/>
      <c r="H66" s="531"/>
      <c r="I66" s="531"/>
      <c r="J66" s="531">
        <v>42</v>
      </c>
      <c r="K66" s="531"/>
      <c r="L66" s="535">
        <v>0</v>
      </c>
      <c r="M66" s="531"/>
      <c r="N66" s="531">
        <v>0</v>
      </c>
      <c r="O66" s="531"/>
      <c r="P66" s="531">
        <v>0</v>
      </c>
      <c r="Q66" s="531"/>
      <c r="R66" s="531">
        <v>0</v>
      </c>
      <c r="S66" s="531"/>
      <c r="T66" s="535">
        <f>+L66-N66</f>
        <v>0</v>
      </c>
      <c r="U66" s="420"/>
      <c r="V66" s="405"/>
    </row>
    <row r="67" spans="1:22" x14ac:dyDescent="0.3">
      <c r="A67" s="418"/>
      <c r="B67" s="532"/>
      <c r="C67" s="531"/>
      <c r="D67" s="531"/>
      <c r="E67" s="531"/>
      <c r="F67" s="531"/>
      <c r="G67" s="531"/>
      <c r="H67" s="531"/>
      <c r="I67" s="531"/>
      <c r="J67" s="531"/>
      <c r="K67" s="531"/>
      <c r="L67" s="535"/>
      <c r="M67" s="531"/>
      <c r="N67" s="531"/>
      <c r="O67" s="531"/>
      <c r="P67" s="531"/>
      <c r="Q67" s="531"/>
      <c r="R67" s="531"/>
      <c r="S67" s="531"/>
      <c r="T67" s="535"/>
      <c r="U67" s="420"/>
      <c r="V67" s="405"/>
    </row>
    <row r="68" spans="1:22" x14ac:dyDescent="0.3">
      <c r="A68" s="418"/>
      <c r="B68" s="532" t="s">
        <v>22</v>
      </c>
      <c r="C68" s="531"/>
      <c r="D68" s="531"/>
      <c r="E68" s="531"/>
      <c r="F68" s="531"/>
      <c r="G68" s="531"/>
      <c r="H68" s="531"/>
      <c r="I68" s="531"/>
      <c r="J68" s="531">
        <f>SUM(J65:J67)</f>
        <v>700000</v>
      </c>
      <c r="K68" s="531"/>
      <c r="L68" s="531">
        <f>L65+L66</f>
        <v>231219</v>
      </c>
      <c r="M68" s="531"/>
      <c r="N68" s="531">
        <f>SUM(N65:N67)</f>
        <v>2866</v>
      </c>
      <c r="O68" s="531"/>
      <c r="P68" s="531">
        <f>SUM(P65:P67)</f>
        <v>191</v>
      </c>
      <c r="Q68" s="531"/>
      <c r="R68" s="531">
        <f>SUM(R65:R67)</f>
        <v>0</v>
      </c>
      <c r="S68" s="531"/>
      <c r="T68" s="531">
        <f>SUM(T65:T67)</f>
        <v>228544</v>
      </c>
      <c r="U68" s="420"/>
      <c r="V68" s="405"/>
    </row>
    <row r="69" spans="1:22" x14ac:dyDescent="0.3">
      <c r="A69" s="407"/>
      <c r="B69" s="539"/>
      <c r="C69" s="572"/>
      <c r="D69" s="572"/>
      <c r="E69" s="572"/>
      <c r="F69" s="572"/>
      <c r="G69" s="572"/>
      <c r="H69" s="572"/>
      <c r="I69" s="572"/>
      <c r="J69" s="572"/>
      <c r="K69" s="572"/>
      <c r="L69" s="572"/>
      <c r="M69" s="572"/>
      <c r="N69" s="572"/>
      <c r="O69" s="572"/>
      <c r="P69" s="572"/>
      <c r="Q69" s="572"/>
      <c r="R69" s="572"/>
      <c r="S69" s="572"/>
      <c r="T69" s="572"/>
      <c r="U69" s="444"/>
      <c r="V69" s="405"/>
    </row>
    <row r="70" spans="1:22" x14ac:dyDescent="0.3">
      <c r="A70" s="407"/>
      <c r="B70" s="545" t="s">
        <v>23</v>
      </c>
      <c r="C70" s="573"/>
      <c r="D70" s="573"/>
      <c r="E70" s="573"/>
      <c r="F70" s="573"/>
      <c r="G70" s="573"/>
      <c r="H70" s="573"/>
      <c r="I70" s="573"/>
      <c r="J70" s="573"/>
      <c r="K70" s="573"/>
      <c r="L70" s="573"/>
      <c r="M70" s="573"/>
      <c r="N70" s="573"/>
      <c r="O70" s="573"/>
      <c r="P70" s="573"/>
      <c r="Q70" s="573"/>
      <c r="R70" s="573"/>
      <c r="S70" s="573"/>
      <c r="T70" s="573"/>
      <c r="U70" s="409"/>
      <c r="V70" s="405"/>
    </row>
    <row r="71" spans="1:22" x14ac:dyDescent="0.3">
      <c r="A71" s="407"/>
      <c r="B71" s="542"/>
      <c r="C71" s="573"/>
      <c r="D71" s="573"/>
      <c r="E71" s="573"/>
      <c r="F71" s="573"/>
      <c r="G71" s="573"/>
      <c r="H71" s="573"/>
      <c r="I71" s="573"/>
      <c r="J71" s="573"/>
      <c r="K71" s="573"/>
      <c r="L71" s="573"/>
      <c r="M71" s="573"/>
      <c r="N71" s="573"/>
      <c r="O71" s="573"/>
      <c r="P71" s="573"/>
      <c r="Q71" s="573"/>
      <c r="R71" s="573"/>
      <c r="S71" s="573"/>
      <c r="T71" s="573"/>
      <c r="U71" s="409"/>
      <c r="V71" s="405"/>
    </row>
    <row r="72" spans="1:22" x14ac:dyDescent="0.3">
      <c r="A72" s="418"/>
      <c r="B72" s="532" t="s">
        <v>20</v>
      </c>
      <c r="C72" s="531"/>
      <c r="D72" s="531"/>
      <c r="E72" s="531"/>
      <c r="F72" s="531"/>
      <c r="G72" s="531"/>
      <c r="H72" s="531"/>
      <c r="I72" s="531"/>
      <c r="J72" s="531"/>
      <c r="K72" s="531"/>
      <c r="L72" s="531"/>
      <c r="M72" s="531"/>
      <c r="N72" s="531"/>
      <c r="O72" s="531"/>
      <c r="P72" s="531"/>
      <c r="Q72" s="531"/>
      <c r="R72" s="531"/>
      <c r="S72" s="531"/>
      <c r="T72" s="531"/>
      <c r="U72" s="420"/>
      <c r="V72" s="405"/>
    </row>
    <row r="73" spans="1:22" x14ac:dyDescent="0.3">
      <c r="A73" s="418"/>
      <c r="B73" s="532" t="s">
        <v>21</v>
      </c>
      <c r="C73" s="531"/>
      <c r="D73" s="531"/>
      <c r="E73" s="531"/>
      <c r="F73" s="531"/>
      <c r="G73" s="531"/>
      <c r="H73" s="531"/>
      <c r="I73" s="531"/>
      <c r="J73" s="531"/>
      <c r="K73" s="531"/>
      <c r="L73" s="531"/>
      <c r="M73" s="531"/>
      <c r="N73" s="531"/>
      <c r="O73" s="531"/>
      <c r="P73" s="531"/>
      <c r="Q73" s="531"/>
      <c r="R73" s="531"/>
      <c r="S73" s="531"/>
      <c r="T73" s="531"/>
      <c r="U73" s="420"/>
      <c r="V73" s="405"/>
    </row>
    <row r="74" spans="1:22" x14ac:dyDescent="0.3">
      <c r="A74" s="418"/>
      <c r="B74" s="532"/>
      <c r="C74" s="531"/>
      <c r="D74" s="531"/>
      <c r="E74" s="531"/>
      <c r="F74" s="531"/>
      <c r="G74" s="531"/>
      <c r="H74" s="531"/>
      <c r="I74" s="531"/>
      <c r="J74" s="531"/>
      <c r="K74" s="531"/>
      <c r="L74" s="531"/>
      <c r="M74" s="531"/>
      <c r="N74" s="531"/>
      <c r="O74" s="531"/>
      <c r="P74" s="531"/>
      <c r="Q74" s="531"/>
      <c r="R74" s="531"/>
      <c r="S74" s="531"/>
      <c r="T74" s="531"/>
      <c r="U74" s="420"/>
      <c r="V74" s="405"/>
    </row>
    <row r="75" spans="1:22" x14ac:dyDescent="0.3">
      <c r="A75" s="418"/>
      <c r="B75" s="532" t="s">
        <v>22</v>
      </c>
      <c r="C75" s="531"/>
      <c r="D75" s="531"/>
      <c r="E75" s="531"/>
      <c r="F75" s="531"/>
      <c r="G75" s="531"/>
      <c r="H75" s="531"/>
      <c r="I75" s="531"/>
      <c r="J75" s="531"/>
      <c r="K75" s="531"/>
      <c r="L75" s="531"/>
      <c r="M75" s="531"/>
      <c r="N75" s="531"/>
      <c r="O75" s="531"/>
      <c r="P75" s="531"/>
      <c r="Q75" s="531"/>
      <c r="R75" s="531"/>
      <c r="S75" s="531"/>
      <c r="T75" s="531"/>
      <c r="U75" s="420"/>
      <c r="V75" s="405"/>
    </row>
    <row r="76" spans="1:22" x14ac:dyDescent="0.3">
      <c r="A76" s="418"/>
      <c r="B76" s="532"/>
      <c r="C76" s="531"/>
      <c r="D76" s="531"/>
      <c r="E76" s="531"/>
      <c r="F76" s="531"/>
      <c r="G76" s="531"/>
      <c r="H76" s="531"/>
      <c r="I76" s="531"/>
      <c r="J76" s="531"/>
      <c r="K76" s="531"/>
      <c r="L76" s="531"/>
      <c r="M76" s="531"/>
      <c r="N76" s="531"/>
      <c r="O76" s="531"/>
      <c r="P76" s="531"/>
      <c r="Q76" s="531"/>
      <c r="R76" s="531"/>
      <c r="S76" s="531"/>
      <c r="T76" s="531"/>
      <c r="U76" s="420"/>
      <c r="V76" s="405"/>
    </row>
    <row r="77" spans="1:22" x14ac:dyDescent="0.3">
      <c r="A77" s="418"/>
      <c r="B77" s="532" t="s">
        <v>24</v>
      </c>
      <c r="C77" s="531"/>
      <c r="D77" s="531"/>
      <c r="E77" s="531"/>
      <c r="F77" s="531"/>
      <c r="G77" s="531"/>
      <c r="H77" s="531"/>
      <c r="I77" s="531"/>
      <c r="J77" s="531">
        <v>0</v>
      </c>
      <c r="K77" s="531"/>
      <c r="L77" s="531">
        <v>0</v>
      </c>
      <c r="M77" s="531"/>
      <c r="N77" s="531"/>
      <c r="O77" s="531"/>
      <c r="P77" s="531"/>
      <c r="Q77" s="531"/>
      <c r="R77" s="531"/>
      <c r="S77" s="531"/>
      <c r="T77" s="535">
        <v>0</v>
      </c>
      <c r="U77" s="420"/>
      <c r="V77" s="405"/>
    </row>
    <row r="78" spans="1:22" x14ac:dyDescent="0.3">
      <c r="A78" s="418"/>
      <c r="B78" s="532" t="s">
        <v>126</v>
      </c>
      <c r="C78" s="531"/>
      <c r="D78" s="531"/>
      <c r="E78" s="531"/>
      <c r="F78" s="531"/>
      <c r="G78" s="531"/>
      <c r="H78" s="531"/>
      <c r="I78" s="531"/>
      <c r="J78" s="531">
        <v>0</v>
      </c>
      <c r="K78" s="531"/>
      <c r="L78" s="531">
        <v>0</v>
      </c>
      <c r="M78" s="531"/>
      <c r="N78" s="531"/>
      <c r="O78" s="531"/>
      <c r="P78" s="531"/>
      <c r="Q78" s="531"/>
      <c r="R78" s="531"/>
      <c r="S78" s="531"/>
      <c r="T78" s="531">
        <f>SUM(J78:P78)</f>
        <v>0</v>
      </c>
      <c r="U78" s="420"/>
      <c r="V78" s="405"/>
    </row>
    <row r="79" spans="1:22" x14ac:dyDescent="0.3">
      <c r="A79" s="418"/>
      <c r="B79" s="532" t="s">
        <v>157</v>
      </c>
      <c r="C79" s="531"/>
      <c r="D79" s="531"/>
      <c r="E79" s="531"/>
      <c r="F79" s="531"/>
      <c r="G79" s="531"/>
      <c r="H79" s="531"/>
      <c r="I79" s="531"/>
      <c r="J79" s="531">
        <v>0</v>
      </c>
      <c r="K79" s="531"/>
      <c r="L79" s="531">
        <v>0</v>
      </c>
      <c r="M79" s="531"/>
      <c r="N79" s="531"/>
      <c r="O79" s="531"/>
      <c r="P79" s="531"/>
      <c r="Q79" s="531"/>
      <c r="R79" s="531"/>
      <c r="S79" s="531"/>
      <c r="T79" s="531">
        <v>0</v>
      </c>
      <c r="U79" s="420"/>
      <c r="V79" s="405"/>
    </row>
    <row r="80" spans="1:22" x14ac:dyDescent="0.3">
      <c r="A80" s="418"/>
      <c r="B80" s="532" t="s">
        <v>26</v>
      </c>
      <c r="C80" s="531"/>
      <c r="D80" s="531"/>
      <c r="E80" s="531"/>
      <c r="F80" s="531"/>
      <c r="G80" s="531"/>
      <c r="H80" s="531"/>
      <c r="I80" s="531"/>
      <c r="J80" s="531">
        <v>0</v>
      </c>
      <c r="K80" s="531"/>
      <c r="L80" s="531">
        <v>0</v>
      </c>
      <c r="M80" s="531"/>
      <c r="N80" s="531"/>
      <c r="O80" s="531"/>
      <c r="P80" s="531"/>
      <c r="Q80" s="531"/>
      <c r="R80" s="531"/>
      <c r="S80" s="531"/>
      <c r="T80" s="531">
        <v>0</v>
      </c>
      <c r="U80" s="420"/>
      <c r="V80" s="405"/>
    </row>
    <row r="81" spans="1:22" x14ac:dyDescent="0.3">
      <c r="A81" s="418"/>
      <c r="B81" s="532" t="s">
        <v>27</v>
      </c>
      <c r="C81" s="531"/>
      <c r="D81" s="531"/>
      <c r="E81" s="531"/>
      <c r="F81" s="531"/>
      <c r="G81" s="531"/>
      <c r="H81" s="531"/>
      <c r="I81" s="531"/>
      <c r="J81" s="531">
        <f>SUM(J68:J80)</f>
        <v>700000</v>
      </c>
      <c r="K81" s="531"/>
      <c r="L81" s="531">
        <f>SUM(L68:L80)</f>
        <v>231219</v>
      </c>
      <c r="M81" s="531"/>
      <c r="N81" s="531"/>
      <c r="O81" s="531"/>
      <c r="P81" s="531"/>
      <c r="Q81" s="531"/>
      <c r="R81" s="531"/>
      <c r="S81" s="531"/>
      <c r="T81" s="531">
        <f>SUM(T68:T80)</f>
        <v>228544</v>
      </c>
      <c r="U81" s="420"/>
      <c r="V81" s="405"/>
    </row>
    <row r="82" spans="1:22" x14ac:dyDescent="0.3">
      <c r="A82" s="407"/>
      <c r="B82" s="444"/>
      <c r="C82" s="445"/>
      <c r="D82" s="445"/>
      <c r="E82" s="445"/>
      <c r="F82" s="445"/>
      <c r="G82" s="445"/>
      <c r="H82" s="445"/>
      <c r="I82" s="445"/>
      <c r="J82" s="445"/>
      <c r="K82" s="445"/>
      <c r="L82" s="445"/>
      <c r="M82" s="445"/>
      <c r="N82" s="445"/>
      <c r="O82" s="445"/>
      <c r="P82" s="445"/>
      <c r="Q82" s="445"/>
      <c r="R82" s="445"/>
      <c r="S82" s="445"/>
      <c r="T82" s="446"/>
      <c r="U82" s="444"/>
      <c r="V82" s="405"/>
    </row>
    <row r="83" spans="1:22" x14ac:dyDescent="0.3">
      <c r="A83" s="407"/>
      <c r="B83" s="409"/>
      <c r="C83" s="409"/>
      <c r="D83" s="409"/>
      <c r="E83" s="409"/>
      <c r="F83" s="409"/>
      <c r="G83" s="409"/>
      <c r="H83" s="409"/>
      <c r="I83" s="409"/>
      <c r="J83" s="409"/>
      <c r="K83" s="409"/>
      <c r="L83" s="409"/>
      <c r="M83" s="409"/>
      <c r="N83" s="409"/>
      <c r="O83" s="409"/>
      <c r="P83" s="409"/>
      <c r="Q83" s="409"/>
      <c r="R83" s="409"/>
      <c r="S83" s="409"/>
      <c r="T83" s="409"/>
      <c r="U83" s="409"/>
      <c r="V83" s="405"/>
    </row>
    <row r="84" spans="1:22" x14ac:dyDescent="0.3">
      <c r="A84" s="503"/>
      <c r="B84" s="612" t="s">
        <v>28</v>
      </c>
      <c r="C84" s="612"/>
      <c r="D84" s="612"/>
      <c r="E84" s="612"/>
      <c r="F84" s="612"/>
      <c r="G84" s="612"/>
      <c r="H84" s="613"/>
      <c r="I84" s="613"/>
      <c r="J84" s="614" t="s">
        <v>101</v>
      </c>
      <c r="K84" s="613"/>
      <c r="L84" s="615">
        <f>+R196</f>
        <v>43131</v>
      </c>
      <c r="M84" s="613"/>
      <c r="N84" s="613"/>
      <c r="O84" s="613"/>
      <c r="P84" s="613"/>
      <c r="Q84" s="613"/>
      <c r="R84" s="613" t="s">
        <v>114</v>
      </c>
      <c r="S84" s="613"/>
      <c r="T84" s="613" t="s">
        <v>122</v>
      </c>
      <c r="U84" s="611"/>
      <c r="V84" s="405"/>
    </row>
    <row r="85" spans="1:22" x14ac:dyDescent="0.3">
      <c r="A85" s="430"/>
      <c r="B85" s="539" t="s">
        <v>29</v>
      </c>
      <c r="C85" s="539"/>
      <c r="D85" s="539"/>
      <c r="E85" s="539"/>
      <c r="F85" s="539"/>
      <c r="G85" s="539"/>
      <c r="H85" s="539"/>
      <c r="I85" s="539"/>
      <c r="J85" s="539"/>
      <c r="K85" s="539"/>
      <c r="L85" s="539"/>
      <c r="M85" s="539"/>
      <c r="N85" s="539"/>
      <c r="O85" s="539"/>
      <c r="P85" s="539"/>
      <c r="Q85" s="539"/>
      <c r="R85" s="572">
        <v>0</v>
      </c>
      <c r="S85" s="539"/>
      <c r="T85" s="541">
        <v>0</v>
      </c>
      <c r="U85" s="539"/>
      <c r="V85" s="405"/>
    </row>
    <row r="86" spans="1:22" x14ac:dyDescent="0.3">
      <c r="A86" s="428"/>
      <c r="B86" s="532" t="s">
        <v>30</v>
      </c>
      <c r="C86" s="532"/>
      <c r="D86" s="532"/>
      <c r="E86" s="532"/>
      <c r="F86" s="532"/>
      <c r="G86" s="532"/>
      <c r="H86" s="550"/>
      <c r="I86" s="570"/>
      <c r="J86" s="550"/>
      <c r="K86" s="532"/>
      <c r="L86" s="571"/>
      <c r="M86" s="532"/>
      <c r="N86" s="532"/>
      <c r="O86" s="532"/>
      <c r="P86" s="532"/>
      <c r="Q86" s="532"/>
      <c r="R86" s="531">
        <f>2866+34</f>
        <v>2900</v>
      </c>
      <c r="S86" s="532"/>
      <c r="T86" s="535"/>
      <c r="U86" s="562"/>
      <c r="V86" s="405"/>
    </row>
    <row r="87" spans="1:22" x14ac:dyDescent="0.3">
      <c r="A87" s="428"/>
      <c r="B87" s="532" t="s">
        <v>254</v>
      </c>
      <c r="C87" s="532"/>
      <c r="D87" s="532"/>
      <c r="E87" s="532"/>
      <c r="F87" s="532"/>
      <c r="G87" s="532"/>
      <c r="H87" s="550"/>
      <c r="I87" s="570"/>
      <c r="J87" s="550"/>
      <c r="K87" s="532"/>
      <c r="L87" s="571"/>
      <c r="M87" s="532"/>
      <c r="N87" s="532"/>
      <c r="O87" s="532"/>
      <c r="P87" s="532"/>
      <c r="Q87" s="532"/>
      <c r="R87" s="531"/>
      <c r="S87" s="532"/>
      <c r="T87" s="535">
        <f>1389+570-428-215</f>
        <v>1316</v>
      </c>
      <c r="U87" s="562"/>
      <c r="V87" s="405"/>
    </row>
    <row r="88" spans="1:22" x14ac:dyDescent="0.3">
      <c r="A88" s="428"/>
      <c r="B88" s="532" t="s">
        <v>255</v>
      </c>
      <c r="C88" s="532"/>
      <c r="D88" s="532"/>
      <c r="E88" s="532"/>
      <c r="F88" s="532"/>
      <c r="G88" s="532"/>
      <c r="H88" s="550"/>
      <c r="I88" s="570"/>
      <c r="J88" s="550"/>
      <c r="K88" s="532"/>
      <c r="L88" s="571"/>
      <c r="M88" s="532"/>
      <c r="N88" s="532"/>
      <c r="O88" s="532"/>
      <c r="P88" s="532"/>
      <c r="Q88" s="532"/>
      <c r="R88" s="531"/>
      <c r="S88" s="532"/>
      <c r="T88" s="535">
        <f>8+32</f>
        <v>40</v>
      </c>
      <c r="U88" s="562"/>
      <c r="V88" s="405"/>
    </row>
    <row r="89" spans="1:22" x14ac:dyDescent="0.3">
      <c r="A89" s="428"/>
      <c r="B89" s="532" t="s">
        <v>256</v>
      </c>
      <c r="C89" s="532"/>
      <c r="D89" s="532"/>
      <c r="E89" s="532"/>
      <c r="F89" s="532"/>
      <c r="G89" s="532"/>
      <c r="H89" s="550"/>
      <c r="I89" s="570"/>
      <c r="J89" s="550"/>
      <c r="K89" s="532"/>
      <c r="L89" s="571"/>
      <c r="M89" s="532"/>
      <c r="N89" s="532"/>
      <c r="O89" s="532"/>
      <c r="P89" s="532"/>
      <c r="Q89" s="532"/>
      <c r="R89" s="531"/>
      <c r="S89" s="532"/>
      <c r="T89" s="535">
        <v>9</v>
      </c>
      <c r="U89" s="562"/>
      <c r="V89" s="405"/>
    </row>
    <row r="90" spans="1:22" x14ac:dyDescent="0.3">
      <c r="A90" s="428"/>
      <c r="B90" s="532" t="s">
        <v>270</v>
      </c>
      <c r="C90" s="532"/>
      <c r="D90" s="532"/>
      <c r="E90" s="532"/>
      <c r="F90" s="532"/>
      <c r="G90" s="532"/>
      <c r="H90" s="550"/>
      <c r="I90" s="570"/>
      <c r="J90" s="550"/>
      <c r="K90" s="532"/>
      <c r="L90" s="571"/>
      <c r="M90" s="532"/>
      <c r="N90" s="532"/>
      <c r="O90" s="532"/>
      <c r="P90" s="532"/>
      <c r="Q90" s="532"/>
      <c r="R90" s="531"/>
      <c r="S90" s="532"/>
      <c r="T90" s="535">
        <v>0</v>
      </c>
      <c r="U90" s="562"/>
      <c r="V90" s="405"/>
    </row>
    <row r="91" spans="1:22" x14ac:dyDescent="0.3">
      <c r="A91" s="428"/>
      <c r="B91" s="532" t="s">
        <v>144</v>
      </c>
      <c r="C91" s="532"/>
      <c r="D91" s="532"/>
      <c r="E91" s="532"/>
      <c r="F91" s="532"/>
      <c r="G91" s="532"/>
      <c r="H91" s="532"/>
      <c r="I91" s="532"/>
      <c r="J91" s="532"/>
      <c r="K91" s="532"/>
      <c r="L91" s="532"/>
      <c r="M91" s="532"/>
      <c r="N91" s="532"/>
      <c r="O91" s="532"/>
      <c r="P91" s="532"/>
      <c r="Q91" s="532"/>
      <c r="R91" s="531"/>
      <c r="S91" s="532"/>
      <c r="T91" s="535">
        <v>0</v>
      </c>
      <c r="U91" s="562"/>
      <c r="V91" s="405"/>
    </row>
    <row r="92" spans="1:22" x14ac:dyDescent="0.3">
      <c r="A92" s="428"/>
      <c r="B92" s="532" t="s">
        <v>233</v>
      </c>
      <c r="C92" s="532"/>
      <c r="D92" s="532"/>
      <c r="E92" s="532"/>
      <c r="F92" s="532"/>
      <c r="G92" s="532"/>
      <c r="H92" s="532"/>
      <c r="I92" s="532"/>
      <c r="J92" s="532"/>
      <c r="K92" s="532"/>
      <c r="L92" s="532"/>
      <c r="M92" s="532"/>
      <c r="N92" s="532"/>
      <c r="O92" s="532"/>
      <c r="P92" s="532"/>
      <c r="Q92" s="532"/>
      <c r="R92" s="531"/>
      <c r="S92" s="532"/>
      <c r="T92" s="535">
        <v>125</v>
      </c>
      <c r="U92" s="562"/>
      <c r="V92" s="405"/>
    </row>
    <row r="93" spans="1:22" x14ac:dyDescent="0.3">
      <c r="A93" s="428"/>
      <c r="B93" s="532" t="s">
        <v>32</v>
      </c>
      <c r="C93" s="532"/>
      <c r="D93" s="532"/>
      <c r="E93" s="532"/>
      <c r="F93" s="532"/>
      <c r="G93" s="532"/>
      <c r="H93" s="532"/>
      <c r="I93" s="532"/>
      <c r="J93" s="532"/>
      <c r="K93" s="532"/>
      <c r="L93" s="532"/>
      <c r="M93" s="532"/>
      <c r="N93" s="532"/>
      <c r="O93" s="532"/>
      <c r="P93" s="532"/>
      <c r="Q93" s="532"/>
      <c r="R93" s="531">
        <f>SUM(R85:R92)</f>
        <v>2900</v>
      </c>
      <c r="S93" s="532"/>
      <c r="T93" s="531">
        <f>SUM(T85:T92)</f>
        <v>1490</v>
      </c>
      <c r="U93" s="562"/>
      <c r="V93" s="405"/>
    </row>
    <row r="94" spans="1:22" x14ac:dyDescent="0.3">
      <c r="A94" s="428"/>
      <c r="B94" s="532" t="s">
        <v>176</v>
      </c>
      <c r="C94" s="532"/>
      <c r="D94" s="532"/>
      <c r="E94" s="532"/>
      <c r="F94" s="532"/>
      <c r="G94" s="532"/>
      <c r="H94" s="532"/>
      <c r="I94" s="532"/>
      <c r="J94" s="532"/>
      <c r="K94" s="532"/>
      <c r="L94" s="532"/>
      <c r="M94" s="532"/>
      <c r="N94" s="532"/>
      <c r="O94" s="532"/>
      <c r="P94" s="532"/>
      <c r="Q94" s="532"/>
      <c r="R94" s="531">
        <v>0</v>
      </c>
      <c r="S94" s="532"/>
      <c r="T94" s="531">
        <f>-R94</f>
        <v>0</v>
      </c>
      <c r="U94" s="562"/>
      <c r="V94" s="405"/>
    </row>
    <row r="95" spans="1:22" x14ac:dyDescent="0.3">
      <c r="A95" s="428"/>
      <c r="B95" s="532" t="s">
        <v>33</v>
      </c>
      <c r="C95" s="532"/>
      <c r="D95" s="532"/>
      <c r="E95" s="532"/>
      <c r="F95" s="532"/>
      <c r="G95" s="532"/>
      <c r="H95" s="532"/>
      <c r="I95" s="532"/>
      <c r="J95" s="532"/>
      <c r="K95" s="532"/>
      <c r="L95" s="532"/>
      <c r="M95" s="532"/>
      <c r="N95" s="532"/>
      <c r="O95" s="532"/>
      <c r="P95" s="532"/>
      <c r="Q95" s="532"/>
      <c r="R95" s="531">
        <f>-T95</f>
        <v>0</v>
      </c>
      <c r="S95" s="532"/>
      <c r="T95" s="535">
        <v>0</v>
      </c>
      <c r="U95" s="562"/>
      <c r="V95" s="405"/>
    </row>
    <row r="96" spans="1:22" x14ac:dyDescent="0.3">
      <c r="A96" s="428"/>
      <c r="B96" s="532" t="s">
        <v>278</v>
      </c>
      <c r="C96" s="532"/>
      <c r="D96" s="532"/>
      <c r="E96" s="532"/>
      <c r="F96" s="532"/>
      <c r="G96" s="532"/>
      <c r="H96" s="532"/>
      <c r="I96" s="532"/>
      <c r="J96" s="532"/>
      <c r="K96" s="532"/>
      <c r="L96" s="532"/>
      <c r="M96" s="532"/>
      <c r="N96" s="532"/>
      <c r="O96" s="532"/>
      <c r="P96" s="532"/>
      <c r="Q96" s="532"/>
      <c r="R96" s="531"/>
      <c r="S96" s="532"/>
      <c r="T96" s="535">
        <v>-8</v>
      </c>
      <c r="U96" s="562"/>
      <c r="V96" s="405"/>
    </row>
    <row r="97" spans="1:23" x14ac:dyDescent="0.3">
      <c r="A97" s="428"/>
      <c r="B97" s="532" t="s">
        <v>34</v>
      </c>
      <c r="C97" s="532"/>
      <c r="D97" s="532"/>
      <c r="E97" s="532"/>
      <c r="F97" s="532"/>
      <c r="G97" s="532"/>
      <c r="H97" s="532"/>
      <c r="I97" s="532"/>
      <c r="J97" s="532"/>
      <c r="K97" s="532"/>
      <c r="L97" s="532"/>
      <c r="M97" s="532"/>
      <c r="N97" s="532"/>
      <c r="O97" s="532"/>
      <c r="P97" s="532"/>
      <c r="Q97" s="532"/>
      <c r="R97" s="531">
        <f>R93+R95+R94</f>
        <v>2900</v>
      </c>
      <c r="S97" s="532"/>
      <c r="T97" s="531">
        <f>T93+T95+T94+T96</f>
        <v>1482</v>
      </c>
      <c r="U97" s="562"/>
      <c r="V97" s="405"/>
      <c r="W97" s="447"/>
    </row>
    <row r="98" spans="1:23" x14ac:dyDescent="0.3">
      <c r="A98" s="418"/>
      <c r="B98" s="522" t="s">
        <v>35</v>
      </c>
      <c r="C98" s="448"/>
      <c r="D98" s="448"/>
      <c r="E98" s="448"/>
      <c r="F98" s="448"/>
      <c r="G98" s="448"/>
      <c r="H98" s="448"/>
      <c r="I98" s="448"/>
      <c r="J98" s="448"/>
      <c r="K98" s="448"/>
      <c r="L98" s="448"/>
      <c r="M98" s="448"/>
      <c r="N98" s="448"/>
      <c r="O98" s="448"/>
      <c r="P98" s="448"/>
      <c r="Q98" s="448"/>
      <c r="R98" s="449"/>
      <c r="S98" s="448"/>
      <c r="T98" s="450"/>
      <c r="U98" s="451"/>
      <c r="V98" s="405"/>
    </row>
    <row r="99" spans="1:23" x14ac:dyDescent="0.3">
      <c r="A99" s="569">
        <v>1</v>
      </c>
      <c r="B99" s="532" t="s">
        <v>36</v>
      </c>
      <c r="C99" s="532"/>
      <c r="D99" s="532"/>
      <c r="E99" s="532"/>
      <c r="F99" s="532"/>
      <c r="G99" s="532"/>
      <c r="H99" s="532"/>
      <c r="I99" s="532"/>
      <c r="J99" s="532"/>
      <c r="K99" s="532"/>
      <c r="L99" s="532"/>
      <c r="M99" s="532"/>
      <c r="N99" s="532"/>
      <c r="O99" s="532"/>
      <c r="P99" s="532"/>
      <c r="Q99" s="532"/>
      <c r="R99" s="532"/>
      <c r="S99" s="532"/>
      <c r="T99" s="535">
        <v>0</v>
      </c>
      <c r="U99" s="451"/>
      <c r="V99" s="405"/>
    </row>
    <row r="100" spans="1:23" x14ac:dyDescent="0.3">
      <c r="A100" s="569">
        <f>+A99+1</f>
        <v>2</v>
      </c>
      <c r="B100" s="532" t="s">
        <v>317</v>
      </c>
      <c r="C100" s="532"/>
      <c r="D100" s="532"/>
      <c r="E100" s="532"/>
      <c r="F100" s="532"/>
      <c r="G100" s="532"/>
      <c r="H100" s="532"/>
      <c r="I100" s="532"/>
      <c r="J100" s="532"/>
      <c r="K100" s="532"/>
      <c r="L100" s="532"/>
      <c r="M100" s="532"/>
      <c r="N100" s="532"/>
      <c r="O100" s="532"/>
      <c r="P100" s="532"/>
      <c r="Q100" s="532"/>
      <c r="R100" s="532"/>
      <c r="S100" s="532"/>
      <c r="T100" s="535">
        <v>-2</v>
      </c>
      <c r="U100" s="451"/>
      <c r="V100" s="405"/>
    </row>
    <row r="101" spans="1:23" x14ac:dyDescent="0.3">
      <c r="A101" s="569">
        <f>+A100+1</f>
        <v>3</v>
      </c>
      <c r="B101" s="532" t="s">
        <v>319</v>
      </c>
      <c r="C101" s="532"/>
      <c r="D101" s="532"/>
      <c r="E101" s="532"/>
      <c r="F101" s="532"/>
      <c r="G101" s="532"/>
      <c r="H101" s="532"/>
      <c r="I101" s="532"/>
      <c r="J101" s="532"/>
      <c r="K101" s="532"/>
      <c r="L101" s="532"/>
      <c r="M101" s="532"/>
      <c r="N101" s="532"/>
      <c r="O101" s="532"/>
      <c r="P101" s="532"/>
      <c r="Q101" s="532"/>
      <c r="R101" s="532"/>
      <c r="S101" s="532"/>
      <c r="T101" s="535">
        <f>-89-39-3</f>
        <v>-131</v>
      </c>
      <c r="U101" s="451"/>
      <c r="V101" s="405"/>
    </row>
    <row r="102" spans="1:23" x14ac:dyDescent="0.3">
      <c r="A102" s="569" t="s">
        <v>136</v>
      </c>
      <c r="B102" s="532" t="s">
        <v>125</v>
      </c>
      <c r="C102" s="532"/>
      <c r="D102" s="532"/>
      <c r="E102" s="532"/>
      <c r="F102" s="532"/>
      <c r="G102" s="532"/>
      <c r="H102" s="532"/>
      <c r="I102" s="532"/>
      <c r="J102" s="532"/>
      <c r="K102" s="532"/>
      <c r="L102" s="532"/>
      <c r="M102" s="532"/>
      <c r="N102" s="532"/>
      <c r="O102" s="532"/>
      <c r="P102" s="532"/>
      <c r="Q102" s="532"/>
      <c r="R102" s="532"/>
      <c r="S102" s="532"/>
      <c r="T102" s="535">
        <v>0</v>
      </c>
      <c r="U102" s="451"/>
      <c r="V102" s="405"/>
    </row>
    <row r="103" spans="1:23" x14ac:dyDescent="0.3">
      <c r="A103" s="569" t="s">
        <v>137</v>
      </c>
      <c r="B103" s="532" t="s">
        <v>267</v>
      </c>
      <c r="C103" s="532"/>
      <c r="D103" s="532"/>
      <c r="E103" s="532"/>
      <c r="F103" s="532"/>
      <c r="G103" s="532"/>
      <c r="H103" s="532"/>
      <c r="I103" s="532"/>
      <c r="J103" s="532"/>
      <c r="K103" s="532"/>
      <c r="L103" s="532"/>
      <c r="M103" s="532"/>
      <c r="N103" s="532"/>
      <c r="O103" s="532"/>
      <c r="P103" s="532"/>
      <c r="Q103" s="532"/>
      <c r="R103" s="532"/>
      <c r="S103" s="532"/>
      <c r="T103" s="535">
        <v>0</v>
      </c>
      <c r="U103" s="451"/>
      <c r="V103" s="405"/>
    </row>
    <row r="104" spans="1:23" x14ac:dyDescent="0.3">
      <c r="A104" s="569" t="s">
        <v>162</v>
      </c>
      <c r="B104" s="532" t="s">
        <v>218</v>
      </c>
      <c r="C104" s="532"/>
      <c r="D104" s="532"/>
      <c r="E104" s="532"/>
      <c r="F104" s="532"/>
      <c r="G104" s="532"/>
      <c r="H104" s="532"/>
      <c r="I104" s="532"/>
      <c r="J104" s="532"/>
      <c r="K104" s="532"/>
      <c r="L104" s="532"/>
      <c r="M104" s="532"/>
      <c r="N104" s="532"/>
      <c r="O104" s="532"/>
      <c r="P104" s="532"/>
      <c r="Q104" s="532"/>
      <c r="R104" s="532"/>
      <c r="S104" s="532"/>
      <c r="T104" s="535">
        <v>-224</v>
      </c>
      <c r="U104" s="451"/>
      <c r="V104" s="405"/>
      <c r="W104" s="452"/>
    </row>
    <row r="105" spans="1:23" x14ac:dyDescent="0.3">
      <c r="A105" s="569" t="s">
        <v>163</v>
      </c>
      <c r="B105" s="532" t="s">
        <v>219</v>
      </c>
      <c r="C105" s="532"/>
      <c r="D105" s="532"/>
      <c r="E105" s="532"/>
      <c r="F105" s="532"/>
      <c r="G105" s="532"/>
      <c r="H105" s="532"/>
      <c r="I105" s="532"/>
      <c r="J105" s="532"/>
      <c r="K105" s="532"/>
      <c r="L105" s="532"/>
      <c r="M105" s="532"/>
      <c r="N105" s="532"/>
      <c r="O105" s="532"/>
      <c r="P105" s="532"/>
      <c r="Q105" s="532"/>
      <c r="R105" s="532"/>
      <c r="S105" s="532"/>
      <c r="T105" s="535">
        <v>-162</v>
      </c>
      <c r="U105" s="451"/>
      <c r="V105" s="405"/>
      <c r="W105" s="452"/>
    </row>
    <row r="106" spans="1:23" x14ac:dyDescent="0.3">
      <c r="A106" s="569" t="s">
        <v>252</v>
      </c>
      <c r="B106" s="532" t="s">
        <v>242</v>
      </c>
      <c r="C106" s="532"/>
      <c r="D106" s="532"/>
      <c r="E106" s="532"/>
      <c r="F106" s="532"/>
      <c r="G106" s="532"/>
      <c r="H106" s="532"/>
      <c r="I106" s="532"/>
      <c r="J106" s="532"/>
      <c r="K106" s="532"/>
      <c r="L106" s="532"/>
      <c r="M106" s="532"/>
      <c r="N106" s="532"/>
      <c r="O106" s="532"/>
      <c r="P106" s="532"/>
      <c r="Q106" s="532"/>
      <c r="R106" s="532"/>
      <c r="S106" s="532"/>
      <c r="T106" s="535">
        <v>-23</v>
      </c>
      <c r="U106" s="451"/>
      <c r="V106" s="453"/>
      <c r="W106" s="452"/>
    </row>
    <row r="107" spans="1:23" x14ac:dyDescent="0.3">
      <c r="A107" s="569" t="s">
        <v>245</v>
      </c>
      <c r="B107" s="532" t="s">
        <v>220</v>
      </c>
      <c r="C107" s="532"/>
      <c r="D107" s="532"/>
      <c r="E107" s="532"/>
      <c r="F107" s="532"/>
      <c r="G107" s="532"/>
      <c r="H107" s="532"/>
      <c r="I107" s="532"/>
      <c r="J107" s="532"/>
      <c r="K107" s="532"/>
      <c r="L107" s="532"/>
      <c r="M107" s="532"/>
      <c r="N107" s="532"/>
      <c r="O107" s="532"/>
      <c r="P107" s="532"/>
      <c r="Q107" s="532"/>
      <c r="R107" s="532"/>
      <c r="S107" s="532"/>
      <c r="T107" s="535">
        <v>-13</v>
      </c>
      <c r="U107" s="451"/>
      <c r="V107" s="405"/>
      <c r="W107" s="452"/>
    </row>
    <row r="108" spans="1:23" x14ac:dyDescent="0.3">
      <c r="A108" s="569" t="s">
        <v>246</v>
      </c>
      <c r="B108" s="532" t="s">
        <v>221</v>
      </c>
      <c r="C108" s="532"/>
      <c r="D108" s="532"/>
      <c r="E108" s="532"/>
      <c r="F108" s="532"/>
      <c r="G108" s="532"/>
      <c r="H108" s="532"/>
      <c r="I108" s="532"/>
      <c r="J108" s="532"/>
      <c r="K108" s="532"/>
      <c r="L108" s="532"/>
      <c r="M108" s="532"/>
      <c r="N108" s="532"/>
      <c r="O108" s="532"/>
      <c r="P108" s="532"/>
      <c r="Q108" s="532"/>
      <c r="R108" s="532"/>
      <c r="S108" s="532"/>
      <c r="T108" s="535">
        <v>-39</v>
      </c>
      <c r="U108" s="451"/>
      <c r="V108" s="405"/>
      <c r="W108" s="452"/>
    </row>
    <row r="109" spans="1:23" x14ac:dyDescent="0.3">
      <c r="A109" s="569" t="s">
        <v>247</v>
      </c>
      <c r="B109" s="532" t="s">
        <v>222</v>
      </c>
      <c r="C109" s="532"/>
      <c r="D109" s="532"/>
      <c r="E109" s="532"/>
      <c r="F109" s="532"/>
      <c r="G109" s="532"/>
      <c r="H109" s="532"/>
      <c r="I109" s="532"/>
      <c r="J109" s="532"/>
      <c r="K109" s="532"/>
      <c r="L109" s="532"/>
      <c r="M109" s="532"/>
      <c r="N109" s="532"/>
      <c r="O109" s="532"/>
      <c r="P109" s="532"/>
      <c r="Q109" s="532"/>
      <c r="R109" s="532"/>
      <c r="S109" s="532"/>
      <c r="T109" s="535">
        <v>-8</v>
      </c>
      <c r="U109" s="451"/>
      <c r="V109" s="405"/>
      <c r="W109" s="452"/>
    </row>
    <row r="110" spans="1:23" x14ac:dyDescent="0.3">
      <c r="A110" s="569" t="s">
        <v>248</v>
      </c>
      <c r="B110" s="532" t="s">
        <v>223</v>
      </c>
      <c r="C110" s="532"/>
      <c r="D110" s="532"/>
      <c r="E110" s="532"/>
      <c r="F110" s="532"/>
      <c r="G110" s="532"/>
      <c r="H110" s="532"/>
      <c r="I110" s="532"/>
      <c r="J110" s="532"/>
      <c r="K110" s="532"/>
      <c r="L110" s="532"/>
      <c r="M110" s="532"/>
      <c r="N110" s="532"/>
      <c r="O110" s="532"/>
      <c r="P110" s="532"/>
      <c r="Q110" s="532"/>
      <c r="R110" s="532"/>
      <c r="S110" s="532"/>
      <c r="T110" s="535">
        <v>-125</v>
      </c>
      <c r="U110" s="451"/>
      <c r="V110" s="405"/>
      <c r="W110" s="452"/>
    </row>
    <row r="111" spans="1:23" x14ac:dyDescent="0.3">
      <c r="A111" s="569">
        <v>7</v>
      </c>
      <c r="B111" s="532" t="s">
        <v>318</v>
      </c>
      <c r="C111" s="532"/>
      <c r="D111" s="532"/>
      <c r="E111" s="532"/>
      <c r="F111" s="532"/>
      <c r="G111" s="532"/>
      <c r="H111" s="532"/>
      <c r="I111" s="532"/>
      <c r="J111" s="532"/>
      <c r="K111" s="532"/>
      <c r="L111" s="532"/>
      <c r="M111" s="532"/>
      <c r="N111" s="532"/>
      <c r="O111" s="532"/>
      <c r="P111" s="532"/>
      <c r="Q111" s="532"/>
      <c r="R111" s="532"/>
      <c r="S111" s="532"/>
      <c r="T111" s="535">
        <v>0</v>
      </c>
      <c r="U111" s="451"/>
      <c r="V111" s="405"/>
      <c r="W111" s="452"/>
    </row>
    <row r="112" spans="1:23" x14ac:dyDescent="0.3">
      <c r="A112" s="569">
        <v>8</v>
      </c>
      <c r="B112" s="532" t="s">
        <v>38</v>
      </c>
      <c r="C112" s="532"/>
      <c r="D112" s="532"/>
      <c r="E112" s="532"/>
      <c r="F112" s="532"/>
      <c r="G112" s="532"/>
      <c r="H112" s="532"/>
      <c r="I112" s="532"/>
      <c r="J112" s="532"/>
      <c r="K112" s="532"/>
      <c r="L112" s="532"/>
      <c r="M112" s="532"/>
      <c r="N112" s="532"/>
      <c r="O112" s="532"/>
      <c r="P112" s="532"/>
      <c r="Q112" s="532"/>
      <c r="R112" s="532"/>
      <c r="S112" s="532"/>
      <c r="T112" s="535">
        <v>-6</v>
      </c>
      <c r="U112" s="451"/>
      <c r="V112" s="405"/>
    </row>
    <row r="113" spans="1:22" x14ac:dyDescent="0.3">
      <c r="A113" s="569">
        <f t="shared" ref="A113:A118" si="0">+A112+1</f>
        <v>9</v>
      </c>
      <c r="B113" s="532" t="s">
        <v>49</v>
      </c>
      <c r="C113" s="532"/>
      <c r="D113" s="532"/>
      <c r="E113" s="532"/>
      <c r="F113" s="532"/>
      <c r="G113" s="532"/>
      <c r="H113" s="532"/>
      <c r="I113" s="532"/>
      <c r="J113" s="532"/>
      <c r="K113" s="532"/>
      <c r="L113" s="532"/>
      <c r="M113" s="532"/>
      <c r="N113" s="532"/>
      <c r="O113" s="532"/>
      <c r="P113" s="532"/>
      <c r="Q113" s="532"/>
      <c r="R113" s="531">
        <f>-T113</f>
        <v>-34</v>
      </c>
      <c r="S113" s="532"/>
      <c r="T113" s="535">
        <v>34</v>
      </c>
      <c r="U113" s="451"/>
      <c r="V113" s="405"/>
    </row>
    <row r="114" spans="1:22" x14ac:dyDescent="0.3">
      <c r="A114" s="569">
        <f t="shared" si="0"/>
        <v>10</v>
      </c>
      <c r="B114" s="532" t="s">
        <v>134</v>
      </c>
      <c r="C114" s="532"/>
      <c r="D114" s="532"/>
      <c r="E114" s="532"/>
      <c r="F114" s="532"/>
      <c r="G114" s="532"/>
      <c r="H114" s="532"/>
      <c r="I114" s="532"/>
      <c r="J114" s="532"/>
      <c r="K114" s="532"/>
      <c r="L114" s="532"/>
      <c r="M114" s="532"/>
      <c r="N114" s="532"/>
      <c r="O114" s="532"/>
      <c r="P114" s="532"/>
      <c r="Q114" s="532"/>
      <c r="R114" s="532"/>
      <c r="S114" s="532"/>
      <c r="T114" s="535">
        <v>0</v>
      </c>
      <c r="U114" s="451"/>
      <c r="V114" s="405"/>
    </row>
    <row r="115" spans="1:22" x14ac:dyDescent="0.3">
      <c r="A115" s="569">
        <f t="shared" si="0"/>
        <v>11</v>
      </c>
      <c r="B115" s="532" t="s">
        <v>39</v>
      </c>
      <c r="C115" s="532"/>
      <c r="D115" s="532"/>
      <c r="E115" s="532"/>
      <c r="F115" s="532"/>
      <c r="G115" s="532"/>
      <c r="H115" s="532"/>
      <c r="I115" s="532"/>
      <c r="J115" s="532"/>
      <c r="K115" s="532"/>
      <c r="L115" s="532"/>
      <c r="M115" s="532"/>
      <c r="N115" s="532"/>
      <c r="O115" s="532"/>
      <c r="P115" s="532"/>
      <c r="Q115" s="532"/>
      <c r="R115" s="532"/>
      <c r="S115" s="532"/>
      <c r="T115" s="535">
        <v>0</v>
      </c>
      <c r="U115" s="451"/>
      <c r="V115" s="405"/>
    </row>
    <row r="116" spans="1:22" x14ac:dyDescent="0.3">
      <c r="A116" s="569">
        <f t="shared" si="0"/>
        <v>12</v>
      </c>
      <c r="B116" s="532" t="s">
        <v>40</v>
      </c>
      <c r="C116" s="532"/>
      <c r="D116" s="532"/>
      <c r="E116" s="532"/>
      <c r="F116" s="532"/>
      <c r="G116" s="532"/>
      <c r="H116" s="532"/>
      <c r="I116" s="532"/>
      <c r="J116" s="532"/>
      <c r="K116" s="532"/>
      <c r="L116" s="532"/>
      <c r="M116" s="532"/>
      <c r="N116" s="532"/>
      <c r="O116" s="532"/>
      <c r="P116" s="532"/>
      <c r="Q116" s="532"/>
      <c r="R116" s="532"/>
      <c r="S116" s="532"/>
      <c r="T116" s="535">
        <v>0</v>
      </c>
      <c r="U116" s="451"/>
      <c r="V116" s="405"/>
    </row>
    <row r="117" spans="1:22" x14ac:dyDescent="0.3">
      <c r="A117" s="569">
        <f t="shared" si="0"/>
        <v>13</v>
      </c>
      <c r="B117" s="532" t="s">
        <v>161</v>
      </c>
      <c r="C117" s="532"/>
      <c r="D117" s="532"/>
      <c r="E117" s="532"/>
      <c r="F117" s="532"/>
      <c r="G117" s="532"/>
      <c r="H117" s="532"/>
      <c r="I117" s="532"/>
      <c r="J117" s="532"/>
      <c r="K117" s="532"/>
      <c r="L117" s="532"/>
      <c r="M117" s="532"/>
      <c r="N117" s="532"/>
      <c r="O117" s="532"/>
      <c r="P117" s="532"/>
      <c r="Q117" s="532"/>
      <c r="R117" s="532"/>
      <c r="S117" s="532"/>
      <c r="T117" s="535">
        <v>-89</v>
      </c>
      <c r="U117" s="451"/>
      <c r="V117" s="405"/>
    </row>
    <row r="118" spans="1:22" x14ac:dyDescent="0.3">
      <c r="A118" s="569">
        <f t="shared" si="0"/>
        <v>14</v>
      </c>
      <c r="B118" s="532" t="s">
        <v>135</v>
      </c>
      <c r="C118" s="532"/>
      <c r="D118" s="532"/>
      <c r="E118" s="532"/>
      <c r="F118" s="532"/>
      <c r="G118" s="532"/>
      <c r="H118" s="532"/>
      <c r="I118" s="532"/>
      <c r="J118" s="532"/>
      <c r="K118" s="532"/>
      <c r="L118" s="532"/>
      <c r="M118" s="532"/>
      <c r="N118" s="532"/>
      <c r="O118" s="532"/>
      <c r="P118" s="532"/>
      <c r="Q118" s="532"/>
      <c r="R118" s="532"/>
      <c r="S118" s="532"/>
      <c r="T118" s="535">
        <f>-T97-SUM(T99:T117)</f>
        <v>-694</v>
      </c>
      <c r="U118" s="451"/>
      <c r="V118" s="405"/>
    </row>
    <row r="119" spans="1:22" x14ac:dyDescent="0.3">
      <c r="A119" s="418"/>
      <c r="B119" s="522" t="s">
        <v>41</v>
      </c>
      <c r="C119" s="448"/>
      <c r="D119" s="448"/>
      <c r="E119" s="448"/>
      <c r="F119" s="448"/>
      <c r="G119" s="448"/>
      <c r="H119" s="448"/>
      <c r="I119" s="448"/>
      <c r="J119" s="448"/>
      <c r="K119" s="448"/>
      <c r="L119" s="448"/>
      <c r="M119" s="448"/>
      <c r="N119" s="448"/>
      <c r="O119" s="448"/>
      <c r="P119" s="448"/>
      <c r="Q119" s="448"/>
      <c r="R119" s="448"/>
      <c r="S119" s="448"/>
      <c r="T119" s="454"/>
      <c r="U119" s="451"/>
      <c r="V119" s="405"/>
    </row>
    <row r="120" spans="1:22" x14ac:dyDescent="0.3">
      <c r="A120" s="428"/>
      <c r="B120" s="532" t="s">
        <v>229</v>
      </c>
      <c r="C120" s="532"/>
      <c r="D120" s="532"/>
      <c r="E120" s="532"/>
      <c r="F120" s="532"/>
      <c r="G120" s="532"/>
      <c r="H120" s="532"/>
      <c r="I120" s="532"/>
      <c r="J120" s="532"/>
      <c r="K120" s="532"/>
      <c r="L120" s="532"/>
      <c r="M120" s="532"/>
      <c r="N120" s="532"/>
      <c r="O120" s="532"/>
      <c r="P120" s="532"/>
      <c r="Q120" s="532"/>
      <c r="R120" s="531">
        <f>-R180</f>
        <v>0</v>
      </c>
      <c r="S120" s="531"/>
      <c r="T120" s="535"/>
      <c r="U120" s="562"/>
      <c r="V120" s="405"/>
    </row>
    <row r="121" spans="1:22" x14ac:dyDescent="0.3">
      <c r="A121" s="428"/>
      <c r="B121" s="532" t="s">
        <v>230</v>
      </c>
      <c r="C121" s="532"/>
      <c r="D121" s="532"/>
      <c r="E121" s="532"/>
      <c r="F121" s="532"/>
      <c r="G121" s="532"/>
      <c r="H121" s="532"/>
      <c r="I121" s="532"/>
      <c r="J121" s="532"/>
      <c r="K121" s="532"/>
      <c r="L121" s="532"/>
      <c r="M121" s="532"/>
      <c r="N121" s="532"/>
      <c r="O121" s="532"/>
      <c r="P121" s="532"/>
      <c r="Q121" s="532"/>
      <c r="R121" s="531">
        <v>0</v>
      </c>
      <c r="S121" s="531"/>
      <c r="T121" s="535"/>
      <c r="U121" s="562"/>
      <c r="V121" s="405"/>
    </row>
    <row r="122" spans="1:22" x14ac:dyDescent="0.3">
      <c r="A122" s="428"/>
      <c r="B122" s="532" t="s">
        <v>42</v>
      </c>
      <c r="C122" s="532"/>
      <c r="D122" s="532"/>
      <c r="E122" s="532"/>
      <c r="F122" s="532"/>
      <c r="G122" s="532"/>
      <c r="H122" s="532"/>
      <c r="I122" s="532"/>
      <c r="J122" s="532"/>
      <c r="K122" s="532"/>
      <c r="L122" s="532"/>
      <c r="M122" s="532"/>
      <c r="N122" s="532"/>
      <c r="O122" s="532"/>
      <c r="P122" s="532"/>
      <c r="Q122" s="532"/>
      <c r="R122" s="531">
        <f>-Q180</f>
        <v>-191</v>
      </c>
      <c r="S122" s="531"/>
      <c r="T122" s="535"/>
      <c r="U122" s="562"/>
      <c r="V122" s="405"/>
    </row>
    <row r="123" spans="1:22" x14ac:dyDescent="0.3">
      <c r="A123" s="428"/>
      <c r="B123" s="532" t="s">
        <v>235</v>
      </c>
      <c r="C123" s="532"/>
      <c r="D123" s="532"/>
      <c r="E123" s="532"/>
      <c r="F123" s="532"/>
      <c r="G123" s="532"/>
      <c r="H123" s="532"/>
      <c r="I123" s="532"/>
      <c r="J123" s="532"/>
      <c r="K123" s="532"/>
      <c r="L123" s="532"/>
      <c r="M123" s="532"/>
      <c r="N123" s="532"/>
      <c r="O123" s="532"/>
      <c r="P123" s="532"/>
      <c r="Q123" s="532"/>
      <c r="R123" s="531">
        <v>-1162</v>
      </c>
      <c r="S123" s="531"/>
      <c r="T123" s="535"/>
      <c r="U123" s="562"/>
      <c r="V123" s="405"/>
    </row>
    <row r="124" spans="1:22" x14ac:dyDescent="0.3">
      <c r="A124" s="428"/>
      <c r="B124" s="532" t="s">
        <v>236</v>
      </c>
      <c r="C124" s="532"/>
      <c r="D124" s="532"/>
      <c r="E124" s="532"/>
      <c r="F124" s="532"/>
      <c r="G124" s="532"/>
      <c r="H124" s="532"/>
      <c r="I124" s="532"/>
      <c r="J124" s="532"/>
      <c r="K124" s="532"/>
      <c r="L124" s="532"/>
      <c r="M124" s="532"/>
      <c r="N124" s="532"/>
      <c r="O124" s="532"/>
      <c r="P124" s="532"/>
      <c r="Q124" s="532"/>
      <c r="R124" s="531">
        <v>-821</v>
      </c>
      <c r="S124" s="531"/>
      <c r="T124" s="535"/>
      <c r="U124" s="562"/>
      <c r="V124" s="405"/>
    </row>
    <row r="125" spans="1:22" x14ac:dyDescent="0.3">
      <c r="A125" s="428"/>
      <c r="B125" s="532" t="s">
        <v>241</v>
      </c>
      <c r="C125" s="532"/>
      <c r="D125" s="532"/>
      <c r="E125" s="532"/>
      <c r="F125" s="532"/>
      <c r="G125" s="532"/>
      <c r="H125" s="532"/>
      <c r="I125" s="532"/>
      <c r="J125" s="532"/>
      <c r="K125" s="532"/>
      <c r="L125" s="532"/>
      <c r="M125" s="532"/>
      <c r="N125" s="532"/>
      <c r="O125" s="532"/>
      <c r="P125" s="532"/>
      <c r="Q125" s="532"/>
      <c r="R125" s="531">
        <v>-114</v>
      </c>
      <c r="S125" s="531"/>
      <c r="T125" s="535"/>
      <c r="U125" s="562"/>
      <c r="V125" s="405"/>
    </row>
    <row r="126" spans="1:22" x14ac:dyDescent="0.3">
      <c r="A126" s="428"/>
      <c r="B126" s="532" t="s">
        <v>237</v>
      </c>
      <c r="C126" s="532"/>
      <c r="D126" s="532"/>
      <c r="E126" s="532"/>
      <c r="F126" s="532"/>
      <c r="G126" s="532"/>
      <c r="H126" s="532"/>
      <c r="I126" s="532"/>
      <c r="J126" s="532"/>
      <c r="K126" s="532"/>
      <c r="L126" s="532"/>
      <c r="M126" s="532"/>
      <c r="N126" s="532"/>
      <c r="O126" s="532"/>
      <c r="P126" s="532"/>
      <c r="Q126" s="532"/>
      <c r="R126" s="531">
        <v>-54</v>
      </c>
      <c r="S126" s="531"/>
      <c r="T126" s="535"/>
      <c r="U126" s="562"/>
      <c r="V126" s="405"/>
    </row>
    <row r="127" spans="1:22" x14ac:dyDescent="0.3">
      <c r="A127" s="428"/>
      <c r="B127" s="532" t="s">
        <v>238</v>
      </c>
      <c r="C127" s="532"/>
      <c r="D127" s="532"/>
      <c r="E127" s="532"/>
      <c r="F127" s="532"/>
      <c r="G127" s="532"/>
      <c r="H127" s="532"/>
      <c r="I127" s="532"/>
      <c r="J127" s="532"/>
      <c r="K127" s="532"/>
      <c r="L127" s="532"/>
      <c r="M127" s="532"/>
      <c r="N127" s="532"/>
      <c r="O127" s="532"/>
      <c r="P127" s="532"/>
      <c r="Q127" s="532"/>
      <c r="R127" s="531">
        <v>-155</v>
      </c>
      <c r="S127" s="531"/>
      <c r="T127" s="535"/>
      <c r="U127" s="562"/>
      <c r="V127" s="405"/>
    </row>
    <row r="128" spans="1:22" x14ac:dyDescent="0.3">
      <c r="A128" s="428"/>
      <c r="B128" s="532" t="s">
        <v>239</v>
      </c>
      <c r="C128" s="532"/>
      <c r="D128" s="532"/>
      <c r="E128" s="532"/>
      <c r="F128" s="532"/>
      <c r="G128" s="532"/>
      <c r="H128" s="532"/>
      <c r="I128" s="532"/>
      <c r="J128" s="532"/>
      <c r="K128" s="532"/>
      <c r="L128" s="532"/>
      <c r="M128" s="532"/>
      <c r="N128" s="532"/>
      <c r="O128" s="532"/>
      <c r="P128" s="532"/>
      <c r="Q128" s="532"/>
      <c r="R128" s="531">
        <v>-23</v>
      </c>
      <c r="S128" s="531"/>
      <c r="T128" s="535"/>
      <c r="U128" s="562"/>
      <c r="V128" s="405"/>
    </row>
    <row r="129" spans="1:22" x14ac:dyDescent="0.3">
      <c r="A129" s="428"/>
      <c r="B129" s="532" t="s">
        <v>240</v>
      </c>
      <c r="C129" s="532"/>
      <c r="D129" s="532"/>
      <c r="E129" s="532"/>
      <c r="F129" s="532"/>
      <c r="G129" s="532"/>
      <c r="H129" s="532"/>
      <c r="I129" s="532"/>
      <c r="J129" s="532"/>
      <c r="K129" s="532"/>
      <c r="L129" s="532"/>
      <c r="M129" s="532"/>
      <c r="N129" s="532"/>
      <c r="O129" s="532"/>
      <c r="P129" s="532"/>
      <c r="Q129" s="532"/>
      <c r="R129" s="531">
        <v>-346</v>
      </c>
      <c r="S129" s="531"/>
      <c r="T129" s="535"/>
      <c r="U129" s="562"/>
      <c r="V129" s="405"/>
    </row>
    <row r="130" spans="1:22" x14ac:dyDescent="0.3">
      <c r="A130" s="428"/>
      <c r="B130" s="532" t="s">
        <v>43</v>
      </c>
      <c r="C130" s="532"/>
      <c r="D130" s="532"/>
      <c r="E130" s="532"/>
      <c r="F130" s="532"/>
      <c r="G130" s="532"/>
      <c r="H130" s="532"/>
      <c r="I130" s="532"/>
      <c r="J130" s="532"/>
      <c r="K130" s="532"/>
      <c r="L130" s="532"/>
      <c r="M130" s="532"/>
      <c r="N130" s="532"/>
      <c r="O130" s="532"/>
      <c r="P130" s="532"/>
      <c r="Q130" s="532"/>
      <c r="R130" s="531">
        <f>SUM(R120:R129)</f>
        <v>-2866</v>
      </c>
      <c r="S130" s="531"/>
      <c r="T130" s="531">
        <f>SUM(T98:T128)</f>
        <v>-1482</v>
      </c>
      <c r="U130" s="562"/>
      <c r="V130" s="405"/>
    </row>
    <row r="131" spans="1:22" x14ac:dyDescent="0.3">
      <c r="A131" s="428"/>
      <c r="B131" s="532" t="s">
        <v>44</v>
      </c>
      <c r="C131" s="532"/>
      <c r="D131" s="532"/>
      <c r="E131" s="532"/>
      <c r="F131" s="532"/>
      <c r="G131" s="532"/>
      <c r="H131" s="532"/>
      <c r="I131" s="532"/>
      <c r="J131" s="532"/>
      <c r="K131" s="532"/>
      <c r="L131" s="532"/>
      <c r="M131" s="532"/>
      <c r="N131" s="532"/>
      <c r="O131" s="532"/>
      <c r="P131" s="532"/>
      <c r="Q131" s="532"/>
      <c r="R131" s="531">
        <f>R97+R130+R113</f>
        <v>0</v>
      </c>
      <c r="S131" s="531"/>
      <c r="T131" s="531">
        <f>T97+T130</f>
        <v>0</v>
      </c>
      <c r="U131" s="562"/>
      <c r="V131" s="405"/>
    </row>
    <row r="132" spans="1:22" x14ac:dyDescent="0.3">
      <c r="A132" s="430"/>
      <c r="B132" s="431"/>
      <c r="C132" s="431"/>
      <c r="D132" s="431"/>
      <c r="E132" s="431"/>
      <c r="F132" s="431"/>
      <c r="G132" s="431"/>
      <c r="H132" s="431"/>
      <c r="I132" s="431"/>
      <c r="J132" s="431"/>
      <c r="K132" s="431"/>
      <c r="L132" s="431"/>
      <c r="M132" s="431"/>
      <c r="N132" s="431"/>
      <c r="O132" s="431"/>
      <c r="P132" s="431"/>
      <c r="Q132" s="431"/>
      <c r="R132" s="455"/>
      <c r="S132" s="455"/>
      <c r="T132" s="455"/>
      <c r="U132" s="431"/>
      <c r="V132" s="405"/>
    </row>
    <row r="133" spans="1:22" x14ac:dyDescent="0.3">
      <c r="A133" s="430"/>
      <c r="B133" s="434"/>
      <c r="C133" s="434"/>
      <c r="D133" s="434"/>
      <c r="E133" s="434"/>
      <c r="F133" s="434"/>
      <c r="G133" s="434"/>
      <c r="H133" s="434"/>
      <c r="I133" s="434"/>
      <c r="J133" s="434"/>
      <c r="K133" s="434"/>
      <c r="L133" s="434"/>
      <c r="M133" s="434"/>
      <c r="N133" s="434"/>
      <c r="O133" s="434"/>
      <c r="P133" s="434"/>
      <c r="Q133" s="434"/>
      <c r="R133" s="434"/>
      <c r="S133" s="434"/>
      <c r="T133" s="456"/>
      <c r="U133" s="434"/>
      <c r="V133" s="405"/>
    </row>
    <row r="134" spans="1:22" ht="18.600000000000001" thickBot="1" x14ac:dyDescent="0.4">
      <c r="A134" s="437"/>
      <c r="B134" s="565" t="str">
        <f>B61</f>
        <v>PM9 INVESTOR REPORT QUARTER ENDING JANUARY 2018</v>
      </c>
      <c r="C134" s="438"/>
      <c r="D134" s="438"/>
      <c r="E134" s="438"/>
      <c r="F134" s="438"/>
      <c r="G134" s="438"/>
      <c r="H134" s="438"/>
      <c r="I134" s="438"/>
      <c r="J134" s="438"/>
      <c r="K134" s="438"/>
      <c r="L134" s="438"/>
      <c r="M134" s="438"/>
      <c r="N134" s="438"/>
      <c r="O134" s="438"/>
      <c r="P134" s="438"/>
      <c r="Q134" s="438"/>
      <c r="R134" s="438"/>
      <c r="S134" s="438"/>
      <c r="T134" s="457"/>
      <c r="U134" s="440"/>
      <c r="V134" s="405"/>
    </row>
    <row r="135" spans="1:22" x14ac:dyDescent="0.3">
      <c r="A135" s="507"/>
      <c r="B135" s="508" t="s">
        <v>45</v>
      </c>
      <c r="C135" s="509"/>
      <c r="D135" s="509"/>
      <c r="E135" s="509"/>
      <c r="F135" s="509"/>
      <c r="G135" s="509"/>
      <c r="H135" s="509"/>
      <c r="I135" s="509"/>
      <c r="J135" s="509"/>
      <c r="K135" s="509"/>
      <c r="L135" s="509"/>
      <c r="M135" s="509"/>
      <c r="N135" s="509"/>
      <c r="O135" s="509"/>
      <c r="P135" s="509"/>
      <c r="Q135" s="509"/>
      <c r="R135" s="509"/>
      <c r="S135" s="509"/>
      <c r="T135" s="510"/>
      <c r="U135" s="509"/>
      <c r="V135" s="405"/>
    </row>
    <row r="136" spans="1:22" x14ac:dyDescent="0.3">
      <c r="A136" s="407"/>
      <c r="B136" s="458"/>
      <c r="C136" s="409"/>
      <c r="D136" s="409"/>
      <c r="E136" s="409"/>
      <c r="F136" s="409"/>
      <c r="G136" s="409"/>
      <c r="H136" s="409"/>
      <c r="I136" s="409"/>
      <c r="J136" s="409"/>
      <c r="K136" s="409"/>
      <c r="L136" s="409"/>
      <c r="M136" s="409"/>
      <c r="N136" s="409"/>
      <c r="O136" s="409"/>
      <c r="P136" s="409"/>
      <c r="Q136" s="409"/>
      <c r="R136" s="409"/>
      <c r="S136" s="409"/>
      <c r="T136" s="441"/>
      <c r="U136" s="409"/>
      <c r="V136" s="405"/>
    </row>
    <row r="137" spans="1:22" x14ac:dyDescent="0.3">
      <c r="A137" s="407"/>
      <c r="B137" s="523" t="s">
        <v>46</v>
      </c>
      <c r="C137" s="409"/>
      <c r="D137" s="409"/>
      <c r="E137" s="409"/>
      <c r="F137" s="409"/>
      <c r="G137" s="409"/>
      <c r="H137" s="409"/>
      <c r="I137" s="409"/>
      <c r="J137" s="409"/>
      <c r="K137" s="409"/>
      <c r="L137" s="409"/>
      <c r="M137" s="409"/>
      <c r="N137" s="409"/>
      <c r="O137" s="409"/>
      <c r="P137" s="409"/>
      <c r="Q137" s="409"/>
      <c r="R137" s="409"/>
      <c r="S137" s="409"/>
      <c r="T137" s="441"/>
      <c r="U137" s="409"/>
      <c r="V137" s="405"/>
    </row>
    <row r="138" spans="1:22" x14ac:dyDescent="0.3">
      <c r="A138" s="418"/>
      <c r="B138" s="532" t="s">
        <v>47</v>
      </c>
      <c r="C138" s="532"/>
      <c r="D138" s="532"/>
      <c r="E138" s="532"/>
      <c r="F138" s="532"/>
      <c r="G138" s="532"/>
      <c r="H138" s="532"/>
      <c r="I138" s="532"/>
      <c r="J138" s="532"/>
      <c r="K138" s="532"/>
      <c r="L138" s="532"/>
      <c r="M138" s="532"/>
      <c r="N138" s="532"/>
      <c r="O138" s="532"/>
      <c r="P138" s="532"/>
      <c r="Q138" s="532"/>
      <c r="R138" s="532"/>
      <c r="S138" s="532"/>
      <c r="T138" s="535">
        <f>+T32*0.0176</f>
        <v>12320</v>
      </c>
      <c r="U138" s="420"/>
      <c r="V138" s="405"/>
    </row>
    <row r="139" spans="1:22" x14ac:dyDescent="0.3">
      <c r="A139" s="418"/>
      <c r="B139" s="532" t="s">
        <v>48</v>
      </c>
      <c r="C139" s="532"/>
      <c r="D139" s="532"/>
      <c r="E139" s="532"/>
      <c r="F139" s="532"/>
      <c r="G139" s="532"/>
      <c r="H139" s="532"/>
      <c r="I139" s="532"/>
      <c r="J139" s="532"/>
      <c r="K139" s="532"/>
      <c r="L139" s="532"/>
      <c r="M139" s="532"/>
      <c r="N139" s="532"/>
      <c r="O139" s="532"/>
      <c r="P139" s="532"/>
      <c r="Q139" s="532"/>
      <c r="R139" s="532"/>
      <c r="S139" s="532"/>
      <c r="T139" s="535">
        <v>12320</v>
      </c>
      <c r="U139" s="420"/>
      <c r="V139" s="405"/>
    </row>
    <row r="140" spans="1:22" x14ac:dyDescent="0.3">
      <c r="A140" s="418"/>
      <c r="B140" s="532" t="s">
        <v>145</v>
      </c>
      <c r="C140" s="532"/>
      <c r="D140" s="532"/>
      <c r="E140" s="532"/>
      <c r="F140" s="532"/>
      <c r="G140" s="532"/>
      <c r="H140" s="532"/>
      <c r="I140" s="532"/>
      <c r="J140" s="532"/>
      <c r="K140" s="532"/>
      <c r="L140" s="532"/>
      <c r="M140" s="532"/>
      <c r="N140" s="532"/>
      <c r="O140" s="532"/>
      <c r="P140" s="532"/>
      <c r="Q140" s="532"/>
      <c r="R140" s="532"/>
      <c r="S140" s="532"/>
      <c r="T140" s="535">
        <v>0</v>
      </c>
      <c r="U140" s="420"/>
      <c r="V140" s="405"/>
    </row>
    <row r="141" spans="1:22" x14ac:dyDescent="0.3">
      <c r="A141" s="418"/>
      <c r="B141" s="532" t="s">
        <v>132</v>
      </c>
      <c r="C141" s="532"/>
      <c r="D141" s="532"/>
      <c r="E141" s="532"/>
      <c r="F141" s="532"/>
      <c r="G141" s="532"/>
      <c r="H141" s="532"/>
      <c r="I141" s="532"/>
      <c r="J141" s="532"/>
      <c r="K141" s="532"/>
      <c r="L141" s="532"/>
      <c r="M141" s="532"/>
      <c r="N141" s="532"/>
      <c r="O141" s="532"/>
      <c r="P141" s="532"/>
      <c r="Q141" s="532"/>
      <c r="R141" s="532"/>
      <c r="S141" s="532"/>
      <c r="T141" s="535">
        <v>0</v>
      </c>
      <c r="U141" s="420"/>
      <c r="V141" s="405"/>
    </row>
    <row r="142" spans="1:22" x14ac:dyDescent="0.3">
      <c r="A142" s="418"/>
      <c r="B142" s="532" t="s">
        <v>133</v>
      </c>
      <c r="C142" s="532"/>
      <c r="D142" s="532"/>
      <c r="E142" s="532"/>
      <c r="F142" s="532"/>
      <c r="G142" s="532"/>
      <c r="H142" s="532"/>
      <c r="I142" s="532"/>
      <c r="J142" s="532"/>
      <c r="K142" s="532"/>
      <c r="L142" s="532"/>
      <c r="M142" s="532"/>
      <c r="N142" s="532"/>
      <c r="O142" s="532"/>
      <c r="P142" s="532"/>
      <c r="Q142" s="532"/>
      <c r="R142" s="532"/>
      <c r="S142" s="532"/>
      <c r="T142" s="535">
        <v>0</v>
      </c>
      <c r="U142" s="420"/>
      <c r="V142" s="405"/>
    </row>
    <row r="143" spans="1:22" x14ac:dyDescent="0.3">
      <c r="A143" s="418"/>
      <c r="B143" s="532" t="s">
        <v>232</v>
      </c>
      <c r="C143" s="532"/>
      <c r="D143" s="532"/>
      <c r="E143" s="532"/>
      <c r="F143" s="532"/>
      <c r="G143" s="532"/>
      <c r="H143" s="532"/>
      <c r="I143" s="532"/>
      <c r="J143" s="532"/>
      <c r="K143" s="532"/>
      <c r="L143" s="532"/>
      <c r="M143" s="532"/>
      <c r="N143" s="532"/>
      <c r="O143" s="532"/>
      <c r="P143" s="532"/>
      <c r="Q143" s="532"/>
      <c r="R143" s="532"/>
      <c r="S143" s="532"/>
      <c r="T143" s="535">
        <v>0</v>
      </c>
      <c r="U143" s="420"/>
      <c r="V143" s="405"/>
    </row>
    <row r="144" spans="1:22" x14ac:dyDescent="0.3">
      <c r="A144" s="418"/>
      <c r="B144" s="532" t="s">
        <v>49</v>
      </c>
      <c r="C144" s="532"/>
      <c r="D144" s="532"/>
      <c r="E144" s="532"/>
      <c r="F144" s="532"/>
      <c r="G144" s="532"/>
      <c r="H144" s="532"/>
      <c r="I144" s="532"/>
      <c r="J144" s="532"/>
      <c r="K144" s="532"/>
      <c r="L144" s="532"/>
      <c r="M144" s="532"/>
      <c r="N144" s="532"/>
      <c r="O144" s="532"/>
      <c r="P144" s="532"/>
      <c r="Q144" s="532"/>
      <c r="R144" s="532"/>
      <c r="S144" s="532"/>
      <c r="T144" s="535">
        <v>0</v>
      </c>
      <c r="U144" s="420"/>
      <c r="V144" s="405"/>
    </row>
    <row r="145" spans="1:23" x14ac:dyDescent="0.3">
      <c r="A145" s="418"/>
      <c r="B145" s="532" t="s">
        <v>138</v>
      </c>
      <c r="C145" s="532"/>
      <c r="D145" s="532"/>
      <c r="E145" s="532"/>
      <c r="F145" s="532"/>
      <c r="G145" s="532"/>
      <c r="H145" s="532"/>
      <c r="I145" s="532"/>
      <c r="J145" s="532"/>
      <c r="K145" s="532"/>
      <c r="L145" s="532"/>
      <c r="M145" s="532"/>
      <c r="N145" s="532"/>
      <c r="O145" s="532"/>
      <c r="P145" s="532"/>
      <c r="Q145" s="532"/>
      <c r="R145" s="532"/>
      <c r="S145" s="532"/>
      <c r="T145" s="535">
        <v>0</v>
      </c>
      <c r="U145" s="420"/>
      <c r="V145" s="405"/>
    </row>
    <row r="146" spans="1:23" x14ac:dyDescent="0.3">
      <c r="A146" s="418"/>
      <c r="B146" s="532" t="s">
        <v>231</v>
      </c>
      <c r="C146" s="532"/>
      <c r="D146" s="532"/>
      <c r="E146" s="532"/>
      <c r="F146" s="532"/>
      <c r="G146" s="532"/>
      <c r="H146" s="532"/>
      <c r="I146" s="532"/>
      <c r="J146" s="532"/>
      <c r="K146" s="532"/>
      <c r="L146" s="532"/>
      <c r="M146" s="532"/>
      <c r="N146" s="532"/>
      <c r="O146" s="532"/>
      <c r="P146" s="532"/>
      <c r="Q146" s="532"/>
      <c r="R146" s="532"/>
      <c r="S146" s="532"/>
      <c r="T146" s="535">
        <v>0</v>
      </c>
      <c r="U146" s="420"/>
      <c r="V146" s="405"/>
      <c r="W146" s="452"/>
    </row>
    <row r="147" spans="1:23" x14ac:dyDescent="0.3">
      <c r="A147" s="418"/>
      <c r="B147" s="532" t="s">
        <v>50</v>
      </c>
      <c r="C147" s="532"/>
      <c r="D147" s="532"/>
      <c r="E147" s="532"/>
      <c r="F147" s="532"/>
      <c r="G147" s="532"/>
      <c r="H147" s="532"/>
      <c r="I147" s="532"/>
      <c r="J147" s="532"/>
      <c r="K147" s="532"/>
      <c r="L147" s="532"/>
      <c r="M147" s="532"/>
      <c r="N147" s="532"/>
      <c r="O147" s="532"/>
      <c r="P147" s="532"/>
      <c r="Q147" s="532"/>
      <c r="R147" s="532"/>
      <c r="S147" s="532"/>
      <c r="T147" s="535">
        <f>SUM(T139:T146)</f>
        <v>12320</v>
      </c>
      <c r="U147" s="420"/>
      <c r="V147" s="405"/>
    </row>
    <row r="148" spans="1:23" x14ac:dyDescent="0.3">
      <c r="A148" s="418"/>
      <c r="B148" s="448"/>
      <c r="C148" s="448"/>
      <c r="D148" s="448"/>
      <c r="E148" s="448"/>
      <c r="F148" s="448"/>
      <c r="G148" s="448"/>
      <c r="H148" s="448"/>
      <c r="I148" s="448"/>
      <c r="J148" s="448"/>
      <c r="K148" s="448"/>
      <c r="L148" s="448"/>
      <c r="M148" s="448"/>
      <c r="N148" s="448"/>
      <c r="O148" s="448"/>
      <c r="P148" s="448"/>
      <c r="Q148" s="448"/>
      <c r="R148" s="448"/>
      <c r="S148" s="448"/>
      <c r="T148" s="450"/>
      <c r="U148" s="451"/>
      <c r="V148" s="405"/>
    </row>
    <row r="149" spans="1:23" x14ac:dyDescent="0.3">
      <c r="A149" s="418"/>
      <c r="B149" s="522" t="s">
        <v>264</v>
      </c>
      <c r="C149" s="448"/>
      <c r="D149" s="448"/>
      <c r="E149" s="448"/>
      <c r="F149" s="448"/>
      <c r="G149" s="448"/>
      <c r="H149" s="448"/>
      <c r="I149" s="448"/>
      <c r="J149" s="448"/>
      <c r="K149" s="448"/>
      <c r="L149" s="448"/>
      <c r="M149" s="448"/>
      <c r="N149" s="448"/>
      <c r="O149" s="448"/>
      <c r="P149" s="448"/>
      <c r="Q149" s="448"/>
      <c r="R149" s="448"/>
      <c r="S149" s="448"/>
      <c r="T149" s="450"/>
      <c r="U149" s="451"/>
      <c r="V149" s="405"/>
    </row>
    <row r="150" spans="1:23" x14ac:dyDescent="0.3">
      <c r="A150" s="418"/>
      <c r="B150" s="532" t="s">
        <v>170</v>
      </c>
      <c r="C150" s="532"/>
      <c r="D150" s="532"/>
      <c r="E150" s="532"/>
      <c r="F150" s="532"/>
      <c r="G150" s="532"/>
      <c r="H150" s="532"/>
      <c r="I150" s="532"/>
      <c r="J150" s="532"/>
      <c r="K150" s="532"/>
      <c r="L150" s="532"/>
      <c r="M150" s="532"/>
      <c r="N150" s="532"/>
      <c r="O150" s="532"/>
      <c r="P150" s="532"/>
      <c r="Q150" s="532"/>
      <c r="R150" s="532"/>
      <c r="S150" s="532"/>
      <c r="T150" s="535">
        <v>10000</v>
      </c>
      <c r="U150" s="420"/>
      <c r="V150" s="405"/>
    </row>
    <row r="151" spans="1:23" x14ac:dyDescent="0.3">
      <c r="A151" s="418"/>
      <c r="B151" s="532" t="s">
        <v>260</v>
      </c>
      <c r="C151" s="532"/>
      <c r="D151" s="532"/>
      <c r="E151" s="532"/>
      <c r="F151" s="532"/>
      <c r="G151" s="532"/>
      <c r="H151" s="532"/>
      <c r="I151" s="532"/>
      <c r="J151" s="532"/>
      <c r="K151" s="532"/>
      <c r="L151" s="532"/>
      <c r="M151" s="532"/>
      <c r="N151" s="532"/>
      <c r="O151" s="532"/>
      <c r="P151" s="532"/>
      <c r="Q151" s="532"/>
      <c r="R151" s="532"/>
      <c r="S151" s="532"/>
      <c r="T151" s="535">
        <v>0</v>
      </c>
      <c r="U151" s="420"/>
      <c r="V151" s="405"/>
    </row>
    <row r="152" spans="1:23" x14ac:dyDescent="0.3">
      <c r="A152" s="418"/>
      <c r="B152" s="532" t="s">
        <v>228</v>
      </c>
      <c r="C152" s="532"/>
      <c r="D152" s="532"/>
      <c r="E152" s="532"/>
      <c r="F152" s="532"/>
      <c r="G152" s="532"/>
      <c r="H152" s="532"/>
      <c r="I152" s="532"/>
      <c r="J152" s="532"/>
      <c r="K152" s="532"/>
      <c r="L152" s="532"/>
      <c r="M152" s="532"/>
      <c r="N152" s="532"/>
      <c r="O152" s="532"/>
      <c r="P152" s="532"/>
      <c r="Q152" s="532"/>
      <c r="R152" s="532"/>
      <c r="S152" s="532"/>
      <c r="T152" s="535">
        <v>0</v>
      </c>
      <c r="U152" s="420"/>
      <c r="V152" s="405"/>
    </row>
    <row r="153" spans="1:23" x14ac:dyDescent="0.3">
      <c r="A153" s="418"/>
      <c r="B153" s="568" t="s">
        <v>327</v>
      </c>
      <c r="C153" s="532"/>
      <c r="D153" s="532"/>
      <c r="E153" s="532"/>
      <c r="F153" s="532"/>
      <c r="G153" s="532"/>
      <c r="H153" s="532"/>
      <c r="I153" s="532"/>
      <c r="J153" s="532"/>
      <c r="K153" s="532"/>
      <c r="L153" s="532"/>
      <c r="M153" s="532"/>
      <c r="N153" s="532"/>
      <c r="O153" s="532"/>
      <c r="P153" s="532"/>
      <c r="Q153" s="532"/>
      <c r="R153" s="532"/>
      <c r="S153" s="532"/>
      <c r="T153" s="535">
        <v>0</v>
      </c>
      <c r="U153" s="420"/>
      <c r="V153" s="405"/>
    </row>
    <row r="154" spans="1:23" x14ac:dyDescent="0.3">
      <c r="A154" s="418"/>
      <c r="B154" s="448"/>
      <c r="C154" s="448"/>
      <c r="D154" s="448"/>
      <c r="E154" s="448"/>
      <c r="F154" s="448"/>
      <c r="G154" s="448"/>
      <c r="H154" s="448"/>
      <c r="I154" s="448"/>
      <c r="J154" s="448"/>
      <c r="K154" s="448"/>
      <c r="L154" s="448"/>
      <c r="M154" s="448"/>
      <c r="N154" s="448"/>
      <c r="O154" s="448"/>
      <c r="P154" s="448"/>
      <c r="Q154" s="448"/>
      <c r="R154" s="448"/>
      <c r="S154" s="448"/>
      <c r="T154" s="450"/>
      <c r="U154" s="451"/>
      <c r="V154" s="405"/>
    </row>
    <row r="155" spans="1:23" x14ac:dyDescent="0.3">
      <c r="A155" s="407"/>
      <c r="B155" s="444"/>
      <c r="C155" s="444"/>
      <c r="D155" s="444"/>
      <c r="E155" s="444"/>
      <c r="F155" s="444"/>
      <c r="G155" s="444"/>
      <c r="H155" s="444"/>
      <c r="I155" s="444"/>
      <c r="J155" s="444"/>
      <c r="K155" s="444"/>
      <c r="L155" s="444"/>
      <c r="M155" s="444"/>
      <c r="N155" s="444"/>
      <c r="O155" s="444"/>
      <c r="P155" s="444"/>
      <c r="Q155" s="444"/>
      <c r="R155" s="444"/>
      <c r="S155" s="444"/>
      <c r="T155" s="459"/>
      <c r="U155" s="444"/>
      <c r="V155" s="405"/>
    </row>
    <row r="156" spans="1:23" x14ac:dyDescent="0.3">
      <c r="A156" s="407"/>
      <c r="B156" s="523" t="s">
        <v>25</v>
      </c>
      <c r="C156" s="409"/>
      <c r="D156" s="409"/>
      <c r="E156" s="409"/>
      <c r="F156" s="409"/>
      <c r="G156" s="409"/>
      <c r="H156" s="409"/>
      <c r="I156" s="409"/>
      <c r="J156" s="409"/>
      <c r="K156" s="409"/>
      <c r="L156" s="409"/>
      <c r="M156" s="409"/>
      <c r="N156" s="409"/>
      <c r="O156" s="409"/>
      <c r="P156" s="409"/>
      <c r="Q156" s="409"/>
      <c r="R156" s="409"/>
      <c r="S156" s="409"/>
      <c r="T156" s="441"/>
      <c r="U156" s="409"/>
      <c r="V156" s="405"/>
    </row>
    <row r="157" spans="1:23" x14ac:dyDescent="0.3">
      <c r="A157" s="418"/>
      <c r="B157" s="532" t="s">
        <v>51</v>
      </c>
      <c r="C157" s="532"/>
      <c r="D157" s="532"/>
      <c r="E157" s="532"/>
      <c r="F157" s="532"/>
      <c r="G157" s="532"/>
      <c r="H157" s="532"/>
      <c r="I157" s="532"/>
      <c r="J157" s="532"/>
      <c r="K157" s="532"/>
      <c r="L157" s="532"/>
      <c r="M157" s="532"/>
      <c r="N157" s="532"/>
      <c r="O157" s="532"/>
      <c r="P157" s="532"/>
      <c r="Q157" s="532"/>
      <c r="R157" s="532"/>
      <c r="S157" s="532"/>
      <c r="T157" s="561" t="s">
        <v>127</v>
      </c>
      <c r="U157" s="451"/>
      <c r="V157" s="405"/>
    </row>
    <row r="158" spans="1:23" x14ac:dyDescent="0.3">
      <c r="A158" s="418"/>
      <c r="B158" s="532" t="s">
        <v>52</v>
      </c>
      <c r="C158" s="532"/>
      <c r="D158" s="532"/>
      <c r="E158" s="532"/>
      <c r="F158" s="532"/>
      <c r="G158" s="532"/>
      <c r="H158" s="532"/>
      <c r="I158" s="532"/>
      <c r="J158" s="532"/>
      <c r="K158" s="532"/>
      <c r="L158" s="532"/>
      <c r="M158" s="532"/>
      <c r="N158" s="532"/>
      <c r="O158" s="532"/>
      <c r="P158" s="532"/>
      <c r="Q158" s="532"/>
      <c r="R158" s="532"/>
      <c r="S158" s="532"/>
      <c r="T158" s="561" t="s">
        <v>127</v>
      </c>
      <c r="U158" s="451"/>
      <c r="V158" s="405"/>
    </row>
    <row r="159" spans="1:23" x14ac:dyDescent="0.3">
      <c r="A159" s="418"/>
      <c r="B159" s="532" t="s">
        <v>53</v>
      </c>
      <c r="C159" s="532"/>
      <c r="D159" s="532"/>
      <c r="E159" s="532"/>
      <c r="F159" s="532"/>
      <c r="G159" s="532"/>
      <c r="H159" s="532"/>
      <c r="I159" s="532"/>
      <c r="J159" s="532"/>
      <c r="K159" s="532"/>
      <c r="L159" s="532"/>
      <c r="M159" s="532"/>
      <c r="N159" s="532"/>
      <c r="O159" s="532"/>
      <c r="P159" s="532"/>
      <c r="Q159" s="532"/>
      <c r="R159" s="532"/>
      <c r="S159" s="532"/>
      <c r="T159" s="561" t="s">
        <v>127</v>
      </c>
      <c r="U159" s="451"/>
      <c r="V159" s="405"/>
    </row>
    <row r="160" spans="1:23" x14ac:dyDescent="0.3">
      <c r="A160" s="418"/>
      <c r="B160" s="532" t="s">
        <v>54</v>
      </c>
      <c r="C160" s="532"/>
      <c r="D160" s="532"/>
      <c r="E160" s="532"/>
      <c r="F160" s="532"/>
      <c r="G160" s="532"/>
      <c r="H160" s="532"/>
      <c r="I160" s="532"/>
      <c r="J160" s="532"/>
      <c r="K160" s="532"/>
      <c r="L160" s="532"/>
      <c r="M160" s="532"/>
      <c r="N160" s="532"/>
      <c r="O160" s="532"/>
      <c r="P160" s="532"/>
      <c r="Q160" s="532"/>
      <c r="R160" s="532"/>
      <c r="S160" s="532"/>
      <c r="T160" s="561" t="s">
        <v>127</v>
      </c>
      <c r="U160" s="451"/>
      <c r="V160" s="405"/>
    </row>
    <row r="161" spans="1:22" x14ac:dyDescent="0.3">
      <c r="A161" s="407"/>
      <c r="B161" s="444"/>
      <c r="C161" s="444"/>
      <c r="D161" s="444"/>
      <c r="E161" s="444"/>
      <c r="F161" s="444"/>
      <c r="G161" s="444"/>
      <c r="H161" s="444"/>
      <c r="I161" s="444"/>
      <c r="J161" s="444"/>
      <c r="K161" s="444"/>
      <c r="L161" s="444"/>
      <c r="M161" s="444"/>
      <c r="N161" s="444"/>
      <c r="O161" s="444"/>
      <c r="P161" s="444"/>
      <c r="Q161" s="444"/>
      <c r="R161" s="444"/>
      <c r="S161" s="444"/>
      <c r="T161" s="459"/>
      <c r="U161" s="444"/>
      <c r="V161" s="405"/>
    </row>
    <row r="162" spans="1:22" x14ac:dyDescent="0.3">
      <c r="A162" s="407"/>
      <c r="B162" s="523" t="s">
        <v>55</v>
      </c>
      <c r="C162" s="409"/>
      <c r="D162" s="409"/>
      <c r="E162" s="409"/>
      <c r="F162" s="409"/>
      <c r="G162" s="409"/>
      <c r="H162" s="409"/>
      <c r="I162" s="409"/>
      <c r="J162" s="409"/>
      <c r="K162" s="409"/>
      <c r="L162" s="409"/>
      <c r="M162" s="409"/>
      <c r="N162" s="409"/>
      <c r="O162" s="409"/>
      <c r="P162" s="409"/>
      <c r="Q162" s="409"/>
      <c r="R162" s="409"/>
      <c r="S162" s="409"/>
      <c r="T162" s="460"/>
      <c r="U162" s="409"/>
      <c r="V162" s="405"/>
    </row>
    <row r="163" spans="1:22" x14ac:dyDescent="0.3">
      <c r="A163" s="418"/>
      <c r="B163" s="532" t="s">
        <v>56</v>
      </c>
      <c r="C163" s="532"/>
      <c r="D163" s="532"/>
      <c r="E163" s="532"/>
      <c r="F163" s="532"/>
      <c r="G163" s="532"/>
      <c r="H163" s="532"/>
      <c r="I163" s="532"/>
      <c r="J163" s="532"/>
      <c r="K163" s="532"/>
      <c r="L163" s="532"/>
      <c r="M163" s="532"/>
      <c r="N163" s="532"/>
      <c r="O163" s="532"/>
      <c r="P163" s="532"/>
      <c r="Q163" s="532"/>
      <c r="R163" s="532"/>
      <c r="S163" s="532"/>
      <c r="T163" s="535">
        <v>0</v>
      </c>
      <c r="U163" s="451"/>
      <c r="V163" s="405"/>
    </row>
    <row r="164" spans="1:22" x14ac:dyDescent="0.3">
      <c r="A164" s="418"/>
      <c r="B164" s="532" t="s">
        <v>57</v>
      </c>
      <c r="C164" s="532"/>
      <c r="D164" s="532"/>
      <c r="E164" s="532"/>
      <c r="F164" s="532"/>
      <c r="G164" s="532"/>
      <c r="H164" s="532"/>
      <c r="I164" s="532"/>
      <c r="J164" s="532"/>
      <c r="K164" s="532"/>
      <c r="L164" s="532"/>
      <c r="M164" s="532"/>
      <c r="N164" s="532"/>
      <c r="O164" s="532"/>
      <c r="P164" s="532"/>
      <c r="Q164" s="532"/>
      <c r="R164" s="532"/>
      <c r="S164" s="532"/>
      <c r="T164" s="535">
        <f>-T113</f>
        <v>-34</v>
      </c>
      <c r="U164" s="451"/>
      <c r="V164" s="405"/>
    </row>
    <row r="165" spans="1:22" x14ac:dyDescent="0.3">
      <c r="A165" s="418"/>
      <c r="B165" s="532" t="s">
        <v>58</v>
      </c>
      <c r="C165" s="532"/>
      <c r="D165" s="532"/>
      <c r="E165" s="532"/>
      <c r="F165" s="532"/>
      <c r="G165" s="532"/>
      <c r="H165" s="532"/>
      <c r="I165" s="532"/>
      <c r="J165" s="532"/>
      <c r="K165" s="532"/>
      <c r="L165" s="532"/>
      <c r="M165" s="532"/>
      <c r="N165" s="532"/>
      <c r="O165" s="532"/>
      <c r="P165" s="532"/>
      <c r="Q165" s="532"/>
      <c r="R165" s="532"/>
      <c r="S165" s="532"/>
      <c r="T165" s="535">
        <f>T164+T163</f>
        <v>-34</v>
      </c>
      <c r="U165" s="451"/>
      <c r="V165" s="405"/>
    </row>
    <row r="166" spans="1:22" x14ac:dyDescent="0.3">
      <c r="A166" s="418"/>
      <c r="B166" s="568" t="s">
        <v>309</v>
      </c>
      <c r="C166" s="532"/>
      <c r="D166" s="532"/>
      <c r="E166" s="532"/>
      <c r="F166" s="532"/>
      <c r="G166" s="532"/>
      <c r="H166" s="532"/>
      <c r="I166" s="532"/>
      <c r="J166" s="532"/>
      <c r="K166" s="532"/>
      <c r="L166" s="532"/>
      <c r="M166" s="532"/>
      <c r="N166" s="532"/>
      <c r="O166" s="532"/>
      <c r="P166" s="532"/>
      <c r="Q166" s="532"/>
      <c r="R166" s="532"/>
      <c r="S166" s="532"/>
      <c r="T166" s="535">
        <f>T113</f>
        <v>34</v>
      </c>
      <c r="U166" s="451"/>
      <c r="V166" s="405"/>
    </row>
    <row r="167" spans="1:22" x14ac:dyDescent="0.3">
      <c r="A167" s="418"/>
      <c r="B167" s="532" t="s">
        <v>59</v>
      </c>
      <c r="C167" s="532"/>
      <c r="D167" s="532"/>
      <c r="E167" s="532"/>
      <c r="F167" s="532"/>
      <c r="G167" s="532"/>
      <c r="H167" s="532"/>
      <c r="I167" s="532"/>
      <c r="J167" s="532"/>
      <c r="K167" s="532"/>
      <c r="L167" s="532"/>
      <c r="M167" s="532"/>
      <c r="N167" s="532"/>
      <c r="O167" s="532"/>
      <c r="P167" s="532"/>
      <c r="Q167" s="532"/>
      <c r="R167" s="532"/>
      <c r="S167" s="532"/>
      <c r="T167" s="535">
        <f>T165+T166</f>
        <v>0</v>
      </c>
      <c r="U167" s="451"/>
      <c r="V167" s="405"/>
    </row>
    <row r="168" spans="1:22" x14ac:dyDescent="0.3">
      <c r="A168" s="418"/>
      <c r="B168" s="532" t="s">
        <v>278</v>
      </c>
      <c r="C168" s="532"/>
      <c r="D168" s="532"/>
      <c r="E168" s="532"/>
      <c r="F168" s="532"/>
      <c r="G168" s="532"/>
      <c r="H168" s="532"/>
      <c r="I168" s="532"/>
      <c r="J168" s="532"/>
      <c r="K168" s="532"/>
      <c r="L168" s="532"/>
      <c r="M168" s="532"/>
      <c r="N168" s="532"/>
      <c r="O168" s="532"/>
      <c r="P168" s="532"/>
      <c r="Q168" s="532"/>
      <c r="R168" s="532"/>
      <c r="S168" s="532"/>
      <c r="T168" s="535">
        <f>-T96</f>
        <v>8</v>
      </c>
      <c r="U168" s="451"/>
      <c r="V168" s="405"/>
    </row>
    <row r="169" spans="1:22" ht="16.2" thickBot="1" x14ac:dyDescent="0.35">
      <c r="A169" s="407"/>
      <c r="B169" s="431"/>
      <c r="C169" s="431"/>
      <c r="D169" s="431"/>
      <c r="E169" s="431"/>
      <c r="F169" s="431"/>
      <c r="G169" s="431"/>
      <c r="H169" s="431"/>
      <c r="I169" s="431"/>
      <c r="J169" s="431"/>
      <c r="K169" s="431"/>
      <c r="L169" s="431"/>
      <c r="M169" s="431"/>
      <c r="N169" s="431"/>
      <c r="O169" s="431"/>
      <c r="P169" s="431"/>
      <c r="Q169" s="431"/>
      <c r="R169" s="431"/>
      <c r="S169" s="431"/>
      <c r="T169" s="461"/>
      <c r="U169" s="444"/>
      <c r="V169" s="405"/>
    </row>
    <row r="170" spans="1:22" x14ac:dyDescent="0.3">
      <c r="A170" s="403"/>
      <c r="B170" s="404"/>
      <c r="C170" s="404"/>
      <c r="D170" s="404"/>
      <c r="E170" s="404"/>
      <c r="F170" s="404"/>
      <c r="G170" s="404"/>
      <c r="H170" s="404"/>
      <c r="I170" s="404"/>
      <c r="J170" s="404"/>
      <c r="K170" s="404"/>
      <c r="L170" s="404"/>
      <c r="M170" s="404"/>
      <c r="N170" s="404"/>
      <c r="O170" s="404"/>
      <c r="P170" s="404"/>
      <c r="Q170" s="404"/>
      <c r="R170" s="404"/>
      <c r="S170" s="404"/>
      <c r="T170" s="462"/>
      <c r="U170" s="404"/>
      <c r="V170" s="405"/>
    </row>
    <row r="171" spans="1:22" x14ac:dyDescent="0.3">
      <c r="A171" s="407"/>
      <c r="B171" s="523" t="s">
        <v>60</v>
      </c>
      <c r="C171" s="409"/>
      <c r="D171" s="409"/>
      <c r="E171" s="409"/>
      <c r="F171" s="409"/>
      <c r="G171" s="409"/>
      <c r="H171" s="409"/>
      <c r="I171" s="409"/>
      <c r="J171" s="409"/>
      <c r="K171" s="409"/>
      <c r="L171" s="409"/>
      <c r="M171" s="409"/>
      <c r="N171" s="409"/>
      <c r="O171" s="409"/>
      <c r="P171" s="409"/>
      <c r="Q171" s="409"/>
      <c r="R171" s="409"/>
      <c r="S171" s="409"/>
      <c r="T171" s="441"/>
      <c r="U171" s="409"/>
      <c r="V171" s="405"/>
    </row>
    <row r="172" spans="1:22" x14ac:dyDescent="0.3">
      <c r="A172" s="407"/>
      <c r="B172" s="458"/>
      <c r="C172" s="409"/>
      <c r="D172" s="409"/>
      <c r="E172" s="409"/>
      <c r="F172" s="409"/>
      <c r="G172" s="409"/>
      <c r="H172" s="409"/>
      <c r="I172" s="409"/>
      <c r="J172" s="409"/>
      <c r="K172" s="409"/>
      <c r="L172" s="409"/>
      <c r="M172" s="409"/>
      <c r="N172" s="409"/>
      <c r="O172" s="409"/>
      <c r="P172" s="409"/>
      <c r="Q172" s="409"/>
      <c r="R172" s="409"/>
      <c r="S172" s="409"/>
      <c r="T172" s="441"/>
      <c r="U172" s="409"/>
      <c r="V172" s="405"/>
    </row>
    <row r="173" spans="1:22" x14ac:dyDescent="0.3">
      <c r="A173" s="418"/>
      <c r="B173" s="532" t="s">
        <v>61</v>
      </c>
      <c r="C173" s="532"/>
      <c r="D173" s="532"/>
      <c r="E173" s="532"/>
      <c r="F173" s="532"/>
      <c r="G173" s="532"/>
      <c r="H173" s="532"/>
      <c r="I173" s="532"/>
      <c r="J173" s="532"/>
      <c r="K173" s="532"/>
      <c r="L173" s="532"/>
      <c r="M173" s="532"/>
      <c r="N173" s="532"/>
      <c r="O173" s="532"/>
      <c r="P173" s="532"/>
      <c r="Q173" s="532"/>
      <c r="R173" s="532"/>
      <c r="S173" s="532"/>
      <c r="T173" s="535">
        <f>T68</f>
        <v>228544</v>
      </c>
      <c r="U173" s="451"/>
      <c r="V173" s="405"/>
    </row>
    <row r="174" spans="1:22" x14ac:dyDescent="0.3">
      <c r="A174" s="418"/>
      <c r="B174" s="532" t="s">
        <v>62</v>
      </c>
      <c r="C174" s="532"/>
      <c r="D174" s="532"/>
      <c r="E174" s="532"/>
      <c r="F174" s="532"/>
      <c r="G174" s="532"/>
      <c r="H174" s="532"/>
      <c r="I174" s="532"/>
      <c r="J174" s="532"/>
      <c r="K174" s="532"/>
      <c r="L174" s="532"/>
      <c r="M174" s="532"/>
      <c r="N174" s="532"/>
      <c r="O174" s="532"/>
      <c r="P174" s="532"/>
      <c r="Q174" s="532"/>
      <c r="R174" s="532"/>
      <c r="S174" s="532"/>
      <c r="T174" s="535">
        <f>T81</f>
        <v>228544</v>
      </c>
      <c r="U174" s="451"/>
      <c r="V174" s="405"/>
    </row>
    <row r="175" spans="1:22" ht="16.2" thickBot="1" x14ac:dyDescent="0.35">
      <c r="A175" s="407"/>
      <c r="B175" s="444"/>
      <c r="C175" s="444"/>
      <c r="D175" s="444"/>
      <c r="E175" s="444"/>
      <c r="F175" s="444"/>
      <c r="G175" s="444"/>
      <c r="H175" s="444"/>
      <c r="I175" s="444"/>
      <c r="J175" s="444"/>
      <c r="K175" s="444"/>
      <c r="L175" s="444"/>
      <c r="M175" s="444"/>
      <c r="N175" s="444"/>
      <c r="O175" s="444"/>
      <c r="P175" s="444"/>
      <c r="Q175" s="444"/>
      <c r="R175" s="444"/>
      <c r="S175" s="444"/>
      <c r="T175" s="459"/>
      <c r="U175" s="444"/>
      <c r="V175" s="405"/>
    </row>
    <row r="176" spans="1:22" x14ac:dyDescent="0.3">
      <c r="A176" s="403"/>
      <c r="B176" s="404"/>
      <c r="C176" s="404"/>
      <c r="D176" s="404"/>
      <c r="E176" s="404"/>
      <c r="F176" s="404"/>
      <c r="G176" s="404"/>
      <c r="H176" s="404"/>
      <c r="I176" s="404"/>
      <c r="J176" s="404"/>
      <c r="K176" s="404"/>
      <c r="L176" s="404"/>
      <c r="M176" s="404"/>
      <c r="N176" s="404"/>
      <c r="O176" s="404"/>
      <c r="P176" s="404"/>
      <c r="Q176" s="404"/>
      <c r="R176" s="404"/>
      <c r="S176" s="404"/>
      <c r="T176" s="462"/>
      <c r="U176" s="404"/>
      <c r="V176" s="405"/>
    </row>
    <row r="177" spans="1:22" s="529" customFormat="1" x14ac:dyDescent="0.3">
      <c r="A177" s="524"/>
      <c r="B177" s="523" t="s">
        <v>63</v>
      </c>
      <c r="C177" s="525"/>
      <c r="D177" s="525"/>
      <c r="E177" s="525"/>
      <c r="F177" s="525"/>
      <c r="G177" s="525"/>
      <c r="H177" s="526"/>
      <c r="I177" s="526"/>
      <c r="J177" s="526"/>
      <c r="K177" s="526"/>
      <c r="L177" s="526"/>
      <c r="M177" s="526"/>
      <c r="N177" s="526"/>
      <c r="O177" s="526"/>
      <c r="P177" s="526"/>
      <c r="Q177" s="526" t="s">
        <v>107</v>
      </c>
      <c r="R177" s="526" t="s">
        <v>234</v>
      </c>
      <c r="S177" s="411"/>
      <c r="T177" s="527" t="s">
        <v>123</v>
      </c>
      <c r="U177" s="411"/>
      <c r="V177" s="528"/>
    </row>
    <row r="178" spans="1:22" x14ac:dyDescent="0.3">
      <c r="A178" s="418"/>
      <c r="B178" s="532" t="s">
        <v>64</v>
      </c>
      <c r="C178" s="532"/>
      <c r="D178" s="532"/>
      <c r="E178" s="532"/>
      <c r="F178" s="532"/>
      <c r="G178" s="532"/>
      <c r="H178" s="532"/>
      <c r="I178" s="532"/>
      <c r="J178" s="532"/>
      <c r="K178" s="532"/>
      <c r="L178" s="532"/>
      <c r="M178" s="532"/>
      <c r="N178" s="532"/>
      <c r="O178" s="532"/>
      <c r="P178" s="532"/>
      <c r="Q178" s="535">
        <v>112000</v>
      </c>
      <c r="R178" s="550"/>
      <c r="S178" s="532"/>
      <c r="T178" s="535"/>
      <c r="U178" s="420"/>
      <c r="V178" s="405"/>
    </row>
    <row r="179" spans="1:22" x14ac:dyDescent="0.3">
      <c r="A179" s="418"/>
      <c r="B179" s="532" t="s">
        <v>65</v>
      </c>
      <c r="C179" s="532"/>
      <c r="D179" s="532"/>
      <c r="E179" s="532"/>
      <c r="F179" s="532"/>
      <c r="G179" s="532"/>
      <c r="H179" s="532"/>
      <c r="I179" s="532"/>
      <c r="J179" s="532"/>
      <c r="K179" s="532"/>
      <c r="L179" s="532"/>
      <c r="M179" s="532"/>
      <c r="N179" s="532"/>
      <c r="O179" s="532"/>
      <c r="P179" s="532"/>
      <c r="Q179" s="535">
        <f>+'Oct 17'!Q181</f>
        <v>49294</v>
      </c>
      <c r="R179" s="535">
        <f>+'Oct 17'!R181</f>
        <v>2435</v>
      </c>
      <c r="S179" s="532"/>
      <c r="T179" s="535">
        <f>Q179+R179</f>
        <v>51729</v>
      </c>
      <c r="U179" s="420"/>
      <c r="V179" s="405"/>
    </row>
    <row r="180" spans="1:22" x14ac:dyDescent="0.3">
      <c r="A180" s="418"/>
      <c r="B180" s="532" t="s">
        <v>66</v>
      </c>
      <c r="C180" s="532"/>
      <c r="D180" s="532"/>
      <c r="E180" s="532"/>
      <c r="F180" s="532"/>
      <c r="G180" s="532"/>
      <c r="H180" s="532"/>
      <c r="I180" s="532"/>
      <c r="J180" s="532"/>
      <c r="K180" s="532"/>
      <c r="L180" s="532"/>
      <c r="M180" s="532"/>
      <c r="N180" s="532"/>
      <c r="O180" s="532"/>
      <c r="P180" s="532"/>
      <c r="Q180" s="531">
        <v>191</v>
      </c>
      <c r="R180" s="531">
        <v>0</v>
      </c>
      <c r="S180" s="532"/>
      <c r="T180" s="535">
        <f>Q180+R180</f>
        <v>191</v>
      </c>
      <c r="U180" s="420"/>
      <c r="V180" s="405"/>
    </row>
    <row r="181" spans="1:22" x14ac:dyDescent="0.3">
      <c r="A181" s="418"/>
      <c r="B181" s="532" t="s">
        <v>67</v>
      </c>
      <c r="C181" s="532"/>
      <c r="D181" s="532"/>
      <c r="E181" s="532"/>
      <c r="F181" s="532"/>
      <c r="G181" s="532"/>
      <c r="H181" s="532"/>
      <c r="I181" s="532"/>
      <c r="J181" s="532"/>
      <c r="K181" s="532"/>
      <c r="L181" s="532"/>
      <c r="M181" s="532"/>
      <c r="N181" s="532"/>
      <c r="O181" s="532"/>
      <c r="P181" s="532"/>
      <c r="Q181" s="535">
        <f>Q179+Q180</f>
        <v>49485</v>
      </c>
      <c r="R181" s="535">
        <f>R180+R179</f>
        <v>2435</v>
      </c>
      <c r="S181" s="532"/>
      <c r="T181" s="535">
        <f>Q181+R181</f>
        <v>51920</v>
      </c>
      <c r="U181" s="420"/>
      <c r="V181" s="405"/>
    </row>
    <row r="182" spans="1:22" x14ac:dyDescent="0.3">
      <c r="A182" s="418"/>
      <c r="B182" s="532" t="s">
        <v>68</v>
      </c>
      <c r="C182" s="532"/>
      <c r="D182" s="532"/>
      <c r="E182" s="532"/>
      <c r="F182" s="532"/>
      <c r="G182" s="532"/>
      <c r="H182" s="532"/>
      <c r="I182" s="532"/>
      <c r="J182" s="532"/>
      <c r="K182" s="532"/>
      <c r="L182" s="532"/>
      <c r="M182" s="532"/>
      <c r="N182" s="532"/>
      <c r="O182" s="532"/>
      <c r="P182" s="532"/>
      <c r="Q182" s="535">
        <f>Q178-Q181-R181</f>
        <v>60080</v>
      </c>
      <c r="R182" s="550"/>
      <c r="S182" s="532"/>
      <c r="T182" s="535"/>
      <c r="U182" s="420"/>
      <c r="V182" s="405"/>
    </row>
    <row r="183" spans="1:22" ht="16.2" thickBot="1" x14ac:dyDescent="0.35">
      <c r="A183" s="407"/>
      <c r="B183" s="444"/>
      <c r="C183" s="444"/>
      <c r="D183" s="444"/>
      <c r="E183" s="444"/>
      <c r="F183" s="444"/>
      <c r="G183" s="444"/>
      <c r="H183" s="444"/>
      <c r="I183" s="444"/>
      <c r="J183" s="444"/>
      <c r="K183" s="444"/>
      <c r="L183" s="444"/>
      <c r="M183" s="444"/>
      <c r="N183" s="444"/>
      <c r="O183" s="444"/>
      <c r="P183" s="444"/>
      <c r="Q183" s="444"/>
      <c r="R183" s="444"/>
      <c r="S183" s="444"/>
      <c r="T183" s="459"/>
      <c r="U183" s="444"/>
      <c r="V183" s="405"/>
    </row>
    <row r="184" spans="1:22" x14ac:dyDescent="0.3">
      <c r="A184" s="403"/>
      <c r="B184" s="404"/>
      <c r="C184" s="404"/>
      <c r="D184" s="404"/>
      <c r="E184" s="404"/>
      <c r="F184" s="404"/>
      <c r="G184" s="404"/>
      <c r="H184" s="404"/>
      <c r="I184" s="404"/>
      <c r="J184" s="404"/>
      <c r="K184" s="404"/>
      <c r="L184" s="404"/>
      <c r="M184" s="404"/>
      <c r="N184" s="404"/>
      <c r="O184" s="404"/>
      <c r="P184" s="404"/>
      <c r="Q184" s="404"/>
      <c r="R184" s="404"/>
      <c r="S184" s="404"/>
      <c r="T184" s="462"/>
      <c r="U184" s="404"/>
      <c r="V184" s="405"/>
    </row>
    <row r="185" spans="1:22" x14ac:dyDescent="0.3">
      <c r="A185" s="407"/>
      <c r="B185" s="523" t="s">
        <v>69</v>
      </c>
      <c r="C185" s="409"/>
      <c r="D185" s="409"/>
      <c r="E185" s="409"/>
      <c r="F185" s="409"/>
      <c r="G185" s="409"/>
      <c r="H185" s="409"/>
      <c r="I185" s="409"/>
      <c r="J185" s="409"/>
      <c r="K185" s="409"/>
      <c r="L185" s="409"/>
      <c r="M185" s="409"/>
      <c r="N185" s="409"/>
      <c r="O185" s="409"/>
      <c r="P185" s="409"/>
      <c r="Q185" s="409"/>
      <c r="R185" s="409"/>
      <c r="S185" s="409"/>
      <c r="T185" s="463"/>
      <c r="U185" s="409"/>
      <c r="V185" s="405"/>
    </row>
    <row r="186" spans="1:22" x14ac:dyDescent="0.3">
      <c r="A186" s="418"/>
      <c r="B186" s="532" t="s">
        <v>70</v>
      </c>
      <c r="C186" s="532"/>
      <c r="D186" s="532"/>
      <c r="E186" s="532"/>
      <c r="F186" s="532"/>
      <c r="G186" s="532"/>
      <c r="H186" s="532"/>
      <c r="I186" s="532"/>
      <c r="J186" s="532"/>
      <c r="K186" s="532"/>
      <c r="L186" s="532"/>
      <c r="M186" s="532"/>
      <c r="N186" s="532"/>
      <c r="O186" s="532"/>
      <c r="P186" s="532"/>
      <c r="Q186" s="532"/>
      <c r="R186" s="532"/>
      <c r="S186" s="532"/>
      <c r="T186" s="561">
        <f>(T97+T99+T100+T101+T102+T103)/-(T104+T105+T106)</f>
        <v>3.2982885085574574</v>
      </c>
      <c r="U186" s="562" t="s">
        <v>124</v>
      </c>
      <c r="V186" s="405"/>
    </row>
    <row r="187" spans="1:22" x14ac:dyDescent="0.3">
      <c r="A187" s="418"/>
      <c r="B187" s="532" t="s">
        <v>71</v>
      </c>
      <c r="C187" s="532"/>
      <c r="D187" s="532"/>
      <c r="E187" s="532"/>
      <c r="F187" s="532"/>
      <c r="G187" s="532"/>
      <c r="H187" s="532"/>
      <c r="I187" s="532"/>
      <c r="J187" s="532"/>
      <c r="K187" s="532"/>
      <c r="L187" s="532"/>
      <c r="M187" s="532"/>
      <c r="N187" s="532"/>
      <c r="O187" s="532"/>
      <c r="P187" s="532"/>
      <c r="Q187" s="532"/>
      <c r="R187" s="532"/>
      <c r="S187" s="532"/>
      <c r="T187" s="563">
        <v>1.71</v>
      </c>
      <c r="U187" s="562" t="s">
        <v>124</v>
      </c>
      <c r="V187" s="405"/>
    </row>
    <row r="188" spans="1:22" x14ac:dyDescent="0.3">
      <c r="A188" s="418"/>
      <c r="B188" s="532" t="s">
        <v>72</v>
      </c>
      <c r="C188" s="532"/>
      <c r="D188" s="532"/>
      <c r="E188" s="532"/>
      <c r="F188" s="532"/>
      <c r="G188" s="532"/>
      <c r="H188" s="532"/>
      <c r="I188" s="532"/>
      <c r="J188" s="532"/>
      <c r="K188" s="532"/>
      <c r="L188" s="532"/>
      <c r="M188" s="532"/>
      <c r="N188" s="532"/>
      <c r="O188" s="532"/>
      <c r="P188" s="532"/>
      <c r="Q188" s="532"/>
      <c r="R188" s="532"/>
      <c r="S188" s="532"/>
      <c r="T188" s="561">
        <f>(T97+T99+T100+T101+T102+T103+T104+T105+T106)/-(T107+T108)</f>
        <v>18.076923076923077</v>
      </c>
      <c r="U188" s="562" t="s">
        <v>124</v>
      </c>
      <c r="V188" s="405"/>
    </row>
    <row r="189" spans="1:22" x14ac:dyDescent="0.3">
      <c r="A189" s="418"/>
      <c r="B189" s="532" t="s">
        <v>73</v>
      </c>
      <c r="C189" s="532"/>
      <c r="D189" s="532"/>
      <c r="E189" s="532"/>
      <c r="F189" s="532"/>
      <c r="G189" s="532"/>
      <c r="H189" s="532"/>
      <c r="I189" s="532"/>
      <c r="J189" s="532"/>
      <c r="K189" s="532"/>
      <c r="L189" s="532"/>
      <c r="M189" s="532"/>
      <c r="N189" s="532"/>
      <c r="O189" s="532"/>
      <c r="P189" s="532"/>
      <c r="Q189" s="532"/>
      <c r="R189" s="532"/>
      <c r="S189" s="532"/>
      <c r="T189" s="564">
        <v>9.77</v>
      </c>
      <c r="U189" s="562" t="s">
        <v>124</v>
      </c>
      <c r="V189" s="405"/>
    </row>
    <row r="190" spans="1:22" x14ac:dyDescent="0.3">
      <c r="A190" s="418"/>
      <c r="B190" s="532" t="s">
        <v>243</v>
      </c>
      <c r="C190" s="532"/>
      <c r="D190" s="532"/>
      <c r="E190" s="532"/>
      <c r="F190" s="532"/>
      <c r="G190" s="532"/>
      <c r="H190" s="532"/>
      <c r="I190" s="532"/>
      <c r="J190" s="532"/>
      <c r="K190" s="532"/>
      <c r="L190" s="532"/>
      <c r="M190" s="532"/>
      <c r="N190" s="532"/>
      <c r="O190" s="532"/>
      <c r="P190" s="532"/>
      <c r="Q190" s="532"/>
      <c r="R190" s="532"/>
      <c r="S190" s="532"/>
      <c r="T190" s="561">
        <f>(T97+T99+T100+T101+T102+T103+T104+T105+T106+T107+T108)/-(T109+T110)</f>
        <v>6.6766917293233083</v>
      </c>
      <c r="U190" s="562" t="s">
        <v>124</v>
      </c>
      <c r="V190" s="405"/>
    </row>
    <row r="191" spans="1:22" x14ac:dyDescent="0.3">
      <c r="A191" s="418"/>
      <c r="B191" s="532" t="s">
        <v>244</v>
      </c>
      <c r="C191" s="532"/>
      <c r="D191" s="532"/>
      <c r="E191" s="532"/>
      <c r="F191" s="532"/>
      <c r="G191" s="532"/>
      <c r="H191" s="532"/>
      <c r="I191" s="532"/>
      <c r="J191" s="532"/>
      <c r="K191" s="532"/>
      <c r="L191" s="532"/>
      <c r="M191" s="532"/>
      <c r="N191" s="532"/>
      <c r="O191" s="532"/>
      <c r="P191" s="532"/>
      <c r="Q191" s="532"/>
      <c r="R191" s="532"/>
      <c r="S191" s="532"/>
      <c r="T191" s="564">
        <v>4.32</v>
      </c>
      <c r="U191" s="562" t="s">
        <v>124</v>
      </c>
      <c r="V191" s="405"/>
    </row>
    <row r="192" spans="1:22" x14ac:dyDescent="0.3">
      <c r="A192" s="418"/>
      <c r="B192" s="532"/>
      <c r="C192" s="532"/>
      <c r="D192" s="532"/>
      <c r="E192" s="532"/>
      <c r="F192" s="532"/>
      <c r="G192" s="532"/>
      <c r="H192" s="532"/>
      <c r="I192" s="532"/>
      <c r="J192" s="532"/>
      <c r="K192" s="532"/>
      <c r="L192" s="532"/>
      <c r="M192" s="532"/>
      <c r="N192" s="532"/>
      <c r="O192" s="532"/>
      <c r="P192" s="532"/>
      <c r="Q192" s="532"/>
      <c r="R192" s="532"/>
      <c r="S192" s="532"/>
      <c r="T192" s="532"/>
      <c r="U192" s="562"/>
      <c r="V192" s="405"/>
    </row>
    <row r="193" spans="1:22" x14ac:dyDescent="0.3">
      <c r="A193" s="407"/>
      <c r="B193" s="539"/>
      <c r="C193" s="539"/>
      <c r="D193" s="539"/>
      <c r="E193" s="539"/>
      <c r="F193" s="539"/>
      <c r="G193" s="539"/>
      <c r="H193" s="539"/>
      <c r="I193" s="539"/>
      <c r="J193" s="539"/>
      <c r="K193" s="539"/>
      <c r="L193" s="539"/>
      <c r="M193" s="539"/>
      <c r="N193" s="539"/>
      <c r="O193" s="539"/>
      <c r="P193" s="539"/>
      <c r="Q193" s="539"/>
      <c r="R193" s="539"/>
      <c r="S193" s="539"/>
      <c r="T193" s="539"/>
      <c r="U193" s="539"/>
      <c r="V193" s="405"/>
    </row>
    <row r="194" spans="1:22" x14ac:dyDescent="0.3">
      <c r="A194" s="407"/>
      <c r="B194" s="542"/>
      <c r="C194" s="542"/>
      <c r="D194" s="542"/>
      <c r="E194" s="542"/>
      <c r="F194" s="542"/>
      <c r="G194" s="542"/>
      <c r="H194" s="542"/>
      <c r="I194" s="542"/>
      <c r="J194" s="542"/>
      <c r="K194" s="542"/>
      <c r="L194" s="542"/>
      <c r="M194" s="542"/>
      <c r="N194" s="542"/>
      <c r="O194" s="542"/>
      <c r="P194" s="542"/>
      <c r="Q194" s="542"/>
      <c r="R194" s="542"/>
      <c r="S194" s="542"/>
      <c r="T194" s="542"/>
      <c r="U194" s="542"/>
      <c r="V194" s="405"/>
    </row>
    <row r="195" spans="1:22" ht="18.600000000000001" thickBot="1" x14ac:dyDescent="0.4">
      <c r="A195" s="464"/>
      <c r="B195" s="565" t="str">
        <f>B134</f>
        <v>PM9 INVESTOR REPORT QUARTER ENDING JANUARY 2018</v>
      </c>
      <c r="C195" s="566"/>
      <c r="D195" s="566"/>
      <c r="E195" s="566"/>
      <c r="F195" s="566"/>
      <c r="G195" s="566"/>
      <c r="H195" s="566"/>
      <c r="I195" s="566"/>
      <c r="J195" s="566"/>
      <c r="K195" s="566"/>
      <c r="L195" s="566"/>
      <c r="M195" s="566"/>
      <c r="N195" s="566"/>
      <c r="O195" s="566"/>
      <c r="P195" s="566"/>
      <c r="Q195" s="566"/>
      <c r="R195" s="566"/>
      <c r="S195" s="566"/>
      <c r="T195" s="566"/>
      <c r="U195" s="567"/>
      <c r="V195" s="405"/>
    </row>
    <row r="196" spans="1:22" x14ac:dyDescent="0.3">
      <c r="A196" s="507"/>
      <c r="B196" s="508" t="s">
        <v>74</v>
      </c>
      <c r="C196" s="511"/>
      <c r="D196" s="511"/>
      <c r="E196" s="511"/>
      <c r="F196" s="511"/>
      <c r="G196" s="512"/>
      <c r="H196" s="512"/>
      <c r="I196" s="512"/>
      <c r="J196" s="512"/>
      <c r="K196" s="512"/>
      <c r="L196" s="512"/>
      <c r="M196" s="512"/>
      <c r="N196" s="512"/>
      <c r="O196" s="512"/>
      <c r="P196" s="512"/>
      <c r="Q196" s="512"/>
      <c r="R196" s="512">
        <v>43131</v>
      </c>
      <c r="S196" s="509"/>
      <c r="T196" s="509"/>
      <c r="U196" s="509"/>
      <c r="V196" s="405"/>
    </row>
    <row r="197" spans="1:22" x14ac:dyDescent="0.3">
      <c r="A197" s="465"/>
      <c r="B197" s="466"/>
      <c r="C197" s="467"/>
      <c r="D197" s="467"/>
      <c r="E197" s="467"/>
      <c r="F197" s="467"/>
      <c r="G197" s="468"/>
      <c r="H197" s="468"/>
      <c r="I197" s="468"/>
      <c r="J197" s="468"/>
      <c r="K197" s="468"/>
      <c r="L197" s="468"/>
      <c r="M197" s="468"/>
      <c r="N197" s="468"/>
      <c r="O197" s="468"/>
      <c r="P197" s="468"/>
      <c r="Q197" s="468"/>
      <c r="R197" s="468"/>
      <c r="S197" s="409"/>
      <c r="T197" s="409"/>
      <c r="U197" s="409"/>
      <c r="V197" s="405"/>
    </row>
    <row r="198" spans="1:22" x14ac:dyDescent="0.3">
      <c r="A198" s="469"/>
      <c r="B198" s="532" t="s">
        <v>75</v>
      </c>
      <c r="C198" s="556"/>
      <c r="D198" s="556"/>
      <c r="E198" s="556"/>
      <c r="F198" s="556"/>
      <c r="G198" s="557"/>
      <c r="H198" s="557"/>
      <c r="I198" s="557"/>
      <c r="J198" s="557"/>
      <c r="K198" s="557"/>
      <c r="L198" s="557"/>
      <c r="M198" s="557"/>
      <c r="N198" s="557"/>
      <c r="O198" s="557"/>
      <c r="P198" s="557"/>
      <c r="Q198" s="557"/>
      <c r="R198" s="558">
        <v>5.8209999999999998E-2</v>
      </c>
      <c r="S198" s="532"/>
      <c r="T198" s="419"/>
      <c r="U198" s="451"/>
      <c r="V198" s="405"/>
    </row>
    <row r="199" spans="1:22" x14ac:dyDescent="0.3">
      <c r="A199" s="469"/>
      <c r="B199" s="532" t="s">
        <v>164</v>
      </c>
      <c r="C199" s="556"/>
      <c r="D199" s="556"/>
      <c r="E199" s="556"/>
      <c r="F199" s="556"/>
      <c r="G199" s="557"/>
      <c r="H199" s="557"/>
      <c r="I199" s="557"/>
      <c r="J199" s="557"/>
      <c r="K199" s="557"/>
      <c r="L199" s="557"/>
      <c r="M199" s="557"/>
      <c r="N199" s="557"/>
      <c r="O199" s="557"/>
      <c r="P199" s="557"/>
      <c r="Q199" s="557"/>
      <c r="R199" s="558">
        <f>'Oct 05'!R193</f>
        <v>4.8438496428571419E-2</v>
      </c>
      <c r="S199" s="532"/>
      <c r="T199" s="419"/>
      <c r="U199" s="451"/>
      <c r="V199" s="405"/>
    </row>
    <row r="200" spans="1:22" x14ac:dyDescent="0.3">
      <c r="A200" s="469"/>
      <c r="B200" s="532" t="s">
        <v>76</v>
      </c>
      <c r="C200" s="556"/>
      <c r="D200" s="556"/>
      <c r="E200" s="556"/>
      <c r="F200" s="556"/>
      <c r="G200" s="557"/>
      <c r="H200" s="557"/>
      <c r="I200" s="557"/>
      <c r="J200" s="557"/>
      <c r="K200" s="557"/>
      <c r="L200" s="557"/>
      <c r="M200" s="557"/>
      <c r="N200" s="557"/>
      <c r="O200" s="557"/>
      <c r="P200" s="557"/>
      <c r="Q200" s="557"/>
      <c r="R200" s="558">
        <f>R198-R199</f>
        <v>9.7715035714285789E-3</v>
      </c>
      <c r="S200" s="532"/>
      <c r="T200" s="419"/>
      <c r="U200" s="451"/>
      <c r="V200" s="405"/>
    </row>
    <row r="201" spans="1:22" x14ac:dyDescent="0.3">
      <c r="A201" s="469"/>
      <c r="B201" s="532" t="s">
        <v>77</v>
      </c>
      <c r="C201" s="556"/>
      <c r="D201" s="556"/>
      <c r="E201" s="556"/>
      <c r="F201" s="556"/>
      <c r="G201" s="557"/>
      <c r="H201" s="557"/>
      <c r="I201" s="557"/>
      <c r="J201" s="557"/>
      <c r="K201" s="557"/>
      <c r="L201" s="557"/>
      <c r="M201" s="557"/>
      <c r="N201" s="557"/>
      <c r="O201" s="557"/>
      <c r="P201" s="557"/>
      <c r="Q201" s="557"/>
      <c r="R201" s="558">
        <v>2.3439999999999999E-2</v>
      </c>
      <c r="S201" s="532"/>
      <c r="T201" s="419"/>
      <c r="U201" s="451"/>
      <c r="V201" s="405"/>
    </row>
    <row r="202" spans="1:22" x14ac:dyDescent="0.3">
      <c r="A202" s="469"/>
      <c r="B202" s="532" t="s">
        <v>257</v>
      </c>
      <c r="C202" s="556"/>
      <c r="D202" s="556"/>
      <c r="E202" s="556"/>
      <c r="F202" s="556"/>
      <c r="G202" s="557"/>
      <c r="H202" s="557"/>
      <c r="I202" s="557"/>
      <c r="J202" s="557"/>
      <c r="K202" s="557"/>
      <c r="L202" s="557"/>
      <c r="M202" s="557"/>
      <c r="N202" s="557"/>
      <c r="O202" s="557"/>
      <c r="P202" s="557"/>
      <c r="Q202" s="557"/>
      <c r="R202" s="558">
        <f>+T41</f>
        <v>1.0201590687202351E-2</v>
      </c>
      <c r="S202" s="532"/>
      <c r="T202" s="419"/>
      <c r="U202" s="451"/>
      <c r="V202" s="405"/>
    </row>
    <row r="203" spans="1:22" x14ac:dyDescent="0.3">
      <c r="A203" s="469"/>
      <c r="B203" s="532" t="s">
        <v>78</v>
      </c>
      <c r="C203" s="556"/>
      <c r="D203" s="556"/>
      <c r="E203" s="556"/>
      <c r="F203" s="556"/>
      <c r="G203" s="557"/>
      <c r="H203" s="557"/>
      <c r="I203" s="557"/>
      <c r="J203" s="557"/>
      <c r="K203" s="557"/>
      <c r="L203" s="557"/>
      <c r="M203" s="557"/>
      <c r="N203" s="557"/>
      <c r="O203" s="557"/>
      <c r="P203" s="557"/>
      <c r="Q203" s="557"/>
      <c r="R203" s="558">
        <f>R201-R202</f>
        <v>1.3238409312797648E-2</v>
      </c>
      <c r="S203" s="532"/>
      <c r="T203" s="419"/>
      <c r="U203" s="451"/>
      <c r="V203" s="405"/>
    </row>
    <row r="204" spans="1:22" x14ac:dyDescent="0.3">
      <c r="A204" s="469"/>
      <c r="B204" s="532" t="s">
        <v>268</v>
      </c>
      <c r="C204" s="556"/>
      <c r="D204" s="556"/>
      <c r="E204" s="556"/>
      <c r="F204" s="556"/>
      <c r="G204" s="557"/>
      <c r="H204" s="557"/>
      <c r="I204" s="557"/>
      <c r="J204" s="557"/>
      <c r="K204" s="557"/>
      <c r="L204" s="557"/>
      <c r="M204" s="557"/>
      <c r="N204" s="557"/>
      <c r="O204" s="557"/>
      <c r="P204" s="557"/>
      <c r="Q204" s="557"/>
      <c r="R204" s="558">
        <f>+T97/L68</f>
        <v>6.4095078691630012E-3</v>
      </c>
      <c r="S204" s="532"/>
      <c r="T204" s="419"/>
      <c r="U204" s="451"/>
      <c r="V204" s="405"/>
    </row>
    <row r="205" spans="1:22" x14ac:dyDescent="0.3">
      <c r="A205" s="469"/>
      <c r="B205" s="532" t="s">
        <v>249</v>
      </c>
      <c r="C205" s="556"/>
      <c r="D205" s="556"/>
      <c r="E205" s="556"/>
      <c r="F205" s="556"/>
      <c r="G205" s="557"/>
      <c r="H205" s="557"/>
      <c r="I205" s="557"/>
      <c r="J205" s="557"/>
      <c r="K205" s="557"/>
      <c r="L205" s="557"/>
      <c r="M205" s="557"/>
      <c r="N205" s="557"/>
      <c r="O205" s="557"/>
      <c r="P205" s="557"/>
      <c r="Q205" s="557"/>
      <c r="R205" s="559">
        <v>51622</v>
      </c>
      <c r="S205" s="532"/>
      <c r="T205" s="419"/>
      <c r="U205" s="451"/>
      <c r="V205" s="405"/>
    </row>
    <row r="206" spans="1:22" x14ac:dyDescent="0.3">
      <c r="A206" s="469"/>
      <c r="B206" s="532" t="s">
        <v>250</v>
      </c>
      <c r="C206" s="556"/>
      <c r="D206" s="556"/>
      <c r="E206" s="556"/>
      <c r="F206" s="556"/>
      <c r="G206" s="557"/>
      <c r="H206" s="557"/>
      <c r="I206" s="557"/>
      <c r="J206" s="557"/>
      <c r="K206" s="557"/>
      <c r="L206" s="557"/>
      <c r="M206" s="557"/>
      <c r="N206" s="557"/>
      <c r="O206" s="557"/>
      <c r="P206" s="557"/>
      <c r="Q206" s="557"/>
      <c r="R206" s="559">
        <v>51622</v>
      </c>
      <c r="S206" s="532"/>
      <c r="T206" s="419"/>
      <c r="U206" s="451"/>
      <c r="V206" s="405"/>
    </row>
    <row r="207" spans="1:22" x14ac:dyDescent="0.3">
      <c r="A207" s="469"/>
      <c r="B207" s="532" t="s">
        <v>251</v>
      </c>
      <c r="C207" s="556"/>
      <c r="D207" s="556"/>
      <c r="E207" s="556"/>
      <c r="F207" s="556"/>
      <c r="G207" s="557"/>
      <c r="H207" s="557"/>
      <c r="I207" s="557"/>
      <c r="J207" s="557"/>
      <c r="K207" s="557"/>
      <c r="L207" s="557"/>
      <c r="M207" s="557"/>
      <c r="N207" s="557"/>
      <c r="O207" s="557"/>
      <c r="P207" s="557"/>
      <c r="Q207" s="557"/>
      <c r="R207" s="559">
        <v>51622</v>
      </c>
      <c r="S207" s="532"/>
      <c r="T207" s="419"/>
      <c r="U207" s="451"/>
      <c r="V207" s="405"/>
    </row>
    <row r="208" spans="1:22" x14ac:dyDescent="0.3">
      <c r="A208" s="469"/>
      <c r="B208" s="532" t="s">
        <v>79</v>
      </c>
      <c r="C208" s="556"/>
      <c r="D208" s="556"/>
      <c r="E208" s="556"/>
      <c r="F208" s="556"/>
      <c r="G208" s="557"/>
      <c r="H208" s="557"/>
      <c r="I208" s="557"/>
      <c r="J208" s="557"/>
      <c r="K208" s="557"/>
      <c r="L208" s="557"/>
      <c r="M208" s="557"/>
      <c r="N208" s="557"/>
      <c r="O208" s="557"/>
      <c r="P208" s="557"/>
      <c r="Q208" s="557"/>
      <c r="R208" s="560">
        <v>20.95</v>
      </c>
      <c r="S208" s="532" t="s">
        <v>119</v>
      </c>
      <c r="T208" s="419"/>
      <c r="U208" s="451"/>
      <c r="V208" s="405"/>
    </row>
    <row r="209" spans="1:22" x14ac:dyDescent="0.3">
      <c r="A209" s="469"/>
      <c r="B209" s="532" t="s">
        <v>80</v>
      </c>
      <c r="C209" s="556"/>
      <c r="D209" s="556"/>
      <c r="E209" s="556"/>
      <c r="F209" s="556"/>
      <c r="G209" s="557"/>
      <c r="H209" s="557"/>
      <c r="I209" s="557"/>
      <c r="J209" s="557"/>
      <c r="K209" s="557"/>
      <c r="L209" s="557"/>
      <c r="M209" s="557"/>
      <c r="N209" s="557"/>
      <c r="O209" s="557"/>
      <c r="P209" s="557"/>
      <c r="Q209" s="557"/>
      <c r="R209" s="560">
        <v>9.64</v>
      </c>
      <c r="S209" s="532" t="s">
        <v>119</v>
      </c>
      <c r="T209" s="419"/>
      <c r="U209" s="451"/>
      <c r="V209" s="405"/>
    </row>
    <row r="210" spans="1:22" x14ac:dyDescent="0.3">
      <c r="A210" s="469"/>
      <c r="B210" s="532" t="s">
        <v>81</v>
      </c>
      <c r="C210" s="556"/>
      <c r="D210" s="556"/>
      <c r="E210" s="556"/>
      <c r="F210" s="556"/>
      <c r="G210" s="557"/>
      <c r="H210" s="557"/>
      <c r="I210" s="557"/>
      <c r="J210" s="557"/>
      <c r="K210" s="557"/>
      <c r="L210" s="557"/>
      <c r="M210" s="557"/>
      <c r="N210" s="557"/>
      <c r="O210" s="557"/>
      <c r="P210" s="557"/>
      <c r="Q210" s="557"/>
      <c r="R210" s="558">
        <f>N65/L65</f>
        <v>1.2395175136991338E-2</v>
      </c>
      <c r="S210" s="532"/>
      <c r="T210" s="419"/>
      <c r="U210" s="451"/>
      <c r="V210" s="405"/>
    </row>
    <row r="211" spans="1:22" x14ac:dyDescent="0.3">
      <c r="A211" s="469"/>
      <c r="B211" s="532" t="s">
        <v>82</v>
      </c>
      <c r="C211" s="556"/>
      <c r="D211" s="556"/>
      <c r="E211" s="556"/>
      <c r="F211" s="556"/>
      <c r="G211" s="557"/>
      <c r="H211" s="557"/>
      <c r="I211" s="557"/>
      <c r="J211" s="557"/>
      <c r="K211" s="557"/>
      <c r="L211" s="557"/>
      <c r="M211" s="557"/>
      <c r="N211" s="557"/>
      <c r="O211" s="557"/>
      <c r="P211" s="557"/>
      <c r="Q211" s="557"/>
      <c r="R211" s="558">
        <v>9.2999999999999999E-2</v>
      </c>
      <c r="S211" s="532"/>
      <c r="T211" s="419"/>
      <c r="U211" s="451"/>
      <c r="V211" s="405"/>
    </row>
    <row r="212" spans="1:22" x14ac:dyDescent="0.3">
      <c r="A212" s="465"/>
      <c r="B212" s="431"/>
      <c r="C212" s="431"/>
      <c r="D212" s="431"/>
      <c r="E212" s="431"/>
      <c r="F212" s="431"/>
      <c r="G212" s="431"/>
      <c r="H212" s="431"/>
      <c r="I212" s="431"/>
      <c r="J212" s="431"/>
      <c r="K212" s="431"/>
      <c r="L212" s="431"/>
      <c r="M212" s="431"/>
      <c r="N212" s="431"/>
      <c r="O212" s="431"/>
      <c r="P212" s="431"/>
      <c r="Q212" s="431"/>
      <c r="R212" s="461"/>
      <c r="S212" s="431"/>
      <c r="T212" s="470"/>
      <c r="U212" s="444"/>
      <c r="V212" s="405"/>
    </row>
    <row r="213" spans="1:22" x14ac:dyDescent="0.3">
      <c r="A213" s="513"/>
      <c r="B213" s="612" t="s">
        <v>83</v>
      </c>
      <c r="C213" s="613"/>
      <c r="D213" s="613"/>
      <c r="E213" s="613"/>
      <c r="F213" s="620"/>
      <c r="G213" s="613"/>
      <c r="H213" s="613"/>
      <c r="I213" s="613"/>
      <c r="J213" s="613"/>
      <c r="K213" s="613"/>
      <c r="L213" s="613"/>
      <c r="M213" s="613"/>
      <c r="N213" s="613"/>
      <c r="O213" s="613"/>
      <c r="P213" s="613"/>
      <c r="Q213" s="613" t="s">
        <v>108</v>
      </c>
      <c r="R213" s="620" t="s">
        <v>115</v>
      </c>
      <c r="S213" s="608"/>
      <c r="T213" s="608"/>
      <c r="U213" s="611"/>
      <c r="V213" s="405"/>
    </row>
    <row r="214" spans="1:22" x14ac:dyDescent="0.3">
      <c r="A214" s="487"/>
      <c r="B214" s="539" t="s">
        <v>84</v>
      </c>
      <c r="C214" s="455"/>
      <c r="D214" s="455"/>
      <c r="E214" s="455"/>
      <c r="F214" s="431"/>
      <c r="G214" s="431"/>
      <c r="H214" s="616"/>
      <c r="I214" s="616"/>
      <c r="J214" s="616"/>
      <c r="K214" s="616"/>
      <c r="L214" s="616"/>
      <c r="M214" s="616"/>
      <c r="N214" s="616"/>
      <c r="O214" s="616"/>
      <c r="P214" s="616"/>
      <c r="Q214" s="617">
        <v>0</v>
      </c>
      <c r="R214" s="618">
        <v>0</v>
      </c>
      <c r="S214" s="431"/>
      <c r="T214" s="470"/>
      <c r="U214" s="619"/>
      <c r="V214" s="405"/>
    </row>
    <row r="215" spans="1:22" x14ac:dyDescent="0.3">
      <c r="A215" s="471"/>
      <c r="B215" s="532" t="s">
        <v>156</v>
      </c>
      <c r="C215" s="443"/>
      <c r="D215" s="443"/>
      <c r="E215" s="443"/>
      <c r="F215" s="419"/>
      <c r="G215" s="419"/>
      <c r="H215" s="422"/>
      <c r="I215" s="422"/>
      <c r="J215" s="422"/>
      <c r="K215" s="422"/>
      <c r="L215" s="422"/>
      <c r="M215" s="422"/>
      <c r="N215" s="422"/>
      <c r="O215" s="422"/>
      <c r="P215" s="422"/>
      <c r="Q215" s="555">
        <f>+P266</f>
        <v>30</v>
      </c>
      <c r="R215" s="553">
        <f>+R266</f>
        <v>3792</v>
      </c>
      <c r="S215" s="419"/>
      <c r="T215" s="472"/>
      <c r="U215" s="473"/>
      <c r="V215" s="405"/>
    </row>
    <row r="216" spans="1:22" x14ac:dyDescent="0.3">
      <c r="A216" s="471"/>
      <c r="B216" s="532" t="s">
        <v>85</v>
      </c>
      <c r="C216" s="443"/>
      <c r="D216" s="443"/>
      <c r="E216" s="443"/>
      <c r="F216" s="419"/>
      <c r="G216" s="419"/>
      <c r="H216" s="422"/>
      <c r="I216" s="422"/>
      <c r="J216" s="422"/>
      <c r="K216" s="422"/>
      <c r="L216" s="422"/>
      <c r="M216" s="422"/>
      <c r="N216" s="422"/>
      <c r="O216" s="422"/>
      <c r="P216" s="422"/>
      <c r="Q216" s="555">
        <f>+P278</f>
        <v>0</v>
      </c>
      <c r="R216" s="553">
        <f>+R278</f>
        <v>0</v>
      </c>
      <c r="S216" s="419"/>
      <c r="T216" s="472"/>
      <c r="U216" s="473"/>
      <c r="V216" s="405"/>
    </row>
    <row r="217" spans="1:22" x14ac:dyDescent="0.3">
      <c r="A217" s="471"/>
      <c r="B217" s="514" t="s">
        <v>86</v>
      </c>
      <c r="C217" s="474"/>
      <c r="D217" s="474"/>
      <c r="E217" s="474"/>
      <c r="F217" s="448"/>
      <c r="G217" s="448"/>
      <c r="H217" s="448"/>
      <c r="I217" s="448"/>
      <c r="J217" s="448"/>
      <c r="K217" s="448"/>
      <c r="L217" s="448"/>
      <c r="M217" s="448"/>
      <c r="N217" s="448"/>
      <c r="O217" s="448"/>
      <c r="P217" s="448"/>
      <c r="Q217" s="532"/>
      <c r="R217" s="553">
        <v>0</v>
      </c>
      <c r="S217" s="448"/>
      <c r="T217" s="475"/>
      <c r="U217" s="473"/>
      <c r="V217" s="405"/>
    </row>
    <row r="218" spans="1:22" x14ac:dyDescent="0.3">
      <c r="A218" s="471"/>
      <c r="B218" s="514" t="s">
        <v>87</v>
      </c>
      <c r="C218" s="474"/>
      <c r="D218" s="474"/>
      <c r="E218" s="474"/>
      <c r="F218" s="448"/>
      <c r="G218" s="448"/>
      <c r="H218" s="448"/>
      <c r="I218" s="448"/>
      <c r="J218" s="448"/>
      <c r="K218" s="448"/>
      <c r="L218" s="448"/>
      <c r="M218" s="448"/>
      <c r="N218" s="448"/>
      <c r="O218" s="448"/>
      <c r="P218" s="448"/>
      <c r="Q218" s="532"/>
      <c r="R218" s="554" t="s">
        <v>116</v>
      </c>
      <c r="S218" s="448"/>
      <c r="T218" s="475"/>
      <c r="U218" s="473"/>
      <c r="V218" s="405"/>
    </row>
    <row r="219" spans="1:22" x14ac:dyDescent="0.3">
      <c r="A219" s="476"/>
      <c r="B219" s="514" t="s">
        <v>88</v>
      </c>
      <c r="C219" s="477"/>
      <c r="D219" s="477"/>
      <c r="E219" s="477"/>
      <c r="F219" s="477"/>
      <c r="G219" s="448"/>
      <c r="H219" s="448"/>
      <c r="I219" s="448"/>
      <c r="J219" s="448"/>
      <c r="K219" s="448"/>
      <c r="L219" s="448"/>
      <c r="M219" s="448"/>
      <c r="N219" s="448"/>
      <c r="O219" s="448"/>
      <c r="P219" s="448"/>
      <c r="Q219" s="448"/>
      <c r="R219" s="478"/>
      <c r="S219" s="448"/>
      <c r="T219" s="475"/>
      <c r="U219" s="479"/>
      <c r="V219" s="405"/>
    </row>
    <row r="220" spans="1:22" x14ac:dyDescent="0.3">
      <c r="A220" s="476"/>
      <c r="B220" s="532" t="s">
        <v>89</v>
      </c>
      <c r="C220" s="532"/>
      <c r="D220" s="532"/>
      <c r="E220" s="532"/>
      <c r="F220" s="532"/>
      <c r="G220" s="532"/>
      <c r="H220" s="532"/>
      <c r="I220" s="532"/>
      <c r="J220" s="532"/>
      <c r="K220" s="532"/>
      <c r="L220" s="532"/>
      <c r="M220" s="532"/>
      <c r="N220" s="532"/>
      <c r="O220" s="532"/>
      <c r="P220" s="532"/>
      <c r="Q220" s="552"/>
      <c r="R220" s="553">
        <f>T164</f>
        <v>-34</v>
      </c>
      <c r="S220" s="419"/>
      <c r="T220" s="475"/>
      <c r="U220" s="479"/>
      <c r="V220" s="405"/>
    </row>
    <row r="221" spans="1:22" x14ac:dyDescent="0.3">
      <c r="A221" s="471"/>
      <c r="B221" s="532" t="s">
        <v>90</v>
      </c>
      <c r="C221" s="531"/>
      <c r="D221" s="531"/>
      <c r="E221" s="531"/>
      <c r="F221" s="531"/>
      <c r="G221" s="532"/>
      <c r="H221" s="532"/>
      <c r="I221" s="532"/>
      <c r="J221" s="532"/>
      <c r="K221" s="532"/>
      <c r="L221" s="532"/>
      <c r="M221" s="532"/>
      <c r="N221" s="532"/>
      <c r="O221" s="532"/>
      <c r="P221" s="532"/>
      <c r="Q221" s="552"/>
      <c r="R221" s="553">
        <f>'Oct 17'!R221+'Jan 18'!R220</f>
        <v>4319</v>
      </c>
      <c r="S221" s="419"/>
      <c r="T221" s="475"/>
      <c r="U221" s="479"/>
      <c r="V221" s="405"/>
    </row>
    <row r="222" spans="1:22" x14ac:dyDescent="0.3">
      <c r="A222" s="476"/>
      <c r="B222" s="514" t="s">
        <v>288</v>
      </c>
      <c r="C222" s="477"/>
      <c r="D222" s="477"/>
      <c r="E222" s="477"/>
      <c r="F222" s="477"/>
      <c r="G222" s="448"/>
      <c r="H222" s="448"/>
      <c r="I222" s="448"/>
      <c r="J222" s="448"/>
      <c r="K222" s="448"/>
      <c r="L222" s="448"/>
      <c r="M222" s="448"/>
      <c r="N222" s="448"/>
      <c r="O222" s="448"/>
      <c r="P222" s="448"/>
      <c r="Q222" s="480"/>
      <c r="R222" s="478"/>
      <c r="S222" s="448"/>
      <c r="T222" s="475"/>
      <c r="U222" s="479"/>
      <c r="V222" s="405"/>
    </row>
    <row r="223" spans="1:22" x14ac:dyDescent="0.3">
      <c r="A223" s="481"/>
      <c r="B223" s="532" t="s">
        <v>286</v>
      </c>
      <c r="C223" s="532"/>
      <c r="D223" s="532"/>
      <c r="E223" s="532"/>
      <c r="F223" s="532"/>
      <c r="G223" s="532"/>
      <c r="H223" s="532"/>
      <c r="I223" s="532"/>
      <c r="J223" s="532"/>
      <c r="K223" s="532"/>
      <c r="L223" s="532"/>
      <c r="M223" s="532"/>
      <c r="N223" s="532"/>
      <c r="O223" s="532"/>
      <c r="P223" s="532"/>
      <c r="Q223" s="552">
        <v>0</v>
      </c>
      <c r="R223" s="553">
        <v>0</v>
      </c>
      <c r="S223" s="419"/>
      <c r="T223" s="472"/>
      <c r="U223" s="479"/>
      <c r="V223" s="405"/>
    </row>
    <row r="224" spans="1:22" x14ac:dyDescent="0.3">
      <c r="A224" s="482"/>
      <c r="B224" s="532" t="s">
        <v>92</v>
      </c>
      <c r="C224" s="550"/>
      <c r="D224" s="550"/>
      <c r="E224" s="550"/>
      <c r="F224" s="551"/>
      <c r="G224" s="532"/>
      <c r="H224" s="532"/>
      <c r="I224" s="532"/>
      <c r="J224" s="532"/>
      <c r="K224" s="532"/>
      <c r="L224" s="532"/>
      <c r="M224" s="532"/>
      <c r="N224" s="532"/>
      <c r="O224" s="532"/>
      <c r="P224" s="532"/>
      <c r="Q224" s="552"/>
      <c r="R224" s="554">
        <v>0</v>
      </c>
      <c r="S224" s="419"/>
      <c r="T224" s="472"/>
      <c r="U224" s="479"/>
      <c r="V224" s="405"/>
    </row>
    <row r="225" spans="1:23" x14ac:dyDescent="0.3">
      <c r="A225" s="482"/>
      <c r="B225" s="532" t="s">
        <v>93</v>
      </c>
      <c r="C225" s="550"/>
      <c r="D225" s="550"/>
      <c r="E225" s="550"/>
      <c r="F225" s="551"/>
      <c r="G225" s="532"/>
      <c r="H225" s="532"/>
      <c r="I225" s="532"/>
      <c r="J225" s="532"/>
      <c r="K225" s="532"/>
      <c r="L225" s="532"/>
      <c r="M225" s="532"/>
      <c r="N225" s="532"/>
      <c r="O225" s="532"/>
      <c r="P225" s="532"/>
      <c r="Q225" s="552"/>
      <c r="R225" s="554">
        <v>0</v>
      </c>
      <c r="S225" s="419"/>
      <c r="T225" s="472"/>
      <c r="U225" s="479"/>
      <c r="V225" s="405"/>
    </row>
    <row r="226" spans="1:23" x14ac:dyDescent="0.3">
      <c r="A226" s="471"/>
      <c r="B226" s="514" t="s">
        <v>258</v>
      </c>
      <c r="C226" s="483"/>
      <c r="D226" s="483"/>
      <c r="E226" s="483"/>
      <c r="F226" s="484"/>
      <c r="G226" s="448"/>
      <c r="H226" s="448"/>
      <c r="I226" s="448"/>
      <c r="J226" s="448"/>
      <c r="K226" s="448"/>
      <c r="L226" s="448"/>
      <c r="M226" s="448"/>
      <c r="N226" s="448"/>
      <c r="O226" s="448"/>
      <c r="P226" s="448"/>
      <c r="Q226" s="480"/>
      <c r="R226" s="485"/>
      <c r="S226" s="448"/>
      <c r="T226" s="475"/>
      <c r="U226" s="479"/>
      <c r="V226" s="405"/>
    </row>
    <row r="227" spans="1:23" x14ac:dyDescent="0.3">
      <c r="A227" s="482"/>
      <c r="B227" s="532" t="s">
        <v>286</v>
      </c>
      <c r="C227" s="550"/>
      <c r="D227" s="550"/>
      <c r="E227" s="550"/>
      <c r="F227" s="551"/>
      <c r="G227" s="532"/>
      <c r="H227" s="532"/>
      <c r="I227" s="532"/>
      <c r="J227" s="532"/>
      <c r="K227" s="532"/>
      <c r="L227" s="532"/>
      <c r="M227" s="532"/>
      <c r="N227" s="532"/>
      <c r="O227" s="532"/>
      <c r="P227" s="532"/>
      <c r="Q227" s="552">
        <v>0</v>
      </c>
      <c r="R227" s="553">
        <v>0</v>
      </c>
      <c r="S227" s="419"/>
      <c r="T227" s="475"/>
      <c r="U227" s="479"/>
      <c r="V227" s="405"/>
    </row>
    <row r="228" spans="1:23" x14ac:dyDescent="0.3">
      <c r="A228" s="482"/>
      <c r="B228" s="532" t="s">
        <v>259</v>
      </c>
      <c r="C228" s="550"/>
      <c r="D228" s="550"/>
      <c r="E228" s="550"/>
      <c r="F228" s="551"/>
      <c r="G228" s="532"/>
      <c r="H228" s="532"/>
      <c r="I228" s="532"/>
      <c r="J228" s="532"/>
      <c r="K228" s="532"/>
      <c r="L228" s="532"/>
      <c r="M228" s="532"/>
      <c r="N228" s="532"/>
      <c r="O228" s="532"/>
      <c r="P228" s="532"/>
      <c r="Q228" s="532"/>
      <c r="R228" s="554">
        <v>0</v>
      </c>
      <c r="S228" s="419"/>
      <c r="T228" s="475"/>
      <c r="U228" s="479"/>
      <c r="V228" s="405"/>
    </row>
    <row r="229" spans="1:23" x14ac:dyDescent="0.3">
      <c r="A229" s="471"/>
      <c r="B229" s="477"/>
      <c r="C229" s="483"/>
      <c r="D229" s="483"/>
      <c r="E229" s="483"/>
      <c r="F229" s="484"/>
      <c r="G229" s="448"/>
      <c r="H229" s="448"/>
      <c r="I229" s="448"/>
      <c r="J229" s="448"/>
      <c r="K229" s="448"/>
      <c r="L229" s="448"/>
      <c r="M229" s="448"/>
      <c r="N229" s="448"/>
      <c r="O229" s="448"/>
      <c r="P229" s="448"/>
      <c r="Q229" s="448"/>
      <c r="R229" s="486"/>
      <c r="S229" s="448"/>
      <c r="T229" s="475"/>
      <c r="U229" s="479"/>
      <c r="V229" s="405"/>
    </row>
    <row r="230" spans="1:23" ht="18" x14ac:dyDescent="0.35">
      <c r="A230" s="471"/>
      <c r="B230" s="530" t="s">
        <v>208</v>
      </c>
      <c r="C230" s="483"/>
      <c r="D230" s="483"/>
      <c r="E230" s="483"/>
      <c r="F230" s="484"/>
      <c r="G230" s="448"/>
      <c r="H230" s="448"/>
      <c r="I230" s="448"/>
      <c r="J230" s="448"/>
      <c r="K230" s="448"/>
      <c r="L230" s="448"/>
      <c r="M230" s="448"/>
      <c r="N230" s="603" t="s">
        <v>347</v>
      </c>
      <c r="O230" s="448"/>
      <c r="P230" s="448"/>
      <c r="Q230" s="448"/>
      <c r="R230" s="486"/>
      <c r="S230" s="448"/>
      <c r="T230" s="475"/>
      <c r="U230" s="479"/>
      <c r="V230" s="405"/>
    </row>
    <row r="231" spans="1:23" x14ac:dyDescent="0.3">
      <c r="A231" s="487"/>
      <c r="B231" s="488"/>
      <c r="C231" s="489"/>
      <c r="D231" s="489"/>
      <c r="E231" s="489"/>
      <c r="F231" s="490"/>
      <c r="G231" s="444"/>
      <c r="H231" s="444"/>
      <c r="I231" s="444"/>
      <c r="J231" s="444"/>
      <c r="K231" s="444"/>
      <c r="L231" s="444"/>
      <c r="M231" s="444"/>
      <c r="N231" s="444"/>
      <c r="O231" s="444"/>
      <c r="P231" s="444"/>
      <c r="Q231" s="444"/>
      <c r="R231" s="491"/>
      <c r="S231" s="444"/>
      <c r="T231" s="492"/>
      <c r="U231" s="493"/>
      <c r="V231" s="405"/>
    </row>
    <row r="232" spans="1:23" x14ac:dyDescent="0.3">
      <c r="A232" s="503"/>
      <c r="B232" s="612" t="s">
        <v>302</v>
      </c>
      <c r="C232" s="613"/>
      <c r="D232" s="613"/>
      <c r="E232" s="613"/>
      <c r="F232" s="620"/>
      <c r="G232" s="613"/>
      <c r="H232" s="613"/>
      <c r="I232" s="613"/>
      <c r="J232" s="613"/>
      <c r="K232" s="613"/>
      <c r="L232" s="613"/>
      <c r="M232" s="613"/>
      <c r="N232" s="613"/>
      <c r="O232" s="613"/>
      <c r="P232" s="620" t="s">
        <v>108</v>
      </c>
      <c r="Q232" s="613" t="s">
        <v>109</v>
      </c>
      <c r="R232" s="620" t="s">
        <v>117</v>
      </c>
      <c r="S232" s="613" t="s">
        <v>109</v>
      </c>
      <c r="T232" s="608"/>
      <c r="U232" s="626"/>
      <c r="V232" s="405"/>
    </row>
    <row r="233" spans="1:23" x14ac:dyDescent="0.3">
      <c r="A233" s="430"/>
      <c r="B233" s="572" t="s">
        <v>94</v>
      </c>
      <c r="C233" s="621"/>
      <c r="D233" s="621"/>
      <c r="E233" s="621"/>
      <c r="F233" s="539"/>
      <c r="G233" s="621"/>
      <c r="H233" s="621"/>
      <c r="I233" s="621"/>
      <c r="J233" s="621"/>
      <c r="K233" s="621"/>
      <c r="L233" s="621"/>
      <c r="M233" s="621"/>
      <c r="N233" s="621"/>
      <c r="O233" s="621"/>
      <c r="P233" s="622">
        <f t="shared" ref="P233:P240" si="1">+P245+P257+P269</f>
        <v>1867</v>
      </c>
      <c r="Q233" s="623">
        <f t="shared" ref="Q233:Q240" si="2">P233/$P$242</f>
        <v>0.99786210582576162</v>
      </c>
      <c r="R233" s="624">
        <f t="shared" ref="R233:R240" si="3">+R245+R257+R269</f>
        <v>228253</v>
      </c>
      <c r="S233" s="623">
        <f t="shared" ref="S233:S240" si="4">R233/$R$242</f>
        <v>0.99872672220666481</v>
      </c>
      <c r="T233" s="470"/>
      <c r="U233" s="625"/>
      <c r="V233" s="405"/>
    </row>
    <row r="234" spans="1:23" x14ac:dyDescent="0.3">
      <c r="A234" s="428"/>
      <c r="B234" s="531" t="s">
        <v>95</v>
      </c>
      <c r="C234" s="549"/>
      <c r="D234" s="549"/>
      <c r="E234" s="549"/>
      <c r="F234" s="532"/>
      <c r="G234" s="534"/>
      <c r="H234" s="549"/>
      <c r="I234" s="549"/>
      <c r="J234" s="549"/>
      <c r="K234" s="549"/>
      <c r="L234" s="549"/>
      <c r="M234" s="549"/>
      <c r="N234" s="549"/>
      <c r="O234" s="549"/>
      <c r="P234" s="531">
        <f t="shared" si="1"/>
        <v>1</v>
      </c>
      <c r="Q234" s="534">
        <f t="shared" si="2"/>
        <v>5.3447354355959376E-4</v>
      </c>
      <c r="R234" s="535">
        <f t="shared" si="3"/>
        <v>91</v>
      </c>
      <c r="S234" s="534">
        <f t="shared" si="4"/>
        <v>3.9817278073368806E-4</v>
      </c>
      <c r="T234" s="472"/>
      <c r="U234" s="494"/>
      <c r="V234" s="405"/>
      <c r="W234" s="452"/>
    </row>
    <row r="235" spans="1:23" x14ac:dyDescent="0.3">
      <c r="A235" s="428"/>
      <c r="B235" s="531" t="s">
        <v>96</v>
      </c>
      <c r="C235" s="549"/>
      <c r="D235" s="549"/>
      <c r="E235" s="549"/>
      <c r="F235" s="532"/>
      <c r="G235" s="534"/>
      <c r="H235" s="549"/>
      <c r="I235" s="549"/>
      <c r="J235" s="549"/>
      <c r="K235" s="549"/>
      <c r="L235" s="549"/>
      <c r="M235" s="549"/>
      <c r="N235" s="549"/>
      <c r="O235" s="549"/>
      <c r="P235" s="531">
        <f t="shared" si="1"/>
        <v>2</v>
      </c>
      <c r="Q235" s="534">
        <f t="shared" si="2"/>
        <v>1.0689470871191875E-3</v>
      </c>
      <c r="R235" s="535">
        <f t="shared" si="3"/>
        <v>147</v>
      </c>
      <c r="S235" s="534">
        <f t="shared" si="4"/>
        <v>6.4320218426211148E-4</v>
      </c>
      <c r="T235" s="472"/>
      <c r="U235" s="494"/>
      <c r="V235" s="405"/>
    </row>
    <row r="236" spans="1:23" x14ac:dyDescent="0.3">
      <c r="A236" s="428"/>
      <c r="B236" s="531" t="s">
        <v>171</v>
      </c>
      <c r="C236" s="549"/>
      <c r="D236" s="549"/>
      <c r="E236" s="549"/>
      <c r="F236" s="532"/>
      <c r="G236" s="534"/>
      <c r="H236" s="549"/>
      <c r="I236" s="549"/>
      <c r="J236" s="549"/>
      <c r="K236" s="549"/>
      <c r="L236" s="549"/>
      <c r="M236" s="549"/>
      <c r="N236" s="549"/>
      <c r="O236" s="549"/>
      <c r="P236" s="531">
        <f t="shared" si="1"/>
        <v>0</v>
      </c>
      <c r="Q236" s="534">
        <f t="shared" si="2"/>
        <v>0</v>
      </c>
      <c r="R236" s="535">
        <f t="shared" si="3"/>
        <v>0</v>
      </c>
      <c r="S236" s="534">
        <f t="shared" si="4"/>
        <v>0</v>
      </c>
      <c r="T236" s="472"/>
      <c r="U236" s="494"/>
      <c r="V236" s="405"/>
      <c r="W236" s="452"/>
    </row>
    <row r="237" spans="1:23" x14ac:dyDescent="0.3">
      <c r="A237" s="428"/>
      <c r="B237" s="531" t="s">
        <v>172</v>
      </c>
      <c r="C237" s="549"/>
      <c r="D237" s="549"/>
      <c r="E237" s="549"/>
      <c r="F237" s="532"/>
      <c r="G237" s="534"/>
      <c r="H237" s="549"/>
      <c r="I237" s="549"/>
      <c r="J237" s="549"/>
      <c r="K237" s="549"/>
      <c r="L237" s="549"/>
      <c r="M237" s="549"/>
      <c r="N237" s="549"/>
      <c r="O237" s="549"/>
      <c r="P237" s="531">
        <f t="shared" si="1"/>
        <v>1</v>
      </c>
      <c r="Q237" s="534">
        <f t="shared" si="2"/>
        <v>5.3447354355959376E-4</v>
      </c>
      <c r="R237" s="535">
        <f t="shared" si="3"/>
        <v>53</v>
      </c>
      <c r="S237" s="534">
        <f t="shared" si="4"/>
        <v>2.3190282833940074E-4</v>
      </c>
      <c r="T237" s="472"/>
      <c r="U237" s="494"/>
      <c r="V237" s="405"/>
    </row>
    <row r="238" spans="1:23" x14ac:dyDescent="0.3">
      <c r="A238" s="428"/>
      <c r="B238" s="531" t="s">
        <v>173</v>
      </c>
      <c r="C238" s="549"/>
      <c r="D238" s="549"/>
      <c r="E238" s="549"/>
      <c r="F238" s="532"/>
      <c r="G238" s="534"/>
      <c r="H238" s="549"/>
      <c r="I238" s="549"/>
      <c r="J238" s="549"/>
      <c r="K238" s="549"/>
      <c r="L238" s="549"/>
      <c r="M238" s="549"/>
      <c r="N238" s="549"/>
      <c r="O238" s="549"/>
      <c r="P238" s="531">
        <f t="shared" si="1"/>
        <v>0</v>
      </c>
      <c r="Q238" s="534">
        <f t="shared" si="2"/>
        <v>0</v>
      </c>
      <c r="R238" s="535">
        <f t="shared" si="3"/>
        <v>0</v>
      </c>
      <c r="S238" s="534">
        <f t="shared" si="4"/>
        <v>0</v>
      </c>
      <c r="T238" s="472"/>
      <c r="U238" s="494"/>
      <c r="V238" s="405"/>
      <c r="W238" s="452"/>
    </row>
    <row r="239" spans="1:23" x14ac:dyDescent="0.3">
      <c r="A239" s="428"/>
      <c r="B239" s="531" t="s">
        <v>174</v>
      </c>
      <c r="C239" s="549"/>
      <c r="D239" s="549"/>
      <c r="E239" s="549"/>
      <c r="F239" s="532"/>
      <c r="G239" s="534"/>
      <c r="H239" s="549"/>
      <c r="I239" s="549"/>
      <c r="J239" s="549"/>
      <c r="K239" s="549"/>
      <c r="L239" s="549"/>
      <c r="M239" s="549"/>
      <c r="N239" s="549"/>
      <c r="O239" s="549"/>
      <c r="P239" s="531">
        <f t="shared" si="1"/>
        <v>0</v>
      </c>
      <c r="Q239" s="534">
        <f t="shared" si="2"/>
        <v>0</v>
      </c>
      <c r="R239" s="535">
        <f t="shared" si="3"/>
        <v>0</v>
      </c>
      <c r="S239" s="534">
        <f t="shared" si="4"/>
        <v>0</v>
      </c>
      <c r="T239" s="472"/>
      <c r="U239" s="494"/>
      <c r="V239" s="405"/>
    </row>
    <row r="240" spans="1:23" x14ac:dyDescent="0.3">
      <c r="A240" s="428"/>
      <c r="B240" s="531" t="s">
        <v>175</v>
      </c>
      <c r="C240" s="549"/>
      <c r="D240" s="549"/>
      <c r="E240" s="549"/>
      <c r="F240" s="532"/>
      <c r="G240" s="534"/>
      <c r="H240" s="549"/>
      <c r="I240" s="549"/>
      <c r="J240" s="549"/>
      <c r="K240" s="549"/>
      <c r="L240" s="549"/>
      <c r="M240" s="549"/>
      <c r="N240" s="549"/>
      <c r="O240" s="549"/>
      <c r="P240" s="531">
        <f t="shared" si="1"/>
        <v>0</v>
      </c>
      <c r="Q240" s="534">
        <f t="shared" si="2"/>
        <v>0</v>
      </c>
      <c r="R240" s="535">
        <f t="shared" si="3"/>
        <v>0</v>
      </c>
      <c r="S240" s="534">
        <f t="shared" si="4"/>
        <v>0</v>
      </c>
      <c r="T240" s="472"/>
      <c r="U240" s="494"/>
      <c r="V240" s="405"/>
      <c r="W240" s="452"/>
    </row>
    <row r="241" spans="1:23" x14ac:dyDescent="0.3">
      <c r="A241" s="428"/>
      <c r="B241" s="531"/>
      <c r="C241" s="549"/>
      <c r="D241" s="549"/>
      <c r="E241" s="549"/>
      <c r="F241" s="532"/>
      <c r="G241" s="534"/>
      <c r="H241" s="549"/>
      <c r="I241" s="549"/>
      <c r="J241" s="549"/>
      <c r="K241" s="549"/>
      <c r="L241" s="549"/>
      <c r="M241" s="549"/>
      <c r="N241" s="549"/>
      <c r="O241" s="549"/>
      <c r="P241" s="531"/>
      <c r="Q241" s="534"/>
      <c r="R241" s="535"/>
      <c r="S241" s="534"/>
      <c r="T241" s="472"/>
      <c r="U241" s="494"/>
      <c r="V241" s="405"/>
    </row>
    <row r="242" spans="1:23" x14ac:dyDescent="0.3">
      <c r="A242" s="428"/>
      <c r="B242" s="532"/>
      <c r="C242" s="532"/>
      <c r="D242" s="532"/>
      <c r="E242" s="532"/>
      <c r="F242" s="532"/>
      <c r="G242" s="532"/>
      <c r="H242" s="533"/>
      <c r="I242" s="533"/>
      <c r="J242" s="533"/>
      <c r="K242" s="533"/>
      <c r="L242" s="533"/>
      <c r="M242" s="533"/>
      <c r="N242" s="533"/>
      <c r="O242" s="533"/>
      <c r="P242" s="531">
        <f>SUM(P233:P241)</f>
        <v>1871</v>
      </c>
      <c r="Q242" s="534">
        <f>SUM(Q233:Q241)</f>
        <v>1</v>
      </c>
      <c r="R242" s="535">
        <f>SUM(R233:R241)</f>
        <v>228544</v>
      </c>
      <c r="S242" s="534">
        <f>SUM(S233:S241)</f>
        <v>1</v>
      </c>
      <c r="T242" s="419"/>
      <c r="U242" s="420"/>
      <c r="V242" s="405"/>
    </row>
    <row r="243" spans="1:23" x14ac:dyDescent="0.3">
      <c r="A243" s="487"/>
      <c r="B243" s="488"/>
      <c r="C243" s="489"/>
      <c r="D243" s="489"/>
      <c r="E243" s="489"/>
      <c r="F243" s="490"/>
      <c r="G243" s="444"/>
      <c r="H243" s="444"/>
      <c r="I243" s="444"/>
      <c r="J243" s="444"/>
      <c r="K243" s="444"/>
      <c r="L243" s="444"/>
      <c r="M243" s="444"/>
      <c r="N243" s="444"/>
      <c r="O243" s="444"/>
      <c r="P243" s="444"/>
      <c r="Q243" s="444"/>
      <c r="R243" s="491"/>
      <c r="S243" s="444"/>
      <c r="T243" s="492"/>
      <c r="U243" s="493"/>
      <c r="V243" s="405"/>
    </row>
    <row r="244" spans="1:23" x14ac:dyDescent="0.3">
      <c r="A244" s="503"/>
      <c r="B244" s="612" t="s">
        <v>177</v>
      </c>
      <c r="C244" s="613"/>
      <c r="D244" s="613"/>
      <c r="E244" s="613"/>
      <c r="F244" s="620"/>
      <c r="G244" s="613"/>
      <c r="H244" s="613"/>
      <c r="I244" s="613"/>
      <c r="J244" s="613"/>
      <c r="K244" s="613"/>
      <c r="L244" s="613"/>
      <c r="M244" s="613"/>
      <c r="N244" s="613"/>
      <c r="O244" s="613"/>
      <c r="P244" s="620" t="s">
        <v>108</v>
      </c>
      <c r="Q244" s="613" t="s">
        <v>109</v>
      </c>
      <c r="R244" s="620" t="s">
        <v>117</v>
      </c>
      <c r="S244" s="613" t="s">
        <v>109</v>
      </c>
      <c r="T244" s="608"/>
      <c r="U244" s="626"/>
      <c r="V244" s="405"/>
    </row>
    <row r="245" spans="1:23" x14ac:dyDescent="0.3">
      <c r="A245" s="430"/>
      <c r="B245" s="572" t="s">
        <v>94</v>
      </c>
      <c r="C245" s="621"/>
      <c r="D245" s="621"/>
      <c r="E245" s="621"/>
      <c r="F245" s="539"/>
      <c r="G245" s="621"/>
      <c r="H245" s="621"/>
      <c r="I245" s="621"/>
      <c r="J245" s="621"/>
      <c r="K245" s="621"/>
      <c r="L245" s="621"/>
      <c r="M245" s="621"/>
      <c r="N245" s="621"/>
      <c r="O245" s="621"/>
      <c r="P245" s="572">
        <v>1839</v>
      </c>
      <c r="Q245" s="627">
        <f t="shared" ref="Q245:Q252" si="5">P245/$P$254</f>
        <v>0.99891363389462251</v>
      </c>
      <c r="R245" s="541">
        <v>224591</v>
      </c>
      <c r="S245" s="627">
        <f t="shared" ref="S245:S252" si="6">R245/$R$254</f>
        <v>0.99928365487292659</v>
      </c>
      <c r="T245" s="470"/>
      <c r="U245" s="625"/>
      <c r="V245" s="405"/>
    </row>
    <row r="246" spans="1:23" x14ac:dyDescent="0.3">
      <c r="A246" s="428"/>
      <c r="B246" s="531" t="s">
        <v>95</v>
      </c>
      <c r="C246" s="549"/>
      <c r="D246" s="549"/>
      <c r="E246" s="549"/>
      <c r="F246" s="532"/>
      <c r="G246" s="534"/>
      <c r="H246" s="549"/>
      <c r="I246" s="549"/>
      <c r="J246" s="549"/>
      <c r="K246" s="549"/>
      <c r="L246" s="549"/>
      <c r="M246" s="549"/>
      <c r="N246" s="549"/>
      <c r="O246" s="549"/>
      <c r="P246" s="531">
        <v>1</v>
      </c>
      <c r="Q246" s="534">
        <f t="shared" si="5"/>
        <v>5.4318305268875606E-4</v>
      </c>
      <c r="R246" s="535">
        <v>91</v>
      </c>
      <c r="S246" s="534">
        <f t="shared" si="6"/>
        <v>4.0489072399800671E-4</v>
      </c>
      <c r="T246" s="472"/>
      <c r="U246" s="494"/>
      <c r="V246" s="405"/>
      <c r="W246" s="452"/>
    </row>
    <row r="247" spans="1:23" x14ac:dyDescent="0.3">
      <c r="A247" s="428"/>
      <c r="B247" s="531" t="s">
        <v>96</v>
      </c>
      <c r="C247" s="549"/>
      <c r="D247" s="549"/>
      <c r="E247" s="549"/>
      <c r="F247" s="532"/>
      <c r="G247" s="534"/>
      <c r="H247" s="549"/>
      <c r="I247" s="549"/>
      <c r="J247" s="549"/>
      <c r="K247" s="549"/>
      <c r="L247" s="549"/>
      <c r="M247" s="549"/>
      <c r="N247" s="549"/>
      <c r="O247" s="549"/>
      <c r="P247" s="531">
        <v>1</v>
      </c>
      <c r="Q247" s="534">
        <f t="shared" si="5"/>
        <v>5.4318305268875606E-4</v>
      </c>
      <c r="R247" s="535">
        <v>70</v>
      </c>
      <c r="S247" s="534">
        <f t="shared" si="6"/>
        <v>3.1145440307538976E-4</v>
      </c>
      <c r="T247" s="472"/>
      <c r="U247" s="494"/>
      <c r="V247" s="405"/>
    </row>
    <row r="248" spans="1:23" x14ac:dyDescent="0.3">
      <c r="A248" s="428"/>
      <c r="B248" s="531" t="s">
        <v>171</v>
      </c>
      <c r="C248" s="549"/>
      <c r="D248" s="549"/>
      <c r="E248" s="549"/>
      <c r="F248" s="532"/>
      <c r="G248" s="534"/>
      <c r="H248" s="549"/>
      <c r="I248" s="549"/>
      <c r="J248" s="549"/>
      <c r="K248" s="549"/>
      <c r="L248" s="549"/>
      <c r="M248" s="549"/>
      <c r="N248" s="549"/>
      <c r="O248" s="549"/>
      <c r="P248" s="531">
        <v>0</v>
      </c>
      <c r="Q248" s="534">
        <f t="shared" si="5"/>
        <v>0</v>
      </c>
      <c r="R248" s="535">
        <v>0</v>
      </c>
      <c r="S248" s="534">
        <f t="shared" si="6"/>
        <v>0</v>
      </c>
      <c r="T248" s="472"/>
      <c r="U248" s="494"/>
      <c r="V248" s="405"/>
      <c r="W248" s="452"/>
    </row>
    <row r="249" spans="1:23" x14ac:dyDescent="0.3">
      <c r="A249" s="428"/>
      <c r="B249" s="531" t="s">
        <v>172</v>
      </c>
      <c r="C249" s="549"/>
      <c r="D249" s="549"/>
      <c r="E249" s="549"/>
      <c r="F249" s="532"/>
      <c r="G249" s="534"/>
      <c r="H249" s="549"/>
      <c r="I249" s="549"/>
      <c r="J249" s="549"/>
      <c r="K249" s="549"/>
      <c r="L249" s="549"/>
      <c r="M249" s="549"/>
      <c r="N249" s="549"/>
      <c r="O249" s="549"/>
      <c r="P249" s="531">
        <v>0</v>
      </c>
      <c r="Q249" s="534">
        <f t="shared" si="5"/>
        <v>0</v>
      </c>
      <c r="R249" s="535">
        <v>0</v>
      </c>
      <c r="S249" s="534">
        <f t="shared" si="6"/>
        <v>0</v>
      </c>
      <c r="T249" s="472"/>
      <c r="U249" s="494"/>
      <c r="V249" s="405"/>
    </row>
    <row r="250" spans="1:23" x14ac:dyDescent="0.3">
      <c r="A250" s="428"/>
      <c r="B250" s="531" t="s">
        <v>173</v>
      </c>
      <c r="C250" s="549"/>
      <c r="D250" s="549"/>
      <c r="E250" s="549"/>
      <c r="F250" s="532"/>
      <c r="G250" s="534"/>
      <c r="H250" s="549"/>
      <c r="I250" s="549"/>
      <c r="J250" s="549"/>
      <c r="K250" s="549"/>
      <c r="L250" s="549"/>
      <c r="M250" s="549"/>
      <c r="N250" s="549"/>
      <c r="O250" s="549"/>
      <c r="P250" s="531">
        <v>0</v>
      </c>
      <c r="Q250" s="534">
        <f t="shared" si="5"/>
        <v>0</v>
      </c>
      <c r="R250" s="535">
        <v>0</v>
      </c>
      <c r="S250" s="534">
        <f t="shared" si="6"/>
        <v>0</v>
      </c>
      <c r="T250" s="472"/>
      <c r="U250" s="494"/>
      <c r="V250" s="405"/>
      <c r="W250" s="452"/>
    </row>
    <row r="251" spans="1:23" x14ac:dyDescent="0.3">
      <c r="A251" s="428"/>
      <c r="B251" s="531" t="s">
        <v>174</v>
      </c>
      <c r="C251" s="549"/>
      <c r="D251" s="549"/>
      <c r="E251" s="549"/>
      <c r="F251" s="532"/>
      <c r="G251" s="534"/>
      <c r="H251" s="549"/>
      <c r="I251" s="549"/>
      <c r="J251" s="549"/>
      <c r="K251" s="549"/>
      <c r="L251" s="549"/>
      <c r="M251" s="549"/>
      <c r="N251" s="549"/>
      <c r="O251" s="549"/>
      <c r="P251" s="531">
        <v>0</v>
      </c>
      <c r="Q251" s="534">
        <f t="shared" si="5"/>
        <v>0</v>
      </c>
      <c r="R251" s="535">
        <v>0</v>
      </c>
      <c r="S251" s="534">
        <f t="shared" si="6"/>
        <v>0</v>
      </c>
      <c r="T251" s="472"/>
      <c r="U251" s="494"/>
      <c r="V251" s="405"/>
    </row>
    <row r="252" spans="1:23" x14ac:dyDescent="0.3">
      <c r="A252" s="428"/>
      <c r="B252" s="531" t="s">
        <v>175</v>
      </c>
      <c r="C252" s="549"/>
      <c r="D252" s="549"/>
      <c r="E252" s="549"/>
      <c r="F252" s="532"/>
      <c r="G252" s="534"/>
      <c r="H252" s="549"/>
      <c r="I252" s="549"/>
      <c r="J252" s="549"/>
      <c r="K252" s="549"/>
      <c r="L252" s="549"/>
      <c r="M252" s="549"/>
      <c r="N252" s="549"/>
      <c r="O252" s="549"/>
      <c r="P252" s="531">
        <v>0</v>
      </c>
      <c r="Q252" s="534">
        <f t="shared" si="5"/>
        <v>0</v>
      </c>
      <c r="R252" s="535">
        <v>0</v>
      </c>
      <c r="S252" s="534">
        <f t="shared" si="6"/>
        <v>0</v>
      </c>
      <c r="T252" s="472"/>
      <c r="U252" s="494"/>
      <c r="V252" s="405"/>
      <c r="W252" s="452"/>
    </row>
    <row r="253" spans="1:23" x14ac:dyDescent="0.3">
      <c r="A253" s="428"/>
      <c r="B253" s="531"/>
      <c r="C253" s="549"/>
      <c r="D253" s="549"/>
      <c r="E253" s="549"/>
      <c r="F253" s="532"/>
      <c r="G253" s="534"/>
      <c r="H253" s="549"/>
      <c r="I253" s="549"/>
      <c r="J253" s="549"/>
      <c r="K253" s="549"/>
      <c r="L253" s="549"/>
      <c r="M253" s="549"/>
      <c r="N253" s="549"/>
      <c r="O253" s="549"/>
      <c r="P253" s="531"/>
      <c r="Q253" s="534"/>
      <c r="R253" s="535"/>
      <c r="S253" s="534"/>
      <c r="T253" s="472"/>
      <c r="U253" s="494"/>
      <c r="V253" s="405"/>
    </row>
    <row r="254" spans="1:23" x14ac:dyDescent="0.3">
      <c r="A254" s="428"/>
      <c r="B254" s="532"/>
      <c r="C254" s="532"/>
      <c r="D254" s="532"/>
      <c r="E254" s="532"/>
      <c r="F254" s="532"/>
      <c r="G254" s="532"/>
      <c r="H254" s="533"/>
      <c r="I254" s="533"/>
      <c r="J254" s="533"/>
      <c r="K254" s="533"/>
      <c r="L254" s="533"/>
      <c r="M254" s="533"/>
      <c r="N254" s="533"/>
      <c r="O254" s="533"/>
      <c r="P254" s="531">
        <f>SUM(P245:P253)</f>
        <v>1841</v>
      </c>
      <c r="Q254" s="534">
        <f>SUM(Q245:Q253)</f>
        <v>1</v>
      </c>
      <c r="R254" s="535">
        <f>SUM(R245:R253)</f>
        <v>224752</v>
      </c>
      <c r="S254" s="534">
        <f>SUM(S245:S253)</f>
        <v>0.99999999999999989</v>
      </c>
      <c r="T254" s="419"/>
      <c r="U254" s="420"/>
      <c r="V254" s="405"/>
    </row>
    <row r="255" spans="1:23" x14ac:dyDescent="0.3">
      <c r="A255" s="407"/>
      <c r="B255" s="444"/>
      <c r="C255" s="444"/>
      <c r="D255" s="444"/>
      <c r="E255" s="444"/>
      <c r="F255" s="444"/>
      <c r="G255" s="444"/>
      <c r="H255" s="495"/>
      <c r="I255" s="495"/>
      <c r="J255" s="495"/>
      <c r="K255" s="495"/>
      <c r="L255" s="495"/>
      <c r="M255" s="495"/>
      <c r="N255" s="495"/>
      <c r="O255" s="495"/>
      <c r="P255" s="445"/>
      <c r="Q255" s="496"/>
      <c r="R255" s="497"/>
      <c r="S255" s="496"/>
      <c r="T255" s="444"/>
      <c r="U255" s="444"/>
      <c r="V255" s="405"/>
    </row>
    <row r="256" spans="1:23" x14ac:dyDescent="0.3">
      <c r="A256" s="503"/>
      <c r="B256" s="612" t="s">
        <v>279</v>
      </c>
      <c r="C256" s="613"/>
      <c r="D256" s="613"/>
      <c r="E256" s="613"/>
      <c r="F256" s="620"/>
      <c r="G256" s="613"/>
      <c r="H256" s="613"/>
      <c r="I256" s="613"/>
      <c r="J256" s="613"/>
      <c r="K256" s="613"/>
      <c r="L256" s="613"/>
      <c r="M256" s="613"/>
      <c r="N256" s="613"/>
      <c r="O256" s="613"/>
      <c r="P256" s="620" t="s">
        <v>108</v>
      </c>
      <c r="Q256" s="613" t="s">
        <v>109</v>
      </c>
      <c r="R256" s="620" t="s">
        <v>117</v>
      </c>
      <c r="S256" s="613" t="s">
        <v>109</v>
      </c>
      <c r="T256" s="608"/>
      <c r="U256" s="611"/>
      <c r="V256" s="405"/>
    </row>
    <row r="257" spans="1:22" x14ac:dyDescent="0.3">
      <c r="A257" s="430"/>
      <c r="B257" s="572" t="s">
        <v>94</v>
      </c>
      <c r="C257" s="621"/>
      <c r="D257" s="621"/>
      <c r="E257" s="621"/>
      <c r="F257" s="539"/>
      <c r="G257" s="621"/>
      <c r="H257" s="621"/>
      <c r="I257" s="621"/>
      <c r="J257" s="621"/>
      <c r="K257" s="621"/>
      <c r="L257" s="621"/>
      <c r="M257" s="621"/>
      <c r="N257" s="621"/>
      <c r="O257" s="621"/>
      <c r="P257" s="572">
        <v>28</v>
      </c>
      <c r="Q257" s="627">
        <f t="shared" ref="Q257:Q264" si="7">P257/$P$266</f>
        <v>0.93333333333333335</v>
      </c>
      <c r="R257" s="541">
        <v>3662</v>
      </c>
      <c r="S257" s="627">
        <f t="shared" ref="S257:S264" si="8">R257/$R$266</f>
        <v>0.96571729957805907</v>
      </c>
      <c r="T257" s="431"/>
      <c r="U257" s="444"/>
      <c r="V257" s="405"/>
    </row>
    <row r="258" spans="1:22" x14ac:dyDescent="0.3">
      <c r="A258" s="428"/>
      <c r="B258" s="531" t="s">
        <v>95</v>
      </c>
      <c r="C258" s="549"/>
      <c r="D258" s="549"/>
      <c r="E258" s="549"/>
      <c r="F258" s="532"/>
      <c r="G258" s="534"/>
      <c r="H258" s="549"/>
      <c r="I258" s="549"/>
      <c r="J258" s="549"/>
      <c r="K258" s="549"/>
      <c r="L258" s="549"/>
      <c r="M258" s="549"/>
      <c r="N258" s="549"/>
      <c r="O258" s="549"/>
      <c r="P258" s="531">
        <v>0</v>
      </c>
      <c r="Q258" s="534">
        <f t="shared" si="7"/>
        <v>0</v>
      </c>
      <c r="R258" s="535">
        <v>0</v>
      </c>
      <c r="S258" s="534">
        <f t="shared" si="8"/>
        <v>0</v>
      </c>
      <c r="T258" s="419"/>
      <c r="U258" s="451"/>
      <c r="V258" s="405"/>
    </row>
    <row r="259" spans="1:22" x14ac:dyDescent="0.3">
      <c r="A259" s="428"/>
      <c r="B259" s="531" t="s">
        <v>96</v>
      </c>
      <c r="C259" s="549"/>
      <c r="D259" s="549"/>
      <c r="E259" s="549"/>
      <c r="F259" s="532"/>
      <c r="G259" s="534"/>
      <c r="H259" s="549"/>
      <c r="I259" s="549"/>
      <c r="J259" s="549"/>
      <c r="K259" s="549"/>
      <c r="L259" s="549"/>
      <c r="M259" s="549"/>
      <c r="N259" s="549"/>
      <c r="O259" s="549"/>
      <c r="P259" s="531">
        <v>1</v>
      </c>
      <c r="Q259" s="534">
        <f t="shared" si="7"/>
        <v>3.3333333333333333E-2</v>
      </c>
      <c r="R259" s="535">
        <v>77</v>
      </c>
      <c r="S259" s="534">
        <f t="shared" si="8"/>
        <v>2.0305907172995779E-2</v>
      </c>
      <c r="T259" s="419"/>
      <c r="U259" s="451"/>
      <c r="V259" s="405"/>
    </row>
    <row r="260" spans="1:22" x14ac:dyDescent="0.3">
      <c r="A260" s="428"/>
      <c r="B260" s="531" t="s">
        <v>171</v>
      </c>
      <c r="C260" s="549"/>
      <c r="D260" s="549"/>
      <c r="E260" s="549"/>
      <c r="F260" s="532"/>
      <c r="G260" s="534"/>
      <c r="H260" s="549"/>
      <c r="I260" s="549"/>
      <c r="J260" s="549"/>
      <c r="K260" s="549"/>
      <c r="L260" s="549"/>
      <c r="M260" s="549"/>
      <c r="N260" s="549"/>
      <c r="O260" s="549"/>
      <c r="P260" s="531">
        <v>0</v>
      </c>
      <c r="Q260" s="534">
        <f t="shared" si="7"/>
        <v>0</v>
      </c>
      <c r="R260" s="535">
        <v>0</v>
      </c>
      <c r="S260" s="534">
        <f t="shared" si="8"/>
        <v>0</v>
      </c>
      <c r="T260" s="419"/>
      <c r="U260" s="451"/>
      <c r="V260" s="405"/>
    </row>
    <row r="261" spans="1:22" x14ac:dyDescent="0.3">
      <c r="A261" s="428"/>
      <c r="B261" s="531" t="s">
        <v>172</v>
      </c>
      <c r="C261" s="549"/>
      <c r="D261" s="549"/>
      <c r="E261" s="549"/>
      <c r="F261" s="532"/>
      <c r="G261" s="534"/>
      <c r="H261" s="549"/>
      <c r="I261" s="549"/>
      <c r="J261" s="549"/>
      <c r="K261" s="549"/>
      <c r="L261" s="549"/>
      <c r="M261" s="549"/>
      <c r="N261" s="549"/>
      <c r="O261" s="549"/>
      <c r="P261" s="531">
        <v>1</v>
      </c>
      <c r="Q261" s="534">
        <f t="shared" si="7"/>
        <v>3.3333333333333333E-2</v>
      </c>
      <c r="R261" s="535">
        <v>53</v>
      </c>
      <c r="S261" s="534">
        <f t="shared" si="8"/>
        <v>1.3976793248945147E-2</v>
      </c>
      <c r="T261" s="419"/>
      <c r="U261" s="451"/>
      <c r="V261" s="405"/>
    </row>
    <row r="262" spans="1:22" x14ac:dyDescent="0.3">
      <c r="A262" s="428"/>
      <c r="B262" s="531" t="s">
        <v>173</v>
      </c>
      <c r="C262" s="549"/>
      <c r="D262" s="549"/>
      <c r="E262" s="549"/>
      <c r="F262" s="532"/>
      <c r="G262" s="534"/>
      <c r="H262" s="549"/>
      <c r="I262" s="549"/>
      <c r="J262" s="549"/>
      <c r="K262" s="549"/>
      <c r="L262" s="549"/>
      <c r="M262" s="549"/>
      <c r="N262" s="549"/>
      <c r="O262" s="549"/>
      <c r="P262" s="531">
        <v>0</v>
      </c>
      <c r="Q262" s="534">
        <f t="shared" si="7"/>
        <v>0</v>
      </c>
      <c r="R262" s="535">
        <v>0</v>
      </c>
      <c r="S262" s="534">
        <f t="shared" si="8"/>
        <v>0</v>
      </c>
      <c r="T262" s="419"/>
      <c r="U262" s="451"/>
      <c r="V262" s="405"/>
    </row>
    <row r="263" spans="1:22" x14ac:dyDescent="0.3">
      <c r="A263" s="428"/>
      <c r="B263" s="531" t="s">
        <v>174</v>
      </c>
      <c r="C263" s="549"/>
      <c r="D263" s="549"/>
      <c r="E263" s="549"/>
      <c r="F263" s="532"/>
      <c r="G263" s="534"/>
      <c r="H263" s="549"/>
      <c r="I263" s="549"/>
      <c r="J263" s="549"/>
      <c r="K263" s="549"/>
      <c r="L263" s="549"/>
      <c r="M263" s="549"/>
      <c r="N263" s="549"/>
      <c r="O263" s="549"/>
      <c r="P263" s="531">
        <v>0</v>
      </c>
      <c r="Q263" s="534">
        <f t="shared" si="7"/>
        <v>0</v>
      </c>
      <c r="R263" s="535">
        <v>0</v>
      </c>
      <c r="S263" s="534">
        <f t="shared" si="8"/>
        <v>0</v>
      </c>
      <c r="T263" s="419"/>
      <c r="U263" s="451"/>
      <c r="V263" s="405"/>
    </row>
    <row r="264" spans="1:22" x14ac:dyDescent="0.3">
      <c r="A264" s="428"/>
      <c r="B264" s="531" t="s">
        <v>175</v>
      </c>
      <c r="C264" s="549"/>
      <c r="D264" s="549"/>
      <c r="E264" s="549"/>
      <c r="F264" s="532"/>
      <c r="G264" s="534"/>
      <c r="H264" s="549"/>
      <c r="I264" s="549"/>
      <c r="J264" s="549"/>
      <c r="K264" s="549"/>
      <c r="L264" s="549"/>
      <c r="M264" s="549"/>
      <c r="N264" s="549"/>
      <c r="O264" s="549"/>
      <c r="P264" s="531">
        <v>0</v>
      </c>
      <c r="Q264" s="534">
        <f t="shared" si="7"/>
        <v>0</v>
      </c>
      <c r="R264" s="535">
        <v>0</v>
      </c>
      <c r="S264" s="534">
        <f t="shared" si="8"/>
        <v>0</v>
      </c>
      <c r="T264" s="419"/>
      <c r="U264" s="451"/>
      <c r="V264" s="405"/>
    </row>
    <row r="265" spans="1:22" x14ac:dyDescent="0.3">
      <c r="A265" s="428"/>
      <c r="B265" s="531"/>
      <c r="C265" s="549"/>
      <c r="D265" s="549"/>
      <c r="E265" s="549"/>
      <c r="F265" s="532"/>
      <c r="G265" s="534"/>
      <c r="H265" s="549"/>
      <c r="I265" s="549"/>
      <c r="J265" s="549"/>
      <c r="K265" s="549"/>
      <c r="L265" s="549"/>
      <c r="M265" s="549"/>
      <c r="N265" s="549"/>
      <c r="O265" s="549"/>
      <c r="P265" s="531"/>
      <c r="Q265" s="534"/>
      <c r="R265" s="535"/>
      <c r="S265" s="534"/>
      <c r="T265" s="419"/>
      <c r="U265" s="451"/>
      <c r="V265" s="405"/>
    </row>
    <row r="266" spans="1:22" x14ac:dyDescent="0.3">
      <c r="A266" s="428"/>
      <c r="B266" s="532"/>
      <c r="C266" s="532"/>
      <c r="D266" s="532"/>
      <c r="E266" s="532"/>
      <c r="F266" s="532"/>
      <c r="G266" s="532"/>
      <c r="H266" s="533"/>
      <c r="I266" s="533"/>
      <c r="J266" s="533"/>
      <c r="K266" s="533"/>
      <c r="L266" s="533"/>
      <c r="M266" s="533"/>
      <c r="N266" s="533"/>
      <c r="O266" s="533"/>
      <c r="P266" s="531">
        <f>SUM(P257:P265)</f>
        <v>30</v>
      </c>
      <c r="Q266" s="534">
        <f>SUM(Q257:Q265)</f>
        <v>1</v>
      </c>
      <c r="R266" s="535">
        <f>SUM(R257:R265)</f>
        <v>3792</v>
      </c>
      <c r="S266" s="534">
        <f>SUM(S257:S265)</f>
        <v>1</v>
      </c>
      <c r="T266" s="419"/>
      <c r="U266" s="451"/>
      <c r="V266" s="405"/>
    </row>
    <row r="267" spans="1:22" x14ac:dyDescent="0.3">
      <c r="A267" s="430"/>
      <c r="B267" s="431"/>
      <c r="C267" s="431"/>
      <c r="D267" s="431"/>
      <c r="E267" s="431"/>
      <c r="F267" s="431"/>
      <c r="G267" s="431"/>
      <c r="H267" s="498"/>
      <c r="I267" s="498"/>
      <c r="J267" s="498"/>
      <c r="K267" s="498"/>
      <c r="L267" s="498"/>
      <c r="M267" s="498"/>
      <c r="N267" s="498"/>
      <c r="O267" s="498"/>
      <c r="P267" s="455"/>
      <c r="Q267" s="499"/>
      <c r="R267" s="500"/>
      <c r="S267" s="499"/>
      <c r="T267" s="431"/>
      <c r="U267" s="444"/>
      <c r="V267" s="405"/>
    </row>
    <row r="268" spans="1:22" x14ac:dyDescent="0.3">
      <c r="A268" s="503"/>
      <c r="B268" s="612" t="s">
        <v>179</v>
      </c>
      <c r="C268" s="608"/>
      <c r="D268" s="608"/>
      <c r="E268" s="608"/>
      <c r="F268" s="608"/>
      <c r="G268" s="608"/>
      <c r="H268" s="628"/>
      <c r="I268" s="628"/>
      <c r="J268" s="628"/>
      <c r="K268" s="628"/>
      <c r="L268" s="628"/>
      <c r="M268" s="628"/>
      <c r="N268" s="628"/>
      <c r="O268" s="628"/>
      <c r="P268" s="620" t="s">
        <v>108</v>
      </c>
      <c r="Q268" s="613" t="s">
        <v>109</v>
      </c>
      <c r="R268" s="620" t="s">
        <v>117</v>
      </c>
      <c r="S268" s="613" t="s">
        <v>109</v>
      </c>
      <c r="T268" s="608"/>
      <c r="U268" s="611"/>
      <c r="V268" s="405"/>
    </row>
    <row r="269" spans="1:22" x14ac:dyDescent="0.3">
      <c r="A269" s="430"/>
      <c r="B269" s="572" t="s">
        <v>94</v>
      </c>
      <c r="C269" s="539"/>
      <c r="D269" s="539"/>
      <c r="E269" s="539"/>
      <c r="F269" s="539"/>
      <c r="G269" s="539"/>
      <c r="H269" s="540"/>
      <c r="I269" s="540"/>
      <c r="J269" s="540"/>
      <c r="K269" s="540"/>
      <c r="L269" s="540"/>
      <c r="M269" s="540"/>
      <c r="N269" s="540"/>
      <c r="O269" s="540"/>
      <c r="P269" s="572">
        <v>0</v>
      </c>
      <c r="Q269" s="627">
        <v>0</v>
      </c>
      <c r="R269" s="541">
        <v>0</v>
      </c>
      <c r="S269" s="627">
        <v>0</v>
      </c>
      <c r="T269" s="431"/>
      <c r="U269" s="444"/>
      <c r="V269" s="405"/>
    </row>
    <row r="270" spans="1:22" x14ac:dyDescent="0.3">
      <c r="A270" s="428"/>
      <c r="B270" s="531" t="s">
        <v>95</v>
      </c>
      <c r="C270" s="532"/>
      <c r="D270" s="532"/>
      <c r="E270" s="532"/>
      <c r="F270" s="532"/>
      <c r="G270" s="532"/>
      <c r="H270" s="533"/>
      <c r="I270" s="533"/>
      <c r="J270" s="533"/>
      <c r="K270" s="533"/>
      <c r="L270" s="533"/>
      <c r="M270" s="533"/>
      <c r="N270" s="533"/>
      <c r="O270" s="533"/>
      <c r="P270" s="531">
        <v>0</v>
      </c>
      <c r="Q270" s="534">
        <v>0</v>
      </c>
      <c r="R270" s="535">
        <v>0</v>
      </c>
      <c r="S270" s="534">
        <v>0</v>
      </c>
      <c r="T270" s="419"/>
      <c r="U270" s="451"/>
      <c r="V270" s="405"/>
    </row>
    <row r="271" spans="1:22" x14ac:dyDescent="0.3">
      <c r="A271" s="428"/>
      <c r="B271" s="531" t="s">
        <v>96</v>
      </c>
      <c r="C271" s="532"/>
      <c r="D271" s="532"/>
      <c r="E271" s="532"/>
      <c r="F271" s="532"/>
      <c r="G271" s="532"/>
      <c r="H271" s="533"/>
      <c r="I271" s="533"/>
      <c r="J271" s="533"/>
      <c r="K271" s="533"/>
      <c r="L271" s="533"/>
      <c r="M271" s="533"/>
      <c r="N271" s="533"/>
      <c r="O271" s="533"/>
      <c r="P271" s="531">
        <v>0</v>
      </c>
      <c r="Q271" s="534">
        <v>0</v>
      </c>
      <c r="R271" s="535">
        <v>0</v>
      </c>
      <c r="S271" s="534">
        <v>0</v>
      </c>
      <c r="T271" s="419"/>
      <c r="U271" s="451"/>
      <c r="V271" s="405"/>
    </row>
    <row r="272" spans="1:22" x14ac:dyDescent="0.3">
      <c r="A272" s="428"/>
      <c r="B272" s="531" t="s">
        <v>171</v>
      </c>
      <c r="C272" s="532"/>
      <c r="D272" s="532"/>
      <c r="E272" s="532"/>
      <c r="F272" s="532"/>
      <c r="G272" s="532"/>
      <c r="H272" s="533"/>
      <c r="I272" s="533"/>
      <c r="J272" s="533"/>
      <c r="K272" s="533"/>
      <c r="L272" s="533"/>
      <c r="M272" s="533"/>
      <c r="N272" s="533"/>
      <c r="O272" s="533"/>
      <c r="P272" s="531">
        <v>0</v>
      </c>
      <c r="Q272" s="534">
        <v>0</v>
      </c>
      <c r="R272" s="535">
        <v>0</v>
      </c>
      <c r="S272" s="534">
        <v>0</v>
      </c>
      <c r="T272" s="419"/>
      <c r="U272" s="451"/>
      <c r="V272" s="405"/>
    </row>
    <row r="273" spans="1:22" x14ac:dyDescent="0.3">
      <c r="A273" s="428"/>
      <c r="B273" s="531" t="s">
        <v>172</v>
      </c>
      <c r="C273" s="532"/>
      <c r="D273" s="532"/>
      <c r="E273" s="532"/>
      <c r="F273" s="532"/>
      <c r="G273" s="532"/>
      <c r="H273" s="533"/>
      <c r="I273" s="533"/>
      <c r="J273" s="533"/>
      <c r="K273" s="533"/>
      <c r="L273" s="533"/>
      <c r="M273" s="533"/>
      <c r="N273" s="533"/>
      <c r="O273" s="533"/>
      <c r="P273" s="531">
        <v>0</v>
      </c>
      <c r="Q273" s="534">
        <v>0</v>
      </c>
      <c r="R273" s="535">
        <v>0</v>
      </c>
      <c r="S273" s="534">
        <v>0</v>
      </c>
      <c r="T273" s="419"/>
      <c r="U273" s="451"/>
      <c r="V273" s="405"/>
    </row>
    <row r="274" spans="1:22" x14ac:dyDescent="0.3">
      <c r="A274" s="428"/>
      <c r="B274" s="531" t="s">
        <v>173</v>
      </c>
      <c r="C274" s="532"/>
      <c r="D274" s="532"/>
      <c r="E274" s="532"/>
      <c r="F274" s="532"/>
      <c r="G274" s="532"/>
      <c r="H274" s="533"/>
      <c r="I274" s="533"/>
      <c r="J274" s="533"/>
      <c r="K274" s="533"/>
      <c r="L274" s="533"/>
      <c r="M274" s="533"/>
      <c r="N274" s="533"/>
      <c r="O274" s="533"/>
      <c r="P274" s="531">
        <v>0</v>
      </c>
      <c r="Q274" s="534">
        <v>0</v>
      </c>
      <c r="R274" s="535">
        <v>0</v>
      </c>
      <c r="S274" s="534">
        <v>0</v>
      </c>
      <c r="T274" s="419"/>
      <c r="U274" s="451"/>
      <c r="V274" s="405"/>
    </row>
    <row r="275" spans="1:22" x14ac:dyDescent="0.3">
      <c r="A275" s="428"/>
      <c r="B275" s="531" t="s">
        <v>174</v>
      </c>
      <c r="C275" s="532"/>
      <c r="D275" s="532"/>
      <c r="E275" s="532"/>
      <c r="F275" s="532"/>
      <c r="G275" s="532"/>
      <c r="H275" s="533"/>
      <c r="I275" s="533"/>
      <c r="J275" s="533"/>
      <c r="K275" s="533"/>
      <c r="L275" s="533"/>
      <c r="M275" s="533"/>
      <c r="N275" s="533"/>
      <c r="O275" s="533"/>
      <c r="P275" s="531">
        <v>0</v>
      </c>
      <c r="Q275" s="534">
        <v>0</v>
      </c>
      <c r="R275" s="535">
        <v>0</v>
      </c>
      <c r="S275" s="534">
        <v>0</v>
      </c>
      <c r="T275" s="419"/>
      <c r="U275" s="451"/>
      <c r="V275" s="405"/>
    </row>
    <row r="276" spans="1:22" x14ac:dyDescent="0.3">
      <c r="A276" s="428"/>
      <c r="B276" s="531" t="s">
        <v>175</v>
      </c>
      <c r="C276" s="532"/>
      <c r="D276" s="532"/>
      <c r="E276" s="532"/>
      <c r="F276" s="532"/>
      <c r="G276" s="532"/>
      <c r="H276" s="533"/>
      <c r="I276" s="533"/>
      <c r="J276" s="533"/>
      <c r="K276" s="533"/>
      <c r="L276" s="533"/>
      <c r="M276" s="533"/>
      <c r="N276" s="533"/>
      <c r="O276" s="533"/>
      <c r="P276" s="531">
        <v>0</v>
      </c>
      <c r="Q276" s="534">
        <v>0</v>
      </c>
      <c r="R276" s="535">
        <v>0</v>
      </c>
      <c r="S276" s="534">
        <v>0</v>
      </c>
      <c r="T276" s="419"/>
      <c r="U276" s="451"/>
      <c r="V276" s="405"/>
    </row>
    <row r="277" spans="1:22" x14ac:dyDescent="0.3">
      <c r="A277" s="428"/>
      <c r="B277" s="531"/>
      <c r="C277" s="532"/>
      <c r="D277" s="532"/>
      <c r="E277" s="532"/>
      <c r="F277" s="532"/>
      <c r="G277" s="532"/>
      <c r="H277" s="533"/>
      <c r="I277" s="533"/>
      <c r="J277" s="533"/>
      <c r="K277" s="533"/>
      <c r="L277" s="533"/>
      <c r="M277" s="533"/>
      <c r="N277" s="533"/>
      <c r="O277" s="533"/>
      <c r="P277" s="531"/>
      <c r="Q277" s="534"/>
      <c r="R277" s="535"/>
      <c r="S277" s="534"/>
      <c r="T277" s="419"/>
      <c r="U277" s="451"/>
      <c r="V277" s="405"/>
    </row>
    <row r="278" spans="1:22" x14ac:dyDescent="0.3">
      <c r="A278" s="428"/>
      <c r="B278" s="532" t="s">
        <v>123</v>
      </c>
      <c r="C278" s="532"/>
      <c r="D278" s="532"/>
      <c r="E278" s="532"/>
      <c r="F278" s="532"/>
      <c r="G278" s="532"/>
      <c r="H278" s="533"/>
      <c r="I278" s="533"/>
      <c r="J278" s="533"/>
      <c r="K278" s="533"/>
      <c r="L278" s="533"/>
      <c r="M278" s="533"/>
      <c r="N278" s="533"/>
      <c r="O278" s="533"/>
      <c r="P278" s="531">
        <f>SUM(P269:P276)</f>
        <v>0</v>
      </c>
      <c r="Q278" s="534">
        <f>SUM(Q269:Q276)</f>
        <v>0</v>
      </c>
      <c r="R278" s="535">
        <f>SUM(R269:R276)</f>
        <v>0</v>
      </c>
      <c r="S278" s="534">
        <f>SUM(S269:S276)</f>
        <v>0</v>
      </c>
      <c r="T278" s="419"/>
      <c r="U278" s="451"/>
      <c r="V278" s="405"/>
    </row>
    <row r="279" spans="1:22" x14ac:dyDescent="0.3">
      <c r="A279" s="428"/>
      <c r="B279" s="532"/>
      <c r="C279" s="532"/>
      <c r="D279" s="532"/>
      <c r="E279" s="532"/>
      <c r="F279" s="532"/>
      <c r="G279" s="532"/>
      <c r="H279" s="533"/>
      <c r="I279" s="533"/>
      <c r="J279" s="533"/>
      <c r="K279" s="533"/>
      <c r="L279" s="533"/>
      <c r="M279" s="533"/>
      <c r="N279" s="533"/>
      <c r="O279" s="533"/>
      <c r="P279" s="531"/>
      <c r="Q279" s="534"/>
      <c r="R279" s="535"/>
      <c r="S279" s="534"/>
      <c r="T279" s="419"/>
      <c r="U279" s="451"/>
      <c r="V279" s="405"/>
    </row>
    <row r="280" spans="1:22" x14ac:dyDescent="0.3">
      <c r="A280" s="428"/>
      <c r="B280" s="536" t="s">
        <v>180</v>
      </c>
      <c r="C280" s="532"/>
      <c r="D280" s="532"/>
      <c r="E280" s="532"/>
      <c r="F280" s="532"/>
      <c r="G280" s="532"/>
      <c r="H280" s="533"/>
      <c r="I280" s="533"/>
      <c r="J280" s="533"/>
      <c r="K280" s="533"/>
      <c r="L280" s="533"/>
      <c r="M280" s="533"/>
      <c r="N280" s="533"/>
      <c r="O280" s="533"/>
      <c r="P280" s="537">
        <f>+P254+P266+P278</f>
        <v>1871</v>
      </c>
      <c r="Q280" s="534"/>
      <c r="R280" s="538">
        <f>+R278+R266+R254</f>
        <v>228544</v>
      </c>
      <c r="S280" s="534"/>
      <c r="T280" s="419"/>
      <c r="U280" s="451"/>
      <c r="V280" s="405"/>
    </row>
    <row r="281" spans="1:22" x14ac:dyDescent="0.3">
      <c r="A281" s="430"/>
      <c r="B281" s="539"/>
      <c r="C281" s="539"/>
      <c r="D281" s="539"/>
      <c r="E281" s="539"/>
      <c r="F281" s="539"/>
      <c r="G281" s="539"/>
      <c r="H281" s="540"/>
      <c r="I281" s="540"/>
      <c r="J281" s="540"/>
      <c r="K281" s="540"/>
      <c r="L281" s="540"/>
      <c r="M281" s="540"/>
      <c r="N281" s="540"/>
      <c r="O281" s="540"/>
      <c r="P281" s="540"/>
      <c r="Q281" s="540"/>
      <c r="R281" s="541"/>
      <c r="S281" s="540"/>
      <c r="T281" s="431"/>
      <c r="U281" s="444"/>
      <c r="V281" s="405"/>
    </row>
    <row r="282" spans="1:22" x14ac:dyDescent="0.3">
      <c r="A282" s="430"/>
      <c r="B282" s="542"/>
      <c r="C282" s="542"/>
      <c r="D282" s="542"/>
      <c r="E282" s="542"/>
      <c r="F282" s="542"/>
      <c r="G282" s="542"/>
      <c r="H282" s="543"/>
      <c r="I282" s="543"/>
      <c r="J282" s="543"/>
      <c r="K282" s="543"/>
      <c r="L282" s="543"/>
      <c r="M282" s="543"/>
      <c r="N282" s="543"/>
      <c r="O282" s="543"/>
      <c r="P282" s="543"/>
      <c r="Q282" s="543"/>
      <c r="R282" s="544"/>
      <c r="S282" s="543"/>
      <c r="T282" s="434"/>
      <c r="U282" s="409"/>
      <c r="V282" s="405"/>
    </row>
    <row r="283" spans="1:22" x14ac:dyDescent="0.3">
      <c r="A283" s="430"/>
      <c r="B283" s="545" t="s">
        <v>97</v>
      </c>
      <c r="C283" s="542"/>
      <c r="D283" s="542"/>
      <c r="E283" s="542"/>
      <c r="F283" s="546" t="s">
        <v>103</v>
      </c>
      <c r="G283" s="542"/>
      <c r="H283" s="545" t="s">
        <v>105</v>
      </c>
      <c r="I283" s="542"/>
      <c r="J283" s="542"/>
      <c r="K283" s="542"/>
      <c r="L283" s="542"/>
      <c r="M283" s="542"/>
      <c r="N283" s="542"/>
      <c r="O283" s="542"/>
      <c r="P283" s="542"/>
      <c r="Q283" s="542"/>
      <c r="R283" s="542"/>
      <c r="S283" s="542"/>
      <c r="T283" s="434"/>
      <c r="U283" s="409"/>
      <c r="V283" s="405"/>
    </row>
    <row r="284" spans="1:22" x14ac:dyDescent="0.3">
      <c r="A284" s="430"/>
      <c r="B284" s="542"/>
      <c r="C284" s="542"/>
      <c r="D284" s="542"/>
      <c r="E284" s="542"/>
      <c r="F284" s="542"/>
      <c r="G284" s="542"/>
      <c r="H284" s="542"/>
      <c r="I284" s="542"/>
      <c r="J284" s="542"/>
      <c r="K284" s="542"/>
      <c r="L284" s="542"/>
      <c r="M284" s="542"/>
      <c r="N284" s="542"/>
      <c r="O284" s="542"/>
      <c r="P284" s="542"/>
      <c r="Q284" s="542"/>
      <c r="R284" s="542"/>
      <c r="S284" s="542"/>
      <c r="T284" s="434"/>
      <c r="U284" s="409"/>
      <c r="V284" s="405"/>
    </row>
    <row r="285" spans="1:22" x14ac:dyDescent="0.3">
      <c r="A285" s="430"/>
      <c r="B285" s="545" t="s">
        <v>323</v>
      </c>
      <c r="C285" s="545"/>
      <c r="D285" s="545"/>
      <c r="E285" s="545"/>
      <c r="F285" s="547" t="s">
        <v>274</v>
      </c>
      <c r="G285" s="545"/>
      <c r="H285" s="501" t="s">
        <v>348</v>
      </c>
      <c r="I285" s="542"/>
      <c r="J285" s="542"/>
      <c r="K285" s="542"/>
      <c r="L285" s="542"/>
      <c r="M285" s="542"/>
      <c r="N285" s="542"/>
      <c r="O285" s="542"/>
      <c r="P285" s="542"/>
      <c r="Q285" s="542"/>
      <c r="R285" s="542"/>
      <c r="S285" s="542"/>
      <c r="T285" s="434"/>
      <c r="U285" s="409"/>
      <c r="V285" s="405"/>
    </row>
    <row r="286" spans="1:22" x14ac:dyDescent="0.3">
      <c r="A286" s="430"/>
      <c r="B286" s="545" t="s">
        <v>324</v>
      </c>
      <c r="C286" s="545"/>
      <c r="D286" s="545"/>
      <c r="E286" s="545"/>
      <c r="F286" s="547" t="s">
        <v>158</v>
      </c>
      <c r="G286" s="545"/>
      <c r="H286" s="501" t="s">
        <v>349</v>
      </c>
      <c r="I286" s="542"/>
      <c r="J286" s="542"/>
      <c r="K286" s="542"/>
      <c r="L286" s="542"/>
      <c r="M286" s="542"/>
      <c r="N286" s="542"/>
      <c r="O286" s="542"/>
      <c r="P286" s="542"/>
      <c r="Q286" s="542"/>
      <c r="R286" s="542"/>
      <c r="S286" s="542"/>
      <c r="T286" s="434"/>
      <c r="U286" s="409"/>
      <c r="V286" s="405"/>
    </row>
    <row r="287" spans="1:22" x14ac:dyDescent="0.3">
      <c r="A287" s="430"/>
      <c r="B287" s="545"/>
      <c r="C287" s="545"/>
      <c r="D287" s="545"/>
      <c r="E287" s="545"/>
      <c r="F287" s="545"/>
      <c r="G287" s="545"/>
      <c r="H287" s="542"/>
      <c r="I287" s="542"/>
      <c r="J287" s="542"/>
      <c r="K287" s="542"/>
      <c r="L287" s="542"/>
      <c r="M287" s="542"/>
      <c r="N287" s="542"/>
      <c r="O287" s="542"/>
      <c r="P287" s="542"/>
      <c r="Q287" s="542"/>
      <c r="R287" s="542"/>
      <c r="S287" s="542"/>
      <c r="T287" s="434"/>
      <c r="U287" s="409"/>
      <c r="V287" s="405"/>
    </row>
    <row r="288" spans="1:22" x14ac:dyDescent="0.3">
      <c r="A288" s="407"/>
      <c r="B288" s="545"/>
      <c r="C288" s="545"/>
      <c r="D288" s="545"/>
      <c r="E288" s="545"/>
      <c r="F288" s="545"/>
      <c r="G288" s="545"/>
      <c r="H288" s="542"/>
      <c r="I288" s="542"/>
      <c r="J288" s="542"/>
      <c r="K288" s="542"/>
      <c r="L288" s="542"/>
      <c r="M288" s="542"/>
      <c r="N288" s="542"/>
      <c r="O288" s="542"/>
      <c r="P288" s="542"/>
      <c r="Q288" s="542"/>
      <c r="R288" s="542"/>
      <c r="S288" s="542"/>
      <c r="T288" s="409"/>
      <c r="U288" s="409"/>
      <c r="V288" s="405"/>
    </row>
    <row r="289" spans="1:22" ht="18.600000000000001" thickBot="1" x14ac:dyDescent="0.4">
      <c r="A289" s="407"/>
      <c r="B289" s="548" t="str">
        <f>B195</f>
        <v>PM9 INVESTOR REPORT QUARTER ENDING JANUARY 2018</v>
      </c>
      <c r="C289" s="545"/>
      <c r="D289" s="545"/>
      <c r="E289" s="545"/>
      <c r="F289" s="545"/>
      <c r="G289" s="545"/>
      <c r="H289" s="542"/>
      <c r="I289" s="542"/>
      <c r="J289" s="542"/>
      <c r="K289" s="542"/>
      <c r="L289" s="542"/>
      <c r="M289" s="542"/>
      <c r="N289" s="542"/>
      <c r="O289" s="542"/>
      <c r="P289" s="542"/>
      <c r="Q289" s="542"/>
      <c r="R289" s="542"/>
      <c r="S289" s="542"/>
      <c r="T289" s="409"/>
      <c r="U289" s="409"/>
      <c r="V289" s="405"/>
    </row>
    <row r="290" spans="1:22" x14ac:dyDescent="0.3">
      <c r="A290" s="502"/>
      <c r="B290" s="502"/>
      <c r="C290" s="502"/>
      <c r="D290" s="502"/>
      <c r="E290" s="502"/>
      <c r="F290" s="502"/>
      <c r="G290" s="502"/>
      <c r="H290" s="502"/>
      <c r="I290" s="502"/>
      <c r="J290" s="502"/>
      <c r="K290" s="502"/>
      <c r="L290" s="502"/>
      <c r="M290" s="502"/>
      <c r="N290" s="502"/>
      <c r="O290" s="502"/>
      <c r="P290" s="502"/>
      <c r="Q290" s="502"/>
      <c r="R290" s="502"/>
      <c r="S290" s="502"/>
      <c r="T290" s="502"/>
      <c r="U290" s="502"/>
    </row>
  </sheetData>
  <hyperlinks>
    <hyperlink ref="J9" r:id="rId1" xr:uid="{00000000-0004-0000-3100-000000000000}"/>
    <hyperlink ref="N230" r:id="rId2" xr:uid="{00000000-0004-0000-3100-000001000000}"/>
  </hyperlinks>
  <printOptions horizontalCentered="1" verticalCentered="1"/>
  <pageMargins left="0.19685039370078741" right="0.19685039370078741" top="0.27559055118110237" bottom="0.27559055118110237" header="0" footer="0"/>
  <pageSetup scale="40" orientation="landscape" r:id="rId3"/>
  <headerFooter alignWithMargins="0"/>
  <rowBreaks count="3" manualBreakCount="3">
    <brk id="61" max="20" man="1"/>
    <brk id="134" max="20" man="1"/>
    <brk id="195" max="20" man="1"/>
  </rowBreaks>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89CB31"/>
  </sheetPr>
  <dimension ref="A1:W290"/>
  <sheetViews>
    <sheetView showGridLines="0" showOutlineSymbols="0" zoomScale="70" zoomScaleNormal="70" workbookViewId="0"/>
  </sheetViews>
  <sheetFormatPr defaultColWidth="9.6328125" defaultRowHeight="15.6" x14ac:dyDescent="0.3"/>
  <cols>
    <col min="1" max="1" width="4" style="406" customWidth="1"/>
    <col min="2" max="2" width="71.1796875" style="406" customWidth="1"/>
    <col min="3" max="3" width="2.1796875" style="406" customWidth="1"/>
    <col min="4" max="4" width="19.36328125" style="406" customWidth="1"/>
    <col min="5" max="5" width="2.1796875" style="406" customWidth="1"/>
    <col min="6" max="6" width="25.08984375" style="406" customWidth="1"/>
    <col min="7" max="7" width="2.1796875" style="406" customWidth="1"/>
    <col min="8" max="8" width="16.1796875" style="406" customWidth="1"/>
    <col min="9" max="9" width="2.1796875" style="406" customWidth="1"/>
    <col min="10" max="10" width="17.90625" style="406" customWidth="1"/>
    <col min="11" max="11" width="2.36328125" style="406" customWidth="1"/>
    <col min="12" max="12" width="14.90625" style="406" customWidth="1"/>
    <col min="13" max="13" width="2.36328125" style="406" customWidth="1"/>
    <col min="14" max="14" width="15.54296875" style="406" customWidth="1"/>
    <col min="15" max="15" width="2.1796875" style="406" customWidth="1"/>
    <col min="16" max="16" width="15.54296875" style="406" customWidth="1"/>
    <col min="17" max="18" width="12.6328125" style="406" customWidth="1"/>
    <col min="19" max="19" width="9.6328125" style="406" customWidth="1"/>
    <col min="20" max="20" width="14.6328125" style="406" customWidth="1"/>
    <col min="21" max="21" width="11.81640625" style="406" customWidth="1"/>
    <col min="22" max="16384" width="9.6328125" style="406"/>
  </cols>
  <sheetData>
    <row r="1" spans="1:22" ht="21" x14ac:dyDescent="0.4">
      <c r="A1" s="403"/>
      <c r="B1" s="602" t="s">
        <v>181</v>
      </c>
      <c r="C1" s="404" t="s">
        <v>263</v>
      </c>
      <c r="D1" s="404"/>
      <c r="E1" s="404"/>
      <c r="F1" s="404"/>
      <c r="G1" s="404"/>
      <c r="H1" s="404"/>
      <c r="I1" s="404"/>
      <c r="J1" s="404"/>
      <c r="K1" s="404"/>
      <c r="L1" s="404"/>
      <c r="M1" s="404"/>
      <c r="N1" s="404"/>
      <c r="O1" s="404"/>
      <c r="P1" s="404"/>
      <c r="Q1" s="404"/>
      <c r="R1" s="404"/>
      <c r="S1" s="404"/>
      <c r="T1" s="404"/>
      <c r="U1" s="404"/>
      <c r="V1" s="405"/>
    </row>
    <row r="2" spans="1:22" x14ac:dyDescent="0.3">
      <c r="A2" s="407"/>
      <c r="B2" s="408"/>
      <c r="C2" s="409"/>
      <c r="D2" s="409"/>
      <c r="E2" s="409"/>
      <c r="F2" s="409"/>
      <c r="G2" s="409"/>
      <c r="H2" s="409"/>
      <c r="I2" s="409"/>
      <c r="J2" s="409"/>
      <c r="K2" s="409"/>
      <c r="L2" s="409"/>
      <c r="M2" s="409"/>
      <c r="N2" s="409"/>
      <c r="O2" s="409"/>
      <c r="P2" s="409"/>
      <c r="Q2" s="409"/>
      <c r="R2" s="409"/>
      <c r="S2" s="409"/>
      <c r="T2" s="409"/>
      <c r="U2" s="409"/>
      <c r="V2" s="405"/>
    </row>
    <row r="3" spans="1:22" x14ac:dyDescent="0.3">
      <c r="A3" s="410"/>
      <c r="B3" s="411" t="s">
        <v>182</v>
      </c>
      <c r="C3" s="409"/>
      <c r="D3" s="409"/>
      <c r="E3" s="409"/>
      <c r="F3" s="409"/>
      <c r="G3" s="409"/>
      <c r="H3" s="409"/>
      <c r="I3" s="409"/>
      <c r="J3" s="409"/>
      <c r="K3" s="409"/>
      <c r="L3" s="409"/>
      <c r="M3" s="409"/>
      <c r="N3" s="409"/>
      <c r="O3" s="409"/>
      <c r="P3" s="409"/>
      <c r="Q3" s="409"/>
      <c r="R3" s="409"/>
      <c r="S3" s="409"/>
      <c r="T3" s="409"/>
      <c r="U3" s="409"/>
      <c r="V3" s="405"/>
    </row>
    <row r="4" spans="1:22" x14ac:dyDescent="0.3">
      <c r="A4" s="407"/>
      <c r="B4" s="408"/>
      <c r="C4" s="409"/>
      <c r="D4" s="409"/>
      <c r="E4" s="409"/>
      <c r="F4" s="409"/>
      <c r="G4" s="409"/>
      <c r="H4" s="409"/>
      <c r="I4" s="409"/>
      <c r="J4" s="409"/>
      <c r="K4" s="409"/>
      <c r="L4" s="409"/>
      <c r="M4" s="409"/>
      <c r="N4" s="409"/>
      <c r="O4" s="409"/>
      <c r="P4" s="409"/>
      <c r="Q4" s="409"/>
      <c r="R4" s="409"/>
      <c r="S4" s="409"/>
      <c r="T4" s="409"/>
      <c r="U4" s="409"/>
      <c r="V4" s="405"/>
    </row>
    <row r="5" spans="1:22" x14ac:dyDescent="0.3">
      <c r="A5" s="407"/>
      <c r="B5" s="601" t="s">
        <v>146</v>
      </c>
      <c r="C5" s="409"/>
      <c r="D5" s="409"/>
      <c r="E5" s="409"/>
      <c r="F5" s="409"/>
      <c r="G5" s="409"/>
      <c r="H5" s="409"/>
      <c r="I5" s="409"/>
      <c r="J5" s="409"/>
      <c r="K5" s="409"/>
      <c r="L5" s="409"/>
      <c r="M5" s="409"/>
      <c r="N5" s="409"/>
      <c r="O5" s="409"/>
      <c r="P5" s="409"/>
      <c r="Q5" s="409"/>
      <c r="R5" s="409"/>
      <c r="S5" s="409"/>
      <c r="T5" s="409"/>
      <c r="U5" s="409"/>
      <c r="V5" s="405"/>
    </row>
    <row r="6" spans="1:22" x14ac:dyDescent="0.3">
      <c r="A6" s="407"/>
      <c r="B6" s="601" t="s">
        <v>148</v>
      </c>
      <c r="C6" s="409"/>
      <c r="D6" s="409"/>
      <c r="E6" s="409"/>
      <c r="F6" s="409"/>
      <c r="G6" s="409"/>
      <c r="H6" s="409"/>
      <c r="I6" s="409"/>
      <c r="J6" s="409"/>
      <c r="K6" s="409"/>
      <c r="L6" s="409"/>
      <c r="M6" s="409"/>
      <c r="N6" s="409"/>
      <c r="O6" s="409"/>
      <c r="P6" s="409"/>
      <c r="Q6" s="409"/>
      <c r="R6" s="409"/>
      <c r="S6" s="409"/>
      <c r="T6" s="409"/>
      <c r="U6" s="409"/>
      <c r="V6" s="405"/>
    </row>
    <row r="7" spans="1:22" x14ac:dyDescent="0.3">
      <c r="A7" s="407"/>
      <c r="B7" s="601" t="s">
        <v>147</v>
      </c>
      <c r="C7" s="409"/>
      <c r="D7" s="409"/>
      <c r="E7" s="409"/>
      <c r="F7" s="409"/>
      <c r="G7" s="409"/>
      <c r="H7" s="409"/>
      <c r="I7" s="409"/>
      <c r="J7" s="409"/>
      <c r="K7" s="409"/>
      <c r="L7" s="409"/>
      <c r="M7" s="409"/>
      <c r="N7" s="409"/>
      <c r="O7" s="409"/>
      <c r="P7" s="409"/>
      <c r="Q7" s="409"/>
      <c r="R7" s="409"/>
      <c r="S7" s="409"/>
      <c r="T7" s="409"/>
      <c r="U7" s="409"/>
      <c r="V7" s="405"/>
    </row>
    <row r="8" spans="1:22" x14ac:dyDescent="0.3">
      <c r="A8" s="407"/>
      <c r="B8" s="412"/>
      <c r="C8" s="409"/>
      <c r="D8" s="409"/>
      <c r="E8" s="409"/>
      <c r="F8" s="409"/>
      <c r="G8" s="409"/>
      <c r="H8" s="409"/>
      <c r="I8" s="409"/>
      <c r="J8" s="409"/>
      <c r="K8" s="409"/>
      <c r="L8" s="409"/>
      <c r="M8" s="409"/>
      <c r="N8" s="409"/>
      <c r="O8" s="409"/>
      <c r="P8" s="409"/>
      <c r="Q8" s="409"/>
      <c r="R8" s="409"/>
      <c r="S8" s="409"/>
      <c r="T8" s="409"/>
      <c r="U8" s="409"/>
      <c r="V8" s="405"/>
    </row>
    <row r="9" spans="1:22" ht="18" x14ac:dyDescent="0.35">
      <c r="A9" s="407"/>
      <c r="B9" s="413" t="s">
        <v>206</v>
      </c>
      <c r="C9" s="409"/>
      <c r="D9" s="409"/>
      <c r="E9" s="409"/>
      <c r="F9" s="409"/>
      <c r="G9" s="409"/>
      <c r="H9" s="409"/>
      <c r="I9" s="409"/>
      <c r="J9" s="414" t="s">
        <v>347</v>
      </c>
      <c r="K9" s="409"/>
      <c r="L9" s="409"/>
      <c r="M9" s="409"/>
      <c r="N9" s="409"/>
      <c r="O9" s="409"/>
      <c r="P9" s="409"/>
      <c r="Q9" s="409"/>
      <c r="R9" s="409"/>
      <c r="S9" s="409"/>
      <c r="T9" s="409"/>
      <c r="U9" s="409"/>
      <c r="V9" s="405"/>
    </row>
    <row r="10" spans="1:22" x14ac:dyDescent="0.3">
      <c r="A10" s="407"/>
      <c r="B10" s="412"/>
      <c r="C10" s="415"/>
      <c r="D10" s="415"/>
      <c r="E10" s="415"/>
      <c r="F10" s="409"/>
      <c r="G10" s="409"/>
      <c r="H10" s="409"/>
      <c r="I10" s="409"/>
      <c r="J10" s="409"/>
      <c r="K10" s="409"/>
      <c r="L10" s="409"/>
      <c r="M10" s="409"/>
      <c r="N10" s="409"/>
      <c r="O10" s="409"/>
      <c r="P10" s="409"/>
      <c r="Q10" s="409"/>
      <c r="R10" s="409"/>
      <c r="S10" s="409"/>
      <c r="T10" s="409"/>
      <c r="U10" s="409"/>
      <c r="V10" s="405"/>
    </row>
    <row r="11" spans="1:22" x14ac:dyDescent="0.3">
      <c r="A11" s="407"/>
      <c r="B11" s="545" t="s">
        <v>0</v>
      </c>
      <c r="C11" s="542"/>
      <c r="D11" s="542"/>
      <c r="E11" s="542"/>
      <c r="F11" s="542"/>
      <c r="G11" s="542"/>
      <c r="H11" s="542"/>
      <c r="I11" s="542"/>
      <c r="J11" s="542"/>
      <c r="K11" s="542"/>
      <c r="L11" s="542"/>
      <c r="M11" s="542"/>
      <c r="N11" s="542"/>
      <c r="O11" s="542"/>
      <c r="P11" s="542"/>
      <c r="Q11" s="542"/>
      <c r="R11" s="542"/>
      <c r="S11" s="542"/>
      <c r="T11" s="542"/>
      <c r="U11" s="409"/>
      <c r="V11" s="405"/>
    </row>
    <row r="12" spans="1:22" ht="16.2" thickBot="1" x14ac:dyDescent="0.35">
      <c r="A12" s="407"/>
      <c r="B12" s="545"/>
      <c r="C12" s="542"/>
      <c r="D12" s="542"/>
      <c r="E12" s="542"/>
      <c r="F12" s="542"/>
      <c r="G12" s="542"/>
      <c r="H12" s="542"/>
      <c r="I12" s="542"/>
      <c r="J12" s="542"/>
      <c r="K12" s="542"/>
      <c r="L12" s="542"/>
      <c r="M12" s="542"/>
      <c r="N12" s="542"/>
      <c r="O12" s="542"/>
      <c r="P12" s="542"/>
      <c r="Q12" s="542"/>
      <c r="R12" s="542"/>
      <c r="S12" s="542"/>
      <c r="T12" s="542"/>
      <c r="U12" s="409"/>
      <c r="V12" s="405"/>
    </row>
    <row r="13" spans="1:22" x14ac:dyDescent="0.3">
      <c r="A13" s="403"/>
      <c r="B13" s="593"/>
      <c r="C13" s="593"/>
      <c r="D13" s="593"/>
      <c r="E13" s="593"/>
      <c r="F13" s="593"/>
      <c r="G13" s="593"/>
      <c r="H13" s="593"/>
      <c r="I13" s="593"/>
      <c r="J13" s="593"/>
      <c r="K13" s="593"/>
      <c r="L13" s="593"/>
      <c r="M13" s="593"/>
      <c r="N13" s="593"/>
      <c r="O13" s="593"/>
      <c r="P13" s="593"/>
      <c r="Q13" s="593"/>
      <c r="R13" s="593"/>
      <c r="S13" s="593"/>
      <c r="T13" s="593"/>
      <c r="U13" s="404"/>
      <c r="V13" s="405"/>
    </row>
    <row r="14" spans="1:22" x14ac:dyDescent="0.3">
      <c r="A14" s="407"/>
      <c r="B14" s="545" t="s">
        <v>1</v>
      </c>
      <c r="C14" s="542"/>
      <c r="D14" s="542"/>
      <c r="E14" s="542"/>
      <c r="F14" s="542"/>
      <c r="G14" s="542"/>
      <c r="H14" s="542"/>
      <c r="I14" s="542"/>
      <c r="J14" s="542"/>
      <c r="K14" s="542"/>
      <c r="L14" s="542"/>
      <c r="M14" s="542"/>
      <c r="N14" s="542"/>
      <c r="O14" s="542"/>
      <c r="P14" s="542"/>
      <c r="Q14" s="542"/>
      <c r="R14" s="542"/>
      <c r="S14" s="542"/>
      <c r="T14" s="594" t="s">
        <v>183</v>
      </c>
      <c r="U14" s="416"/>
      <c r="V14" s="405"/>
    </row>
    <row r="15" spans="1:22" x14ac:dyDescent="0.3">
      <c r="A15" s="407"/>
      <c r="B15" s="545" t="s">
        <v>2</v>
      </c>
      <c r="C15" s="542"/>
      <c r="D15" s="542"/>
      <c r="E15" s="542"/>
      <c r="F15" s="542"/>
      <c r="G15" s="542"/>
      <c r="H15" s="595"/>
      <c r="I15" s="595"/>
      <c r="J15" s="595"/>
      <c r="K15" s="595"/>
      <c r="L15" s="595"/>
      <c r="M15" s="595"/>
      <c r="N15" s="595"/>
      <c r="O15" s="595"/>
      <c r="P15" s="595" t="s">
        <v>110</v>
      </c>
      <c r="Q15" s="596">
        <v>0.59430000000000005</v>
      </c>
      <c r="R15" s="546" t="s">
        <v>149</v>
      </c>
      <c r="S15" s="596">
        <v>0.40570000000000001</v>
      </c>
      <c r="T15" s="594"/>
      <c r="U15" s="416"/>
      <c r="V15" s="405"/>
    </row>
    <row r="16" spans="1:22" x14ac:dyDescent="0.3">
      <c r="A16" s="407"/>
      <c r="B16" s="545" t="s">
        <v>3</v>
      </c>
      <c r="C16" s="542"/>
      <c r="D16" s="542"/>
      <c r="E16" s="542"/>
      <c r="F16" s="542"/>
      <c r="G16" s="542"/>
      <c r="H16" s="595"/>
      <c r="I16" s="595"/>
      <c r="J16" s="595"/>
      <c r="K16" s="595"/>
      <c r="L16" s="595"/>
      <c r="M16" s="595"/>
      <c r="N16" s="595"/>
      <c r="O16" s="595"/>
      <c r="P16" s="595" t="s">
        <v>110</v>
      </c>
      <c r="Q16" s="596">
        <v>0.73299999999999998</v>
      </c>
      <c r="R16" s="546" t="s">
        <v>149</v>
      </c>
      <c r="S16" s="596">
        <v>0.26700000000000002</v>
      </c>
      <c r="T16" s="594"/>
      <c r="U16" s="416"/>
      <c r="V16" s="405"/>
    </row>
    <row r="17" spans="1:22" x14ac:dyDescent="0.3">
      <c r="A17" s="407"/>
      <c r="B17" s="545" t="s">
        <v>4</v>
      </c>
      <c r="C17" s="542"/>
      <c r="D17" s="542"/>
      <c r="E17" s="542"/>
      <c r="F17" s="542"/>
      <c r="G17" s="542"/>
      <c r="H17" s="542"/>
      <c r="I17" s="542"/>
      <c r="J17" s="542"/>
      <c r="K17" s="542"/>
      <c r="L17" s="542"/>
      <c r="M17" s="542"/>
      <c r="N17" s="542"/>
      <c r="O17" s="542"/>
      <c r="P17" s="542"/>
      <c r="Q17" s="597"/>
      <c r="R17" s="542"/>
      <c r="S17" s="542"/>
      <c r="T17" s="598">
        <v>38552</v>
      </c>
      <c r="U17" s="416"/>
      <c r="V17" s="405"/>
    </row>
    <row r="18" spans="1:22" x14ac:dyDescent="0.3">
      <c r="A18" s="407"/>
      <c r="B18" s="545" t="s">
        <v>5</v>
      </c>
      <c r="C18" s="542"/>
      <c r="D18" s="542"/>
      <c r="E18" s="542"/>
      <c r="F18" s="542"/>
      <c r="G18" s="542"/>
      <c r="H18" s="542"/>
      <c r="I18" s="542"/>
      <c r="J18" s="542"/>
      <c r="K18" s="542"/>
      <c r="L18" s="542"/>
      <c r="M18" s="542"/>
      <c r="N18" s="542"/>
      <c r="O18" s="542"/>
      <c r="P18" s="542"/>
      <c r="Q18" s="542"/>
      <c r="R18" s="542"/>
      <c r="S18" s="542"/>
      <c r="T18" s="598">
        <v>43238</v>
      </c>
      <c r="U18" s="416"/>
      <c r="V18" s="405"/>
    </row>
    <row r="19" spans="1:22" x14ac:dyDescent="0.3">
      <c r="A19" s="407"/>
      <c r="B19" s="542"/>
      <c r="C19" s="542"/>
      <c r="D19" s="542"/>
      <c r="E19" s="542"/>
      <c r="F19" s="542"/>
      <c r="G19" s="542"/>
      <c r="H19" s="542"/>
      <c r="I19" s="542"/>
      <c r="J19" s="542"/>
      <c r="K19" s="542"/>
      <c r="L19" s="542"/>
      <c r="M19" s="542"/>
      <c r="N19" s="542"/>
      <c r="O19" s="542"/>
      <c r="P19" s="542"/>
      <c r="Q19" s="542"/>
      <c r="R19" s="542"/>
      <c r="S19" s="542"/>
      <c r="T19" s="599"/>
      <c r="U19" s="409"/>
      <c r="V19" s="405"/>
    </row>
    <row r="20" spans="1:22" x14ac:dyDescent="0.3">
      <c r="A20" s="407"/>
      <c r="B20" s="600" t="s">
        <v>6</v>
      </c>
      <c r="C20" s="542"/>
      <c r="D20" s="542"/>
      <c r="E20" s="542"/>
      <c r="F20" s="542"/>
      <c r="G20" s="542"/>
      <c r="H20" s="542"/>
      <c r="I20" s="542"/>
      <c r="J20" s="542"/>
      <c r="K20" s="542"/>
      <c r="L20" s="542"/>
      <c r="M20" s="542"/>
      <c r="N20" s="542"/>
      <c r="O20" s="542"/>
      <c r="P20" s="542"/>
      <c r="Q20" s="542"/>
      <c r="R20" s="599" t="s">
        <v>111</v>
      </c>
      <c r="S20" s="542"/>
      <c r="T20" s="542"/>
      <c r="U20" s="409"/>
      <c r="V20" s="405"/>
    </row>
    <row r="21" spans="1:22" x14ac:dyDescent="0.3">
      <c r="A21" s="407"/>
      <c r="B21" s="409"/>
      <c r="C21" s="409"/>
      <c r="D21" s="409"/>
      <c r="E21" s="409"/>
      <c r="F21" s="409"/>
      <c r="G21" s="409"/>
      <c r="H21" s="409"/>
      <c r="I21" s="409"/>
      <c r="J21" s="409"/>
      <c r="K21" s="409"/>
      <c r="L21" s="409"/>
      <c r="M21" s="409"/>
      <c r="N21" s="409"/>
      <c r="O21" s="409"/>
      <c r="P21" s="409"/>
      <c r="Q21" s="409"/>
      <c r="R21" s="409"/>
      <c r="S21" s="409"/>
      <c r="T21" s="417"/>
      <c r="U21" s="409"/>
      <c r="V21" s="405"/>
    </row>
    <row r="22" spans="1:22" x14ac:dyDescent="0.3">
      <c r="A22" s="503"/>
      <c r="B22" s="608"/>
      <c r="C22" s="609"/>
      <c r="D22" s="609" t="s">
        <v>185</v>
      </c>
      <c r="E22" s="609"/>
      <c r="F22" s="609" t="s">
        <v>186</v>
      </c>
      <c r="G22" s="609"/>
      <c r="H22" s="609" t="s">
        <v>187</v>
      </c>
      <c r="I22" s="609"/>
      <c r="J22" s="609" t="s">
        <v>188</v>
      </c>
      <c r="K22" s="609"/>
      <c r="L22" s="609" t="s">
        <v>189</v>
      </c>
      <c r="M22" s="609"/>
      <c r="N22" s="609" t="s">
        <v>190</v>
      </c>
      <c r="O22" s="609"/>
      <c r="P22" s="609" t="s">
        <v>191</v>
      </c>
      <c r="Q22" s="610"/>
      <c r="R22" s="610"/>
      <c r="S22" s="608"/>
      <c r="T22" s="608"/>
      <c r="U22" s="611"/>
      <c r="V22" s="405"/>
    </row>
    <row r="23" spans="1:22" x14ac:dyDescent="0.3">
      <c r="A23" s="604"/>
      <c r="B23" s="605" t="s">
        <v>7</v>
      </c>
      <c r="C23" s="606"/>
      <c r="D23" s="606" t="s">
        <v>150</v>
      </c>
      <c r="E23" s="606"/>
      <c r="F23" s="606" t="s">
        <v>150</v>
      </c>
      <c r="G23" s="606"/>
      <c r="H23" s="606" t="s">
        <v>150</v>
      </c>
      <c r="I23" s="606"/>
      <c r="J23" s="606" t="s">
        <v>192</v>
      </c>
      <c r="K23" s="606"/>
      <c r="L23" s="606" t="s">
        <v>192</v>
      </c>
      <c r="M23" s="606"/>
      <c r="N23" s="606" t="s">
        <v>151</v>
      </c>
      <c r="O23" s="606"/>
      <c r="P23" s="606" t="s">
        <v>151</v>
      </c>
      <c r="Q23" s="606"/>
      <c r="R23" s="606"/>
      <c r="S23" s="605"/>
      <c r="T23" s="605"/>
      <c r="U23" s="607"/>
      <c r="V23" s="405"/>
    </row>
    <row r="24" spans="1:22" x14ac:dyDescent="0.3">
      <c r="A24" s="418"/>
      <c r="B24" s="532" t="s">
        <v>8</v>
      </c>
      <c r="C24" s="582"/>
      <c r="D24" s="582" t="s">
        <v>152</v>
      </c>
      <c r="E24" s="582"/>
      <c r="F24" s="582" t="s">
        <v>152</v>
      </c>
      <c r="G24" s="582"/>
      <c r="H24" s="582" t="s">
        <v>152</v>
      </c>
      <c r="I24" s="582"/>
      <c r="J24" s="582" t="s">
        <v>193</v>
      </c>
      <c r="K24" s="582"/>
      <c r="L24" s="582" t="s">
        <v>193</v>
      </c>
      <c r="M24" s="582"/>
      <c r="N24" s="582" t="s">
        <v>153</v>
      </c>
      <c r="O24" s="582"/>
      <c r="P24" s="582" t="s">
        <v>153</v>
      </c>
      <c r="Q24" s="582"/>
      <c r="R24" s="582"/>
      <c r="S24" s="532"/>
      <c r="T24" s="532"/>
      <c r="U24" s="420"/>
      <c r="V24" s="405"/>
    </row>
    <row r="25" spans="1:22" x14ac:dyDescent="0.3">
      <c r="A25" s="421"/>
      <c r="B25" s="536" t="s">
        <v>9</v>
      </c>
      <c r="C25" s="583"/>
      <c r="D25" s="583" t="s">
        <v>329</v>
      </c>
      <c r="E25" s="583"/>
      <c r="F25" s="583" t="s">
        <v>329</v>
      </c>
      <c r="G25" s="583"/>
      <c r="H25" s="583" t="s">
        <v>329</v>
      </c>
      <c r="I25" s="583"/>
      <c r="J25" s="583" t="s">
        <v>334</v>
      </c>
      <c r="K25" s="583"/>
      <c r="L25" s="583" t="s">
        <v>334</v>
      </c>
      <c r="M25" s="583"/>
      <c r="N25" s="583" t="s">
        <v>330</v>
      </c>
      <c r="O25" s="583"/>
      <c r="P25" s="583" t="s">
        <v>330</v>
      </c>
      <c r="Q25" s="583"/>
      <c r="R25" s="582"/>
      <c r="S25" s="532"/>
      <c r="T25" s="532"/>
      <c r="U25" s="420"/>
      <c r="V25" s="405"/>
    </row>
    <row r="26" spans="1:22" x14ac:dyDescent="0.3">
      <c r="A26" s="421"/>
      <c r="B26" s="536" t="s">
        <v>10</v>
      </c>
      <c r="C26" s="583"/>
      <c r="D26" s="583" t="s">
        <v>339</v>
      </c>
      <c r="E26" s="583"/>
      <c r="F26" s="583" t="s">
        <v>339</v>
      </c>
      <c r="G26" s="583"/>
      <c r="H26" s="583" t="s">
        <v>339</v>
      </c>
      <c r="I26" s="583"/>
      <c r="J26" s="583" t="s">
        <v>339</v>
      </c>
      <c r="K26" s="583"/>
      <c r="L26" s="583" t="s">
        <v>339</v>
      </c>
      <c r="M26" s="583"/>
      <c r="N26" s="583" t="s">
        <v>314</v>
      </c>
      <c r="O26" s="583"/>
      <c r="P26" s="583" t="s">
        <v>314</v>
      </c>
      <c r="Q26" s="583"/>
      <c r="R26" s="582"/>
      <c r="S26" s="532"/>
      <c r="T26" s="532"/>
      <c r="U26" s="420"/>
      <c r="V26" s="405"/>
    </row>
    <row r="27" spans="1:22" x14ac:dyDescent="0.3">
      <c r="A27" s="418"/>
      <c r="B27" s="532" t="s">
        <v>11</v>
      </c>
      <c r="C27" s="582"/>
      <c r="D27" s="582" t="s">
        <v>194</v>
      </c>
      <c r="E27" s="582"/>
      <c r="F27" s="552" t="s">
        <v>195</v>
      </c>
      <c r="G27" s="582"/>
      <c r="H27" s="582" t="s">
        <v>196</v>
      </c>
      <c r="I27" s="582"/>
      <c r="J27" s="582" t="s">
        <v>198</v>
      </c>
      <c r="K27" s="582"/>
      <c r="L27" s="582" t="s">
        <v>199</v>
      </c>
      <c r="M27" s="582"/>
      <c r="N27" s="582" t="s">
        <v>200</v>
      </c>
      <c r="O27" s="582"/>
      <c r="P27" s="582" t="s">
        <v>201</v>
      </c>
      <c r="Q27" s="582"/>
      <c r="R27" s="552"/>
      <c r="S27" s="532"/>
      <c r="T27" s="532"/>
      <c r="U27" s="420"/>
      <c r="V27" s="405"/>
    </row>
    <row r="28" spans="1:22" x14ac:dyDescent="0.3">
      <c r="A28" s="418"/>
      <c r="B28" s="532" t="s">
        <v>11</v>
      </c>
      <c r="C28" s="582"/>
      <c r="D28" s="582" t="s">
        <v>127</v>
      </c>
      <c r="E28" s="582"/>
      <c r="F28" s="552" t="s">
        <v>127</v>
      </c>
      <c r="G28" s="582"/>
      <c r="H28" s="582" t="s">
        <v>197</v>
      </c>
      <c r="I28" s="582"/>
      <c r="J28" s="582" t="s">
        <v>127</v>
      </c>
      <c r="K28" s="582"/>
      <c r="L28" s="582" t="s">
        <v>127</v>
      </c>
      <c r="M28" s="582"/>
      <c r="N28" s="582" t="s">
        <v>127</v>
      </c>
      <c r="O28" s="582"/>
      <c r="P28" s="582" t="s">
        <v>127</v>
      </c>
      <c r="Q28" s="582"/>
      <c r="R28" s="552"/>
      <c r="S28" s="532"/>
      <c r="T28" s="532"/>
      <c r="U28" s="420"/>
      <c r="V28" s="405"/>
    </row>
    <row r="29" spans="1:22" x14ac:dyDescent="0.3">
      <c r="A29" s="418"/>
      <c r="B29" s="532" t="s">
        <v>142</v>
      </c>
      <c r="C29" s="584"/>
      <c r="D29" s="577">
        <v>346000</v>
      </c>
      <c r="E29" s="584"/>
      <c r="F29" s="585">
        <v>355000</v>
      </c>
      <c r="G29" s="577"/>
      <c r="H29" s="586">
        <v>60000</v>
      </c>
      <c r="I29" s="577"/>
      <c r="J29" s="577">
        <v>7000</v>
      </c>
      <c r="K29" s="577"/>
      <c r="L29" s="585">
        <v>29500</v>
      </c>
      <c r="M29" s="577"/>
      <c r="N29" s="587">
        <v>3000</v>
      </c>
      <c r="O29" s="577"/>
      <c r="P29" s="585">
        <v>66000</v>
      </c>
      <c r="Q29" s="577"/>
      <c r="R29" s="577"/>
      <c r="S29" s="584"/>
      <c r="T29" s="577"/>
      <c r="U29" s="423"/>
      <c r="V29" s="405"/>
    </row>
    <row r="30" spans="1:22" x14ac:dyDescent="0.3">
      <c r="A30" s="418"/>
      <c r="B30" s="532" t="s">
        <v>141</v>
      </c>
      <c r="C30" s="584"/>
      <c r="D30" s="577">
        <f>D29*D36</f>
        <v>99288.506000000008</v>
      </c>
      <c r="E30" s="584"/>
      <c r="F30" s="585">
        <f>F29*F36</f>
        <v>101871.15500000001</v>
      </c>
      <c r="G30" s="577"/>
      <c r="H30" s="586">
        <f>H29*H36</f>
        <v>17217.522000000001</v>
      </c>
      <c r="I30" s="577"/>
      <c r="J30" s="577">
        <f>J29*J36</f>
        <v>4570.8487999999998</v>
      </c>
      <c r="K30" s="577"/>
      <c r="L30" s="585">
        <f>L29*L36</f>
        <v>19262.862799999999</v>
      </c>
      <c r="M30" s="577"/>
      <c r="N30" s="587">
        <f>N29*N36</f>
        <v>1958.9351999999999</v>
      </c>
      <c r="O30" s="577"/>
      <c r="P30" s="585">
        <f>P29*P36</f>
        <v>43096.574399999998</v>
      </c>
      <c r="Q30" s="577"/>
      <c r="R30" s="577"/>
      <c r="S30" s="584"/>
      <c r="T30" s="577"/>
      <c r="U30" s="423"/>
      <c r="V30" s="405"/>
    </row>
    <row r="31" spans="1:22" x14ac:dyDescent="0.3">
      <c r="A31" s="421"/>
      <c r="B31" s="536" t="s">
        <v>143</v>
      </c>
      <c r="C31" s="588"/>
      <c r="D31" s="589">
        <f>D35*D29</f>
        <v>97659.122799999997</v>
      </c>
      <c r="E31" s="588"/>
      <c r="F31" s="590">
        <f>F35*F29</f>
        <v>100199.389</v>
      </c>
      <c r="G31" s="589"/>
      <c r="H31" s="591">
        <f>H35*H29</f>
        <v>16934.969999999998</v>
      </c>
      <c r="I31" s="589"/>
      <c r="J31" s="589">
        <f>J35*J29</f>
        <v>4495.8382000000001</v>
      </c>
      <c r="K31" s="589"/>
      <c r="L31" s="590">
        <f>L35*L29</f>
        <v>18946.7467</v>
      </c>
      <c r="M31" s="589"/>
      <c r="N31" s="592">
        <f>N35*N29</f>
        <v>1926.7878000000001</v>
      </c>
      <c r="O31" s="589"/>
      <c r="P31" s="590">
        <f>P35*P29</f>
        <v>42389.331599999998</v>
      </c>
      <c r="Q31" s="589"/>
      <c r="R31" s="589"/>
      <c r="S31" s="588"/>
      <c r="T31" s="589"/>
      <c r="U31" s="423"/>
      <c r="V31" s="405"/>
    </row>
    <row r="32" spans="1:22" x14ac:dyDescent="0.3">
      <c r="A32" s="418"/>
      <c r="B32" s="532" t="s">
        <v>289</v>
      </c>
      <c r="C32" s="584"/>
      <c r="D32" s="577">
        <v>346000</v>
      </c>
      <c r="E32" s="584"/>
      <c r="F32" s="577">
        <v>244500</v>
      </c>
      <c r="G32" s="577"/>
      <c r="H32" s="577">
        <v>33900</v>
      </c>
      <c r="I32" s="577"/>
      <c r="J32" s="577">
        <v>7000</v>
      </c>
      <c r="K32" s="577"/>
      <c r="L32" s="577">
        <v>20300</v>
      </c>
      <c r="M32" s="577"/>
      <c r="N32" s="577">
        <v>3000</v>
      </c>
      <c r="O32" s="577"/>
      <c r="P32" s="577">
        <v>45300</v>
      </c>
      <c r="Q32" s="577"/>
      <c r="R32" s="577"/>
      <c r="S32" s="584"/>
      <c r="T32" s="577">
        <f>SUM(C32:P32)</f>
        <v>700000</v>
      </c>
      <c r="U32" s="423"/>
      <c r="V32" s="405"/>
    </row>
    <row r="33" spans="1:22" x14ac:dyDescent="0.3">
      <c r="A33" s="418"/>
      <c r="B33" s="532" t="s">
        <v>290</v>
      </c>
      <c r="C33" s="584"/>
      <c r="D33" s="577">
        <f>D32*D36</f>
        <v>99288.506000000008</v>
      </c>
      <c r="E33" s="584"/>
      <c r="F33" s="577">
        <f>F32*F36</f>
        <v>70161.964500000002</v>
      </c>
      <c r="G33" s="577"/>
      <c r="H33" s="577">
        <f>H32*H36</f>
        <v>9727.8999299999996</v>
      </c>
      <c r="I33" s="577"/>
      <c r="J33" s="577">
        <f>J32*J36</f>
        <v>4570.8487999999998</v>
      </c>
      <c r="K33" s="577"/>
      <c r="L33" s="577">
        <f>L32*L36</f>
        <v>13255.461519999999</v>
      </c>
      <c r="M33" s="577"/>
      <c r="N33" s="577">
        <f>N32*N36</f>
        <v>1958.9351999999999</v>
      </c>
      <c r="O33" s="577"/>
      <c r="P33" s="577">
        <f>P32*P36</f>
        <v>29579.92152</v>
      </c>
      <c r="Q33" s="577"/>
      <c r="R33" s="577"/>
      <c r="S33" s="584"/>
      <c r="T33" s="577">
        <f>SUM(C33:P33)</f>
        <v>228543.53747000004</v>
      </c>
      <c r="U33" s="423"/>
      <c r="V33" s="405"/>
    </row>
    <row r="34" spans="1:22" x14ac:dyDescent="0.3">
      <c r="A34" s="421"/>
      <c r="B34" s="536" t="s">
        <v>291</v>
      </c>
      <c r="C34" s="588"/>
      <c r="D34" s="589">
        <f>D35*D32</f>
        <v>97659.122799999997</v>
      </c>
      <c r="E34" s="588"/>
      <c r="F34" s="589">
        <f>F35*F32</f>
        <v>69010.565099999993</v>
      </c>
      <c r="G34" s="589"/>
      <c r="H34" s="589">
        <f>H35*H32</f>
        <v>9568.2580500000004</v>
      </c>
      <c r="I34" s="589"/>
      <c r="J34" s="589">
        <f>J35*J32</f>
        <v>4495.8382000000001</v>
      </c>
      <c r="K34" s="589"/>
      <c r="L34" s="589">
        <f>L35*L32</f>
        <v>13037.930780000001</v>
      </c>
      <c r="M34" s="589"/>
      <c r="N34" s="589">
        <f>N35*N32</f>
        <v>1926.7878000000001</v>
      </c>
      <c r="O34" s="589"/>
      <c r="P34" s="589">
        <f>P35*P32</f>
        <v>29094.495780000001</v>
      </c>
      <c r="Q34" s="589"/>
      <c r="R34" s="589"/>
      <c r="S34" s="588"/>
      <c r="T34" s="589">
        <f>SUM(C34:P34)</f>
        <v>224792.99850999998</v>
      </c>
      <c r="U34" s="423"/>
      <c r="V34" s="405"/>
    </row>
    <row r="35" spans="1:22" x14ac:dyDescent="0.3">
      <c r="A35" s="421"/>
      <c r="B35" s="514" t="s">
        <v>139</v>
      </c>
      <c r="C35" s="515"/>
      <c r="D35" s="516">
        <v>0.2822518</v>
      </c>
      <c r="E35" s="517"/>
      <c r="F35" s="516">
        <v>0.2822518</v>
      </c>
      <c r="G35" s="516"/>
      <c r="H35" s="516">
        <v>0.28224949999999999</v>
      </c>
      <c r="I35" s="518"/>
      <c r="J35" s="516">
        <v>0.64226260000000002</v>
      </c>
      <c r="K35" s="516"/>
      <c r="L35" s="516">
        <v>0.64226260000000002</v>
      </c>
      <c r="M35" s="518"/>
      <c r="N35" s="516">
        <v>0.64226260000000002</v>
      </c>
      <c r="O35" s="516"/>
      <c r="P35" s="516">
        <v>0.64226260000000002</v>
      </c>
      <c r="Q35" s="424"/>
      <c r="R35" s="424"/>
      <c r="S35" s="425"/>
      <c r="T35" s="424"/>
      <c r="U35" s="426"/>
      <c r="V35" s="405"/>
    </row>
    <row r="36" spans="1:22" x14ac:dyDescent="0.3">
      <c r="A36" s="421"/>
      <c r="B36" s="514" t="s">
        <v>140</v>
      </c>
      <c r="C36" s="515"/>
      <c r="D36" s="516">
        <v>0.28696100000000002</v>
      </c>
      <c r="E36" s="517"/>
      <c r="F36" s="516">
        <v>0.28696100000000002</v>
      </c>
      <c r="G36" s="516"/>
      <c r="H36" s="516">
        <v>0.28695870000000001</v>
      </c>
      <c r="I36" s="518"/>
      <c r="J36" s="516">
        <v>0.65297839999999996</v>
      </c>
      <c r="K36" s="516"/>
      <c r="L36" s="516">
        <v>0.65297839999999996</v>
      </c>
      <c r="M36" s="518"/>
      <c r="N36" s="516">
        <v>0.65297839999999996</v>
      </c>
      <c r="O36" s="516"/>
      <c r="P36" s="516">
        <v>0.65297839999999996</v>
      </c>
      <c r="Q36" s="427"/>
      <c r="R36" s="427"/>
      <c r="S36" s="425"/>
      <c r="T36" s="424"/>
      <c r="U36" s="426"/>
      <c r="V36" s="405"/>
    </row>
    <row r="37" spans="1:22" x14ac:dyDescent="0.3">
      <c r="A37" s="428"/>
      <c r="B37" s="532" t="s">
        <v>12</v>
      </c>
      <c r="C37" s="532"/>
      <c r="D37" s="552" t="s">
        <v>166</v>
      </c>
      <c r="E37" s="532"/>
      <c r="F37" s="552" t="s">
        <v>166</v>
      </c>
      <c r="G37" s="552"/>
      <c r="H37" s="552" t="s">
        <v>166</v>
      </c>
      <c r="I37" s="552"/>
      <c r="J37" s="552" t="s">
        <v>204</v>
      </c>
      <c r="K37" s="552"/>
      <c r="L37" s="552" t="s">
        <v>204</v>
      </c>
      <c r="M37" s="552"/>
      <c r="N37" s="552" t="s">
        <v>205</v>
      </c>
      <c r="O37" s="552"/>
      <c r="P37" s="552" t="s">
        <v>205</v>
      </c>
      <c r="Q37" s="552"/>
      <c r="R37" s="552"/>
      <c r="S37" s="532"/>
      <c r="T37" s="532"/>
      <c r="U37" s="562"/>
      <c r="V37" s="405"/>
    </row>
    <row r="38" spans="1:22" x14ac:dyDescent="0.3">
      <c r="A38" s="428"/>
      <c r="B38" s="532" t="s">
        <v>13</v>
      </c>
      <c r="C38" s="532"/>
      <c r="D38" s="574">
        <v>9.0662999999999994E-3</v>
      </c>
      <c r="E38" s="532"/>
      <c r="F38" s="574">
        <v>3.1E-4</v>
      </c>
      <c r="G38" s="558"/>
      <c r="H38" s="574">
        <v>2.19875E-2</v>
      </c>
      <c r="I38" s="558"/>
      <c r="J38" s="574">
        <v>1.12663E-2</v>
      </c>
      <c r="K38" s="558"/>
      <c r="L38" s="574">
        <v>2.5100000000000001E-3</v>
      </c>
      <c r="M38" s="558"/>
      <c r="N38" s="574">
        <v>1.58663E-2</v>
      </c>
      <c r="O38" s="558"/>
      <c r="P38" s="574">
        <v>7.11E-3</v>
      </c>
      <c r="Q38" s="558"/>
      <c r="R38" s="574"/>
      <c r="S38" s="532"/>
      <c r="T38" s="558"/>
      <c r="U38" s="562"/>
      <c r="V38" s="405"/>
    </row>
    <row r="39" spans="1:22" x14ac:dyDescent="0.3">
      <c r="A39" s="428"/>
      <c r="B39" s="532" t="s">
        <v>14</v>
      </c>
      <c r="C39" s="532"/>
      <c r="D39" s="574">
        <v>8.8625000000000006E-3</v>
      </c>
      <c r="E39" s="532"/>
      <c r="F39" s="574">
        <v>3.1E-4</v>
      </c>
      <c r="G39" s="558"/>
      <c r="H39" s="574">
        <v>1.7758599999999999E-2</v>
      </c>
      <c r="I39" s="558"/>
      <c r="J39" s="574">
        <v>1.1062499999999999E-2</v>
      </c>
      <c r="K39" s="558"/>
      <c r="L39" s="574">
        <v>2.5100000000000001E-3</v>
      </c>
      <c r="M39" s="558"/>
      <c r="N39" s="574">
        <v>1.5662499999999999E-2</v>
      </c>
      <c r="O39" s="558"/>
      <c r="P39" s="574">
        <v>7.11E-3</v>
      </c>
      <c r="Q39" s="558"/>
      <c r="R39" s="574"/>
      <c r="S39" s="532"/>
      <c r="T39" s="532"/>
      <c r="U39" s="562"/>
      <c r="V39" s="405"/>
    </row>
    <row r="40" spans="1:22" x14ac:dyDescent="0.3">
      <c r="A40" s="428"/>
      <c r="B40" s="532" t="s">
        <v>292</v>
      </c>
      <c r="C40" s="532"/>
      <c r="D40" s="552" t="s">
        <v>166</v>
      </c>
      <c r="E40" s="532"/>
      <c r="F40" s="552" t="s">
        <v>209</v>
      </c>
      <c r="G40" s="552"/>
      <c r="H40" s="552" t="s">
        <v>210</v>
      </c>
      <c r="I40" s="552"/>
      <c r="J40" s="552" t="s">
        <v>204</v>
      </c>
      <c r="K40" s="552"/>
      <c r="L40" s="552" t="s">
        <v>211</v>
      </c>
      <c r="M40" s="552"/>
      <c r="N40" s="552" t="s">
        <v>205</v>
      </c>
      <c r="O40" s="552"/>
      <c r="P40" s="552" t="s">
        <v>212</v>
      </c>
      <c r="Q40" s="558"/>
      <c r="R40" s="574"/>
      <c r="S40" s="532"/>
      <c r="T40" s="558"/>
      <c r="U40" s="562"/>
      <c r="V40" s="405"/>
    </row>
    <row r="41" spans="1:22" x14ac:dyDescent="0.3">
      <c r="A41" s="428"/>
      <c r="B41" s="532" t="s">
        <v>293</v>
      </c>
      <c r="C41" s="532"/>
      <c r="D41" s="574">
        <f>+D38</f>
        <v>9.0662999999999994E-3</v>
      </c>
      <c r="E41" s="532"/>
      <c r="F41" s="574">
        <v>9.2662999999999999E-3</v>
      </c>
      <c r="G41" s="558"/>
      <c r="H41" s="574">
        <v>9.5262999999999997E-3</v>
      </c>
      <c r="I41" s="558"/>
      <c r="J41" s="574">
        <f>+J38</f>
        <v>1.12663E-2</v>
      </c>
      <c r="K41" s="558"/>
      <c r="L41" s="574">
        <v>1.18563E-2</v>
      </c>
      <c r="M41" s="558"/>
      <c r="N41" s="574">
        <f>+N38</f>
        <v>1.58663E-2</v>
      </c>
      <c r="O41" s="558"/>
      <c r="P41" s="574">
        <v>1.6746299999999999E-2</v>
      </c>
      <c r="Q41" s="558"/>
      <c r="R41" s="574"/>
      <c r="S41" s="532"/>
      <c r="T41" s="558">
        <f>SUMPRODUCT(D41:P41,D33:P33)/T33</f>
        <v>1.0405390100250033E-2</v>
      </c>
      <c r="U41" s="562"/>
      <c r="V41" s="405"/>
    </row>
    <row r="42" spans="1:22" x14ac:dyDescent="0.3">
      <c r="A42" s="428"/>
      <c r="B42" s="532" t="s">
        <v>294</v>
      </c>
      <c r="C42" s="532"/>
      <c r="D42" s="574">
        <f>+D39</f>
        <v>8.8625000000000006E-3</v>
      </c>
      <c r="E42" s="532"/>
      <c r="F42" s="574">
        <v>9.0624999999999994E-3</v>
      </c>
      <c r="G42" s="558"/>
      <c r="H42" s="574">
        <v>9.3224999999999992E-3</v>
      </c>
      <c r="I42" s="558"/>
      <c r="J42" s="574">
        <f>+J39</f>
        <v>1.1062499999999999E-2</v>
      </c>
      <c r="K42" s="558"/>
      <c r="L42" s="574">
        <v>1.16525E-2</v>
      </c>
      <c r="M42" s="558"/>
      <c r="N42" s="574">
        <f>+N39</f>
        <v>1.5662499999999999E-2</v>
      </c>
      <c r="O42" s="558"/>
      <c r="P42" s="574">
        <v>1.6542500000000002E-2</v>
      </c>
      <c r="Q42" s="558"/>
      <c r="R42" s="574"/>
      <c r="S42" s="532"/>
      <c r="T42" s="532"/>
      <c r="U42" s="562"/>
      <c r="V42" s="405"/>
    </row>
    <row r="43" spans="1:22" x14ac:dyDescent="0.3">
      <c r="A43" s="428"/>
      <c r="B43" s="532" t="s">
        <v>15</v>
      </c>
      <c r="C43" s="575"/>
      <c r="D43" s="575">
        <v>39948</v>
      </c>
      <c r="E43" s="575"/>
      <c r="F43" s="575">
        <v>39948</v>
      </c>
      <c r="G43" s="575"/>
      <c r="H43" s="575">
        <v>39948</v>
      </c>
      <c r="I43" s="575"/>
      <c r="J43" s="575">
        <v>39948</v>
      </c>
      <c r="K43" s="575"/>
      <c r="L43" s="575">
        <v>39948</v>
      </c>
      <c r="M43" s="575"/>
      <c r="N43" s="575">
        <v>39948</v>
      </c>
      <c r="O43" s="575"/>
      <c r="P43" s="575">
        <v>39948</v>
      </c>
      <c r="Q43" s="552"/>
      <c r="R43" s="552"/>
      <c r="S43" s="532"/>
      <c r="T43" s="532"/>
      <c r="U43" s="562"/>
      <c r="V43" s="405"/>
    </row>
    <row r="44" spans="1:22" x14ac:dyDescent="0.3">
      <c r="A44" s="428"/>
      <c r="B44" s="532" t="s">
        <v>16</v>
      </c>
      <c r="C44" s="575"/>
      <c r="D44" s="575">
        <v>40313</v>
      </c>
      <c r="E44" s="575"/>
      <c r="F44" s="575">
        <v>40313</v>
      </c>
      <c r="G44" s="575"/>
      <c r="H44" s="575">
        <v>40313</v>
      </c>
      <c r="I44" s="552"/>
      <c r="J44" s="575">
        <v>40313</v>
      </c>
      <c r="K44" s="552"/>
      <c r="L44" s="575">
        <v>40313</v>
      </c>
      <c r="M44" s="552"/>
      <c r="N44" s="575">
        <v>40313</v>
      </c>
      <c r="O44" s="552"/>
      <c r="P44" s="575">
        <v>40313</v>
      </c>
      <c r="Q44" s="552"/>
      <c r="R44" s="552"/>
      <c r="S44" s="532"/>
      <c r="T44" s="532"/>
      <c r="U44" s="562"/>
      <c r="V44" s="405"/>
    </row>
    <row r="45" spans="1:22" x14ac:dyDescent="0.3">
      <c r="A45" s="428"/>
      <c r="B45" s="532" t="s">
        <v>128</v>
      </c>
      <c r="C45" s="532"/>
      <c r="D45" s="552" t="s">
        <v>166</v>
      </c>
      <c r="E45" s="532"/>
      <c r="F45" s="552" t="s">
        <v>166</v>
      </c>
      <c r="G45" s="552"/>
      <c r="H45" s="552" t="s">
        <v>166</v>
      </c>
      <c r="I45" s="552"/>
      <c r="J45" s="552" t="s">
        <v>204</v>
      </c>
      <c r="K45" s="552"/>
      <c r="L45" s="552" t="s">
        <v>204</v>
      </c>
      <c r="M45" s="552"/>
      <c r="N45" s="552" t="s">
        <v>205</v>
      </c>
      <c r="O45" s="552"/>
      <c r="P45" s="552" t="s">
        <v>205</v>
      </c>
      <c r="Q45" s="552"/>
      <c r="R45" s="552"/>
      <c r="S45" s="532"/>
      <c r="T45" s="532"/>
      <c r="U45" s="562"/>
      <c r="V45" s="405"/>
    </row>
    <row r="46" spans="1:22" x14ac:dyDescent="0.3">
      <c r="A46" s="428"/>
      <c r="B46" s="532" t="s">
        <v>295</v>
      </c>
      <c r="C46" s="532"/>
      <c r="D46" s="552" t="s">
        <v>166</v>
      </c>
      <c r="E46" s="532"/>
      <c r="F46" s="552" t="s">
        <v>209</v>
      </c>
      <c r="G46" s="552"/>
      <c r="H46" s="552" t="s">
        <v>210</v>
      </c>
      <c r="I46" s="552"/>
      <c r="J46" s="552" t="s">
        <v>204</v>
      </c>
      <c r="K46" s="552"/>
      <c r="L46" s="552" t="s">
        <v>211</v>
      </c>
      <c r="M46" s="552"/>
      <c r="N46" s="552" t="s">
        <v>205</v>
      </c>
      <c r="O46" s="552"/>
      <c r="P46" s="552" t="s">
        <v>212</v>
      </c>
      <c r="Q46" s="552"/>
      <c r="R46" s="552"/>
      <c r="S46" s="532"/>
      <c r="T46" s="532"/>
      <c r="U46" s="562"/>
      <c r="V46" s="405"/>
    </row>
    <row r="47" spans="1:22" x14ac:dyDescent="0.3">
      <c r="A47" s="428"/>
      <c r="B47" s="532"/>
      <c r="C47" s="532"/>
      <c r="D47" s="532"/>
      <c r="E47" s="532"/>
      <c r="F47" s="552"/>
      <c r="G47" s="552"/>
      <c r="H47" s="550"/>
      <c r="I47" s="550"/>
      <c r="J47" s="550"/>
      <c r="K47" s="550"/>
      <c r="L47" s="550"/>
      <c r="M47" s="550"/>
      <c r="N47" s="550"/>
      <c r="O47" s="550"/>
      <c r="P47" s="550"/>
      <c r="Q47" s="550"/>
      <c r="R47" s="550"/>
      <c r="S47" s="550"/>
      <c r="T47" s="550"/>
      <c r="U47" s="562"/>
      <c r="V47" s="405"/>
    </row>
    <row r="48" spans="1:22" x14ac:dyDescent="0.3">
      <c r="A48" s="428"/>
      <c r="B48" s="532" t="s">
        <v>224</v>
      </c>
      <c r="C48" s="532"/>
      <c r="D48" s="532"/>
      <c r="E48" s="532"/>
      <c r="F48" s="576"/>
      <c r="G48" s="532"/>
      <c r="H48" s="532"/>
      <c r="I48" s="532"/>
      <c r="J48" s="532"/>
      <c r="K48" s="532"/>
      <c r="L48" s="532"/>
      <c r="M48" s="532"/>
      <c r="N48" s="532"/>
      <c r="O48" s="532"/>
      <c r="P48" s="532"/>
      <c r="Q48" s="532"/>
      <c r="R48" s="532"/>
      <c r="S48" s="532"/>
      <c r="T48" s="558">
        <f>SUM(J32:P32)/SUM(D32:H32)</f>
        <v>0.1210762331838565</v>
      </c>
      <c r="U48" s="562"/>
      <c r="V48" s="405"/>
    </row>
    <row r="49" spans="1:23" x14ac:dyDescent="0.3">
      <c r="A49" s="428"/>
      <c r="B49" s="532" t="s">
        <v>225</v>
      </c>
      <c r="C49" s="532"/>
      <c r="D49" s="532"/>
      <c r="E49" s="532"/>
      <c r="F49" s="576"/>
      <c r="G49" s="532"/>
      <c r="H49" s="532"/>
      <c r="I49" s="532"/>
      <c r="J49" s="532"/>
      <c r="K49" s="532"/>
      <c r="L49" s="532"/>
      <c r="M49" s="532"/>
      <c r="N49" s="532"/>
      <c r="O49" s="532"/>
      <c r="P49" s="532"/>
      <c r="Q49" s="532"/>
      <c r="R49" s="532"/>
      <c r="S49" s="532"/>
      <c r="T49" s="558">
        <f>SUM(J34:P34)/SUM(D34:H34)</f>
        <v>0.27550850242986502</v>
      </c>
      <c r="U49" s="562"/>
      <c r="V49" s="405"/>
    </row>
    <row r="50" spans="1:23" x14ac:dyDescent="0.3">
      <c r="A50" s="428"/>
      <c r="B50" s="532" t="s">
        <v>226</v>
      </c>
      <c r="C50" s="532"/>
      <c r="D50" s="532"/>
      <c r="E50" s="532"/>
      <c r="F50" s="532"/>
      <c r="G50" s="532"/>
      <c r="H50" s="532"/>
      <c r="I50" s="532"/>
      <c r="J50" s="532"/>
      <c r="K50" s="532"/>
      <c r="L50" s="532"/>
      <c r="M50" s="532"/>
      <c r="N50" s="532"/>
      <c r="O50" s="532"/>
      <c r="P50" s="532"/>
      <c r="Q50" s="532"/>
      <c r="R50" s="552" t="s">
        <v>112</v>
      </c>
      <c r="S50" s="552" t="s">
        <v>118</v>
      </c>
      <c r="T50" s="577">
        <f>+T32/2-SUM(J32:P32)</f>
        <v>274400</v>
      </c>
      <c r="U50" s="562"/>
      <c r="V50" s="405"/>
    </row>
    <row r="51" spans="1:23" x14ac:dyDescent="0.3">
      <c r="A51" s="428"/>
      <c r="B51" s="532"/>
      <c r="C51" s="532"/>
      <c r="D51" s="532"/>
      <c r="E51" s="532"/>
      <c r="F51" s="532"/>
      <c r="G51" s="532"/>
      <c r="H51" s="532"/>
      <c r="I51" s="532"/>
      <c r="J51" s="532"/>
      <c r="K51" s="532"/>
      <c r="L51" s="532"/>
      <c r="M51" s="532"/>
      <c r="N51" s="532"/>
      <c r="O51" s="532"/>
      <c r="P51" s="532"/>
      <c r="Q51" s="532"/>
      <c r="R51" s="532" t="s">
        <v>284</v>
      </c>
      <c r="S51" s="532"/>
      <c r="T51" s="560"/>
      <c r="U51" s="562"/>
      <c r="V51" s="405"/>
    </row>
    <row r="52" spans="1:23" x14ac:dyDescent="0.3">
      <c r="A52" s="428"/>
      <c r="B52" s="532" t="s">
        <v>154</v>
      </c>
      <c r="C52" s="532"/>
      <c r="D52" s="532"/>
      <c r="E52" s="532"/>
      <c r="F52" s="532"/>
      <c r="G52" s="532"/>
      <c r="H52" s="532"/>
      <c r="I52" s="532"/>
      <c r="J52" s="532"/>
      <c r="K52" s="532"/>
      <c r="L52" s="532"/>
      <c r="M52" s="532"/>
      <c r="N52" s="532"/>
      <c r="O52" s="532"/>
      <c r="P52" s="532"/>
      <c r="Q52" s="532"/>
      <c r="R52" s="552"/>
      <c r="S52" s="552"/>
      <c r="T52" s="552" t="s">
        <v>120</v>
      </c>
      <c r="U52" s="562"/>
      <c r="V52" s="405"/>
    </row>
    <row r="53" spans="1:23" x14ac:dyDescent="0.3">
      <c r="A53" s="428"/>
      <c r="B53" s="536" t="s">
        <v>155</v>
      </c>
      <c r="C53" s="536"/>
      <c r="D53" s="536"/>
      <c r="E53" s="536"/>
      <c r="F53" s="536"/>
      <c r="G53" s="536"/>
      <c r="H53" s="536"/>
      <c r="I53" s="536"/>
      <c r="J53" s="536"/>
      <c r="K53" s="536"/>
      <c r="L53" s="536"/>
      <c r="M53" s="536"/>
      <c r="N53" s="536"/>
      <c r="O53" s="536"/>
      <c r="P53" s="536"/>
      <c r="Q53" s="536"/>
      <c r="R53" s="557"/>
      <c r="S53" s="557"/>
      <c r="T53" s="578">
        <v>43235</v>
      </c>
      <c r="U53" s="562"/>
      <c r="V53" s="405"/>
    </row>
    <row r="54" spans="1:23" x14ac:dyDescent="0.3">
      <c r="A54" s="428"/>
      <c r="B54" s="532" t="s">
        <v>130</v>
      </c>
      <c r="C54" s="532"/>
      <c r="D54" s="532"/>
      <c r="E54" s="532"/>
      <c r="F54" s="532"/>
      <c r="G54" s="532"/>
      <c r="H54" s="579"/>
      <c r="I54" s="579"/>
      <c r="J54" s="579"/>
      <c r="K54" s="579"/>
      <c r="L54" s="579"/>
      <c r="M54" s="579"/>
      <c r="N54" s="579"/>
      <c r="O54" s="579"/>
      <c r="P54" s="532">
        <f>+T54-R54+1</f>
        <v>92</v>
      </c>
      <c r="Q54" s="532"/>
      <c r="R54" s="580">
        <v>43054</v>
      </c>
      <c r="S54" s="581"/>
      <c r="T54" s="580">
        <v>43145</v>
      </c>
      <c r="U54" s="562"/>
      <c r="V54" s="405"/>
    </row>
    <row r="55" spans="1:23" x14ac:dyDescent="0.3">
      <c r="A55" s="428"/>
      <c r="B55" s="532" t="s">
        <v>131</v>
      </c>
      <c r="C55" s="532"/>
      <c r="D55" s="532"/>
      <c r="E55" s="532"/>
      <c r="F55" s="532"/>
      <c r="G55" s="532"/>
      <c r="H55" s="532"/>
      <c r="I55" s="532"/>
      <c r="J55" s="532"/>
      <c r="K55" s="532"/>
      <c r="L55" s="532"/>
      <c r="M55" s="532"/>
      <c r="N55" s="532"/>
      <c r="O55" s="532"/>
      <c r="P55" s="532">
        <f>+T55-R55+1</f>
        <v>89</v>
      </c>
      <c r="Q55" s="532"/>
      <c r="R55" s="580">
        <v>43146</v>
      </c>
      <c r="S55" s="581"/>
      <c r="T55" s="580">
        <v>43234</v>
      </c>
      <c r="U55" s="562"/>
      <c r="V55" s="405"/>
    </row>
    <row r="56" spans="1:23" x14ac:dyDescent="0.3">
      <c r="A56" s="428"/>
      <c r="B56" s="532" t="s">
        <v>213</v>
      </c>
      <c r="C56" s="532"/>
      <c r="D56" s="532"/>
      <c r="E56" s="532"/>
      <c r="F56" s="532"/>
      <c r="G56" s="532"/>
      <c r="H56" s="532"/>
      <c r="I56" s="532"/>
      <c r="J56" s="532"/>
      <c r="K56" s="532"/>
      <c r="L56" s="532"/>
      <c r="M56" s="532"/>
      <c r="N56" s="532"/>
      <c r="O56" s="532"/>
      <c r="P56" s="532"/>
      <c r="Q56" s="532"/>
      <c r="R56" s="580"/>
      <c r="S56" s="581"/>
      <c r="T56" s="580" t="s">
        <v>129</v>
      </c>
      <c r="U56" s="562"/>
      <c r="V56" s="405"/>
    </row>
    <row r="57" spans="1:23" x14ac:dyDescent="0.3">
      <c r="A57" s="428"/>
      <c r="B57" s="532" t="s">
        <v>227</v>
      </c>
      <c r="C57" s="532"/>
      <c r="D57" s="532"/>
      <c r="E57" s="532"/>
      <c r="F57" s="532"/>
      <c r="G57" s="532"/>
      <c r="H57" s="532"/>
      <c r="I57" s="532"/>
      <c r="J57" s="532"/>
      <c r="K57" s="532"/>
      <c r="L57" s="532"/>
      <c r="M57" s="532"/>
      <c r="N57" s="532"/>
      <c r="O57" s="532"/>
      <c r="P57" s="532"/>
      <c r="Q57" s="532"/>
      <c r="R57" s="580"/>
      <c r="S57" s="581"/>
      <c r="T57" s="580" t="s">
        <v>169</v>
      </c>
      <c r="U57" s="562"/>
      <c r="V57" s="405"/>
      <c r="W57" s="429"/>
    </row>
    <row r="58" spans="1:23" x14ac:dyDescent="0.3">
      <c r="A58" s="428"/>
      <c r="B58" s="532" t="s">
        <v>17</v>
      </c>
      <c r="C58" s="532"/>
      <c r="D58" s="532"/>
      <c r="E58" s="532"/>
      <c r="F58" s="532"/>
      <c r="G58" s="532"/>
      <c r="H58" s="532"/>
      <c r="I58" s="532"/>
      <c r="J58" s="532"/>
      <c r="K58" s="532"/>
      <c r="L58" s="532"/>
      <c r="M58" s="532"/>
      <c r="N58" s="532"/>
      <c r="O58" s="532"/>
      <c r="P58" s="532"/>
      <c r="Q58" s="532"/>
      <c r="R58" s="580"/>
      <c r="S58" s="581"/>
      <c r="T58" s="580">
        <v>43221</v>
      </c>
      <c r="U58" s="562"/>
      <c r="V58" s="405"/>
    </row>
    <row r="59" spans="1:23" x14ac:dyDescent="0.3">
      <c r="A59" s="430"/>
      <c r="B59" s="431"/>
      <c r="C59" s="431"/>
      <c r="D59" s="431"/>
      <c r="E59" s="431"/>
      <c r="F59" s="431"/>
      <c r="G59" s="431"/>
      <c r="H59" s="431"/>
      <c r="I59" s="431"/>
      <c r="J59" s="431"/>
      <c r="K59" s="431"/>
      <c r="L59" s="431"/>
      <c r="M59" s="431"/>
      <c r="N59" s="431"/>
      <c r="O59" s="431"/>
      <c r="P59" s="431"/>
      <c r="Q59" s="431"/>
      <c r="R59" s="432"/>
      <c r="S59" s="433"/>
      <c r="T59" s="432"/>
      <c r="U59" s="431"/>
      <c r="V59" s="405"/>
    </row>
    <row r="60" spans="1:23" x14ac:dyDescent="0.3">
      <c r="A60" s="430"/>
      <c r="B60" s="434"/>
      <c r="C60" s="434"/>
      <c r="D60" s="434"/>
      <c r="E60" s="434"/>
      <c r="F60" s="434"/>
      <c r="G60" s="434"/>
      <c r="H60" s="434"/>
      <c r="I60" s="434"/>
      <c r="J60" s="434"/>
      <c r="K60" s="434"/>
      <c r="L60" s="434"/>
      <c r="M60" s="434"/>
      <c r="N60" s="434"/>
      <c r="O60" s="434"/>
      <c r="P60" s="434"/>
      <c r="Q60" s="434"/>
      <c r="R60" s="435"/>
      <c r="S60" s="436"/>
      <c r="T60" s="435"/>
      <c r="U60" s="434"/>
      <c r="V60" s="405"/>
    </row>
    <row r="61" spans="1:23" ht="18.600000000000001" thickBot="1" x14ac:dyDescent="0.4">
      <c r="A61" s="437"/>
      <c r="B61" s="565" t="s">
        <v>352</v>
      </c>
      <c r="C61" s="438"/>
      <c r="D61" s="438"/>
      <c r="E61" s="438"/>
      <c r="F61" s="438"/>
      <c r="G61" s="438"/>
      <c r="H61" s="438"/>
      <c r="I61" s="438"/>
      <c r="J61" s="438"/>
      <c r="K61" s="438"/>
      <c r="L61" s="438"/>
      <c r="M61" s="438"/>
      <c r="N61" s="438"/>
      <c r="O61" s="438"/>
      <c r="P61" s="438"/>
      <c r="Q61" s="438"/>
      <c r="R61" s="438"/>
      <c r="S61" s="438"/>
      <c r="T61" s="439"/>
      <c r="U61" s="440"/>
      <c r="V61" s="405"/>
    </row>
    <row r="62" spans="1:23" x14ac:dyDescent="0.3">
      <c r="A62" s="503"/>
      <c r="B62" s="505" t="s">
        <v>18</v>
      </c>
      <c r="C62" s="504"/>
      <c r="D62" s="504"/>
      <c r="E62" s="504"/>
      <c r="F62" s="504"/>
      <c r="G62" s="504"/>
      <c r="H62" s="504"/>
      <c r="I62" s="504"/>
      <c r="J62" s="504"/>
      <c r="K62" s="504"/>
      <c r="L62" s="504"/>
      <c r="M62" s="504"/>
      <c r="N62" s="504"/>
      <c r="O62" s="504"/>
      <c r="P62" s="504"/>
      <c r="Q62" s="504"/>
      <c r="R62" s="504"/>
      <c r="S62" s="504"/>
      <c r="T62" s="506"/>
      <c r="U62" s="504"/>
      <c r="V62" s="405"/>
    </row>
    <row r="63" spans="1:23" x14ac:dyDescent="0.3">
      <c r="A63" s="407"/>
      <c r="B63" s="415"/>
      <c r="C63" s="409"/>
      <c r="D63" s="409"/>
      <c r="E63" s="409"/>
      <c r="F63" s="409"/>
      <c r="G63" s="409"/>
      <c r="H63" s="409"/>
      <c r="I63" s="409"/>
      <c r="J63" s="409"/>
      <c r="K63" s="409"/>
      <c r="L63" s="409"/>
      <c r="M63" s="409"/>
      <c r="N63" s="409"/>
      <c r="O63" s="409"/>
      <c r="P63" s="409"/>
      <c r="Q63" s="409"/>
      <c r="R63" s="409"/>
      <c r="S63" s="409"/>
      <c r="T63" s="441"/>
      <c r="U63" s="409"/>
      <c r="V63" s="405"/>
    </row>
    <row r="64" spans="1:23" ht="46.8" x14ac:dyDescent="0.3">
      <c r="A64" s="407"/>
      <c r="B64" s="519" t="s">
        <v>19</v>
      </c>
      <c r="C64" s="520"/>
      <c r="D64" s="520"/>
      <c r="E64" s="520"/>
      <c r="F64" s="520"/>
      <c r="G64" s="520"/>
      <c r="H64" s="520"/>
      <c r="I64" s="520"/>
      <c r="J64" s="520" t="s">
        <v>100</v>
      </c>
      <c r="K64" s="520"/>
      <c r="L64" s="520" t="s">
        <v>102</v>
      </c>
      <c r="M64" s="520"/>
      <c r="N64" s="520" t="s">
        <v>104</v>
      </c>
      <c r="O64" s="520"/>
      <c r="P64" s="520" t="s">
        <v>106</v>
      </c>
      <c r="Q64" s="520"/>
      <c r="R64" s="520" t="s">
        <v>113</v>
      </c>
      <c r="S64" s="520"/>
      <c r="T64" s="521" t="s">
        <v>121</v>
      </c>
      <c r="U64" s="442"/>
      <c r="V64" s="405"/>
    </row>
    <row r="65" spans="1:22" x14ac:dyDescent="0.3">
      <c r="A65" s="418"/>
      <c r="B65" s="532" t="s">
        <v>20</v>
      </c>
      <c r="C65" s="531"/>
      <c r="D65" s="531"/>
      <c r="E65" s="531"/>
      <c r="F65" s="531"/>
      <c r="G65" s="531"/>
      <c r="H65" s="531"/>
      <c r="I65" s="531"/>
      <c r="J65" s="531">
        <v>699958</v>
      </c>
      <c r="K65" s="531"/>
      <c r="L65" s="535">
        <v>228544</v>
      </c>
      <c r="M65" s="531"/>
      <c r="N65" s="531">
        <f>3751+585</f>
        <v>4336</v>
      </c>
      <c r="O65" s="531"/>
      <c r="P65" s="531">
        <v>585</v>
      </c>
      <c r="Q65" s="531"/>
      <c r="R65" s="531">
        <v>0</v>
      </c>
      <c r="S65" s="531"/>
      <c r="T65" s="535">
        <f>+L65-N65+P65-R65</f>
        <v>224793</v>
      </c>
      <c r="U65" s="420"/>
      <c r="V65" s="405"/>
    </row>
    <row r="66" spans="1:22" x14ac:dyDescent="0.3">
      <c r="A66" s="418"/>
      <c r="B66" s="532" t="s">
        <v>21</v>
      </c>
      <c r="C66" s="531"/>
      <c r="D66" s="531"/>
      <c r="E66" s="531"/>
      <c r="F66" s="531"/>
      <c r="G66" s="531"/>
      <c r="H66" s="531"/>
      <c r="I66" s="531"/>
      <c r="J66" s="531">
        <v>42</v>
      </c>
      <c r="K66" s="531"/>
      <c r="L66" s="535">
        <v>0</v>
      </c>
      <c r="M66" s="531"/>
      <c r="N66" s="531">
        <v>0</v>
      </c>
      <c r="O66" s="531"/>
      <c r="P66" s="531">
        <v>0</v>
      </c>
      <c r="Q66" s="531"/>
      <c r="R66" s="531">
        <v>0</v>
      </c>
      <c r="S66" s="531"/>
      <c r="T66" s="535">
        <f>+L66-N66</f>
        <v>0</v>
      </c>
      <c r="U66" s="420"/>
      <c r="V66" s="405"/>
    </row>
    <row r="67" spans="1:22" x14ac:dyDescent="0.3">
      <c r="A67" s="418"/>
      <c r="B67" s="532"/>
      <c r="C67" s="531"/>
      <c r="D67" s="531"/>
      <c r="E67" s="531"/>
      <c r="F67" s="531"/>
      <c r="G67" s="531"/>
      <c r="H67" s="531"/>
      <c r="I67" s="531"/>
      <c r="J67" s="531"/>
      <c r="K67" s="531"/>
      <c r="L67" s="535"/>
      <c r="M67" s="531"/>
      <c r="N67" s="531"/>
      <c r="O67" s="531"/>
      <c r="P67" s="531"/>
      <c r="Q67" s="531"/>
      <c r="R67" s="531"/>
      <c r="S67" s="531"/>
      <c r="T67" s="535"/>
      <c r="U67" s="420"/>
      <c r="V67" s="405"/>
    </row>
    <row r="68" spans="1:22" x14ac:dyDescent="0.3">
      <c r="A68" s="418"/>
      <c r="B68" s="532" t="s">
        <v>22</v>
      </c>
      <c r="C68" s="531"/>
      <c r="D68" s="531"/>
      <c r="E68" s="531"/>
      <c r="F68" s="531"/>
      <c r="G68" s="531"/>
      <c r="H68" s="531"/>
      <c r="I68" s="531"/>
      <c r="J68" s="531">
        <f>SUM(J65:J67)</f>
        <v>700000</v>
      </c>
      <c r="K68" s="531"/>
      <c r="L68" s="531">
        <f>L65+L66</f>
        <v>228544</v>
      </c>
      <c r="M68" s="531"/>
      <c r="N68" s="531">
        <f>SUM(N65:N67)</f>
        <v>4336</v>
      </c>
      <c r="O68" s="531"/>
      <c r="P68" s="531">
        <f>SUM(P65:P67)</f>
        <v>585</v>
      </c>
      <c r="Q68" s="531"/>
      <c r="R68" s="531">
        <f>SUM(R65:R67)</f>
        <v>0</v>
      </c>
      <c r="S68" s="531"/>
      <c r="T68" s="531">
        <f>SUM(T65:T67)</f>
        <v>224793</v>
      </c>
      <c r="U68" s="420"/>
      <c r="V68" s="405"/>
    </row>
    <row r="69" spans="1:22" x14ac:dyDescent="0.3">
      <c r="A69" s="407"/>
      <c r="B69" s="539"/>
      <c r="C69" s="572"/>
      <c r="D69" s="572"/>
      <c r="E69" s="572"/>
      <c r="F69" s="572"/>
      <c r="G69" s="572"/>
      <c r="H69" s="572"/>
      <c r="I69" s="572"/>
      <c r="J69" s="572"/>
      <c r="K69" s="572"/>
      <c r="L69" s="572"/>
      <c r="M69" s="572"/>
      <c r="N69" s="572"/>
      <c r="O69" s="572"/>
      <c r="P69" s="572"/>
      <c r="Q69" s="572"/>
      <c r="R69" s="572"/>
      <c r="S69" s="572"/>
      <c r="T69" s="572"/>
      <c r="U69" s="444"/>
      <c r="V69" s="405"/>
    </row>
    <row r="70" spans="1:22" x14ac:dyDescent="0.3">
      <c r="A70" s="407"/>
      <c r="B70" s="545" t="s">
        <v>23</v>
      </c>
      <c r="C70" s="573"/>
      <c r="D70" s="573"/>
      <c r="E70" s="573"/>
      <c r="F70" s="573"/>
      <c r="G70" s="573"/>
      <c r="H70" s="573"/>
      <c r="I70" s="573"/>
      <c r="J70" s="573"/>
      <c r="K70" s="573"/>
      <c r="L70" s="573"/>
      <c r="M70" s="573"/>
      <c r="N70" s="573"/>
      <c r="O70" s="573"/>
      <c r="P70" s="573"/>
      <c r="Q70" s="573"/>
      <c r="R70" s="573"/>
      <c r="S70" s="573"/>
      <c r="T70" s="573"/>
      <c r="U70" s="409"/>
      <c r="V70" s="405"/>
    </row>
    <row r="71" spans="1:22" x14ac:dyDescent="0.3">
      <c r="A71" s="407"/>
      <c r="B71" s="542"/>
      <c r="C71" s="573"/>
      <c r="D71" s="573"/>
      <c r="E71" s="573"/>
      <c r="F71" s="573"/>
      <c r="G71" s="573"/>
      <c r="H71" s="573"/>
      <c r="I71" s="573"/>
      <c r="J71" s="573"/>
      <c r="K71" s="573"/>
      <c r="L71" s="573"/>
      <c r="M71" s="573"/>
      <c r="N71" s="573"/>
      <c r="O71" s="573"/>
      <c r="P71" s="573"/>
      <c r="Q71" s="573"/>
      <c r="R71" s="573"/>
      <c r="S71" s="573"/>
      <c r="T71" s="573"/>
      <c r="U71" s="409"/>
      <c r="V71" s="405"/>
    </row>
    <row r="72" spans="1:22" x14ac:dyDescent="0.3">
      <c r="A72" s="418"/>
      <c r="B72" s="532" t="s">
        <v>20</v>
      </c>
      <c r="C72" s="531"/>
      <c r="D72" s="531"/>
      <c r="E72" s="531"/>
      <c r="F72" s="531"/>
      <c r="G72" s="531"/>
      <c r="H72" s="531"/>
      <c r="I72" s="531"/>
      <c r="J72" s="531"/>
      <c r="K72" s="531"/>
      <c r="L72" s="531"/>
      <c r="M72" s="531"/>
      <c r="N72" s="531"/>
      <c r="O72" s="531"/>
      <c r="P72" s="531"/>
      <c r="Q72" s="531"/>
      <c r="R72" s="531"/>
      <c r="S72" s="531"/>
      <c r="T72" s="531"/>
      <c r="U72" s="420"/>
      <c r="V72" s="405"/>
    </row>
    <row r="73" spans="1:22" x14ac:dyDescent="0.3">
      <c r="A73" s="418"/>
      <c r="B73" s="532" t="s">
        <v>21</v>
      </c>
      <c r="C73" s="531"/>
      <c r="D73" s="531"/>
      <c r="E73" s="531"/>
      <c r="F73" s="531"/>
      <c r="G73" s="531"/>
      <c r="H73" s="531"/>
      <c r="I73" s="531"/>
      <c r="J73" s="531"/>
      <c r="K73" s="531"/>
      <c r="L73" s="531"/>
      <c r="M73" s="531"/>
      <c r="N73" s="531"/>
      <c r="O73" s="531"/>
      <c r="P73" s="531"/>
      <c r="Q73" s="531"/>
      <c r="R73" s="531"/>
      <c r="S73" s="531"/>
      <c r="T73" s="531"/>
      <c r="U73" s="420"/>
      <c r="V73" s="405"/>
    </row>
    <row r="74" spans="1:22" x14ac:dyDescent="0.3">
      <c r="A74" s="418"/>
      <c r="B74" s="532"/>
      <c r="C74" s="531"/>
      <c r="D74" s="531"/>
      <c r="E74" s="531"/>
      <c r="F74" s="531"/>
      <c r="G74" s="531"/>
      <c r="H74" s="531"/>
      <c r="I74" s="531"/>
      <c r="J74" s="531"/>
      <c r="K74" s="531"/>
      <c r="L74" s="531"/>
      <c r="M74" s="531"/>
      <c r="N74" s="531"/>
      <c r="O74" s="531"/>
      <c r="P74" s="531"/>
      <c r="Q74" s="531"/>
      <c r="R74" s="531"/>
      <c r="S74" s="531"/>
      <c r="T74" s="531"/>
      <c r="U74" s="420"/>
      <c r="V74" s="405"/>
    </row>
    <row r="75" spans="1:22" x14ac:dyDescent="0.3">
      <c r="A75" s="418"/>
      <c r="B75" s="532" t="s">
        <v>22</v>
      </c>
      <c r="C75" s="531"/>
      <c r="D75" s="531"/>
      <c r="E75" s="531"/>
      <c r="F75" s="531"/>
      <c r="G75" s="531"/>
      <c r="H75" s="531"/>
      <c r="I75" s="531"/>
      <c r="J75" s="531"/>
      <c r="K75" s="531"/>
      <c r="L75" s="531"/>
      <c r="M75" s="531"/>
      <c r="N75" s="531"/>
      <c r="O75" s="531"/>
      <c r="P75" s="531"/>
      <c r="Q75" s="531"/>
      <c r="R75" s="531"/>
      <c r="S75" s="531"/>
      <c r="T75" s="531"/>
      <c r="U75" s="420"/>
      <c r="V75" s="405"/>
    </row>
    <row r="76" spans="1:22" x14ac:dyDescent="0.3">
      <c r="A76" s="418"/>
      <c r="B76" s="532"/>
      <c r="C76" s="531"/>
      <c r="D76" s="531"/>
      <c r="E76" s="531"/>
      <c r="F76" s="531"/>
      <c r="G76" s="531"/>
      <c r="H76" s="531"/>
      <c r="I76" s="531"/>
      <c r="J76" s="531"/>
      <c r="K76" s="531"/>
      <c r="L76" s="531"/>
      <c r="M76" s="531"/>
      <c r="N76" s="531"/>
      <c r="O76" s="531"/>
      <c r="P76" s="531"/>
      <c r="Q76" s="531"/>
      <c r="R76" s="531"/>
      <c r="S76" s="531"/>
      <c r="T76" s="531"/>
      <c r="U76" s="420"/>
      <c r="V76" s="405"/>
    </row>
    <row r="77" spans="1:22" x14ac:dyDescent="0.3">
      <c r="A77" s="418"/>
      <c r="B77" s="532" t="s">
        <v>24</v>
      </c>
      <c r="C77" s="531"/>
      <c r="D77" s="531"/>
      <c r="E77" s="531"/>
      <c r="F77" s="531"/>
      <c r="G77" s="531"/>
      <c r="H77" s="531"/>
      <c r="I77" s="531"/>
      <c r="J77" s="531">
        <v>0</v>
      </c>
      <c r="K77" s="531"/>
      <c r="L77" s="531">
        <v>0</v>
      </c>
      <c r="M77" s="531"/>
      <c r="N77" s="531"/>
      <c r="O77" s="531"/>
      <c r="P77" s="531"/>
      <c r="Q77" s="531"/>
      <c r="R77" s="531"/>
      <c r="S77" s="531"/>
      <c r="T77" s="535">
        <v>0</v>
      </c>
      <c r="U77" s="420"/>
      <c r="V77" s="405"/>
    </row>
    <row r="78" spans="1:22" x14ac:dyDescent="0.3">
      <c r="A78" s="418"/>
      <c r="B78" s="532" t="s">
        <v>126</v>
      </c>
      <c r="C78" s="531"/>
      <c r="D78" s="531"/>
      <c r="E78" s="531"/>
      <c r="F78" s="531"/>
      <c r="G78" s="531"/>
      <c r="H78" s="531"/>
      <c r="I78" s="531"/>
      <c r="J78" s="531">
        <v>0</v>
      </c>
      <c r="K78" s="531"/>
      <c r="L78" s="531">
        <v>0</v>
      </c>
      <c r="M78" s="531"/>
      <c r="N78" s="531"/>
      <c r="O78" s="531"/>
      <c r="P78" s="531"/>
      <c r="Q78" s="531"/>
      <c r="R78" s="531"/>
      <c r="S78" s="531"/>
      <c r="T78" s="531">
        <f>SUM(J78:P78)</f>
        <v>0</v>
      </c>
      <c r="U78" s="420"/>
      <c r="V78" s="405"/>
    </row>
    <row r="79" spans="1:22" x14ac:dyDescent="0.3">
      <c r="A79" s="418"/>
      <c r="B79" s="532" t="s">
        <v>157</v>
      </c>
      <c r="C79" s="531"/>
      <c r="D79" s="531"/>
      <c r="E79" s="531"/>
      <c r="F79" s="531"/>
      <c r="G79" s="531"/>
      <c r="H79" s="531"/>
      <c r="I79" s="531"/>
      <c r="J79" s="531">
        <v>0</v>
      </c>
      <c r="K79" s="531"/>
      <c r="L79" s="531">
        <v>0</v>
      </c>
      <c r="M79" s="531"/>
      <c r="N79" s="531"/>
      <c r="O79" s="531"/>
      <c r="P79" s="531"/>
      <c r="Q79" s="531"/>
      <c r="R79" s="531"/>
      <c r="S79" s="531"/>
      <c r="T79" s="531">
        <v>0</v>
      </c>
      <c r="U79" s="420"/>
      <c r="V79" s="405"/>
    </row>
    <row r="80" spans="1:22" x14ac:dyDescent="0.3">
      <c r="A80" s="418"/>
      <c r="B80" s="532" t="s">
        <v>26</v>
      </c>
      <c r="C80" s="531"/>
      <c r="D80" s="531"/>
      <c r="E80" s="531"/>
      <c r="F80" s="531"/>
      <c r="G80" s="531"/>
      <c r="H80" s="531"/>
      <c r="I80" s="531"/>
      <c r="J80" s="531">
        <v>0</v>
      </c>
      <c r="K80" s="531"/>
      <c r="L80" s="531">
        <v>0</v>
      </c>
      <c r="M80" s="531"/>
      <c r="N80" s="531"/>
      <c r="O80" s="531"/>
      <c r="P80" s="531"/>
      <c r="Q80" s="531"/>
      <c r="R80" s="531"/>
      <c r="S80" s="531"/>
      <c r="T80" s="531">
        <v>0</v>
      </c>
      <c r="U80" s="420"/>
      <c r="V80" s="405"/>
    </row>
    <row r="81" spans="1:22" x14ac:dyDescent="0.3">
      <c r="A81" s="418"/>
      <c r="B81" s="532" t="s">
        <v>27</v>
      </c>
      <c r="C81" s="531"/>
      <c r="D81" s="531"/>
      <c r="E81" s="531"/>
      <c r="F81" s="531"/>
      <c r="G81" s="531"/>
      <c r="H81" s="531"/>
      <c r="I81" s="531"/>
      <c r="J81" s="531">
        <f>SUM(J68:J80)</f>
        <v>700000</v>
      </c>
      <c r="K81" s="531"/>
      <c r="L81" s="531">
        <f>SUM(L68:L80)</f>
        <v>228544</v>
      </c>
      <c r="M81" s="531"/>
      <c r="N81" s="531"/>
      <c r="O81" s="531"/>
      <c r="P81" s="531"/>
      <c r="Q81" s="531"/>
      <c r="R81" s="531"/>
      <c r="S81" s="531"/>
      <c r="T81" s="531">
        <f>SUM(T68:T80)</f>
        <v>224793</v>
      </c>
      <c r="U81" s="420"/>
      <c r="V81" s="405"/>
    </row>
    <row r="82" spans="1:22" x14ac:dyDescent="0.3">
      <c r="A82" s="407"/>
      <c r="B82" s="444"/>
      <c r="C82" s="445"/>
      <c r="D82" s="445"/>
      <c r="E82" s="445"/>
      <c r="F82" s="445"/>
      <c r="G82" s="445"/>
      <c r="H82" s="445"/>
      <c r="I82" s="445"/>
      <c r="J82" s="445"/>
      <c r="K82" s="445"/>
      <c r="L82" s="445"/>
      <c r="M82" s="445"/>
      <c r="N82" s="445"/>
      <c r="O82" s="445"/>
      <c r="P82" s="445"/>
      <c r="Q82" s="445"/>
      <c r="R82" s="445"/>
      <c r="S82" s="445"/>
      <c r="T82" s="446"/>
      <c r="U82" s="444"/>
      <c r="V82" s="405"/>
    </row>
    <row r="83" spans="1:22" x14ac:dyDescent="0.3">
      <c r="A83" s="407"/>
      <c r="B83" s="409"/>
      <c r="C83" s="409"/>
      <c r="D83" s="409"/>
      <c r="E83" s="409"/>
      <c r="F83" s="409"/>
      <c r="G83" s="409"/>
      <c r="H83" s="409"/>
      <c r="I83" s="409"/>
      <c r="J83" s="409"/>
      <c r="K83" s="409"/>
      <c r="L83" s="409"/>
      <c r="M83" s="409"/>
      <c r="N83" s="409"/>
      <c r="O83" s="409"/>
      <c r="P83" s="409"/>
      <c r="Q83" s="409"/>
      <c r="R83" s="409"/>
      <c r="S83" s="409"/>
      <c r="T83" s="409"/>
      <c r="U83" s="409"/>
      <c r="V83" s="405"/>
    </row>
    <row r="84" spans="1:22" x14ac:dyDescent="0.3">
      <c r="A84" s="503"/>
      <c r="B84" s="612" t="s">
        <v>28</v>
      </c>
      <c r="C84" s="612"/>
      <c r="D84" s="612"/>
      <c r="E84" s="612"/>
      <c r="F84" s="612"/>
      <c r="G84" s="612"/>
      <c r="H84" s="613"/>
      <c r="I84" s="613"/>
      <c r="J84" s="614" t="s">
        <v>101</v>
      </c>
      <c r="K84" s="613"/>
      <c r="L84" s="615">
        <f>+R196</f>
        <v>43220</v>
      </c>
      <c r="M84" s="613"/>
      <c r="N84" s="613"/>
      <c r="O84" s="613"/>
      <c r="P84" s="613"/>
      <c r="Q84" s="613"/>
      <c r="R84" s="613" t="s">
        <v>114</v>
      </c>
      <c r="S84" s="613"/>
      <c r="T84" s="613" t="s">
        <v>122</v>
      </c>
      <c r="U84" s="611"/>
      <c r="V84" s="405"/>
    </row>
    <row r="85" spans="1:22" x14ac:dyDescent="0.3">
      <c r="A85" s="430"/>
      <c r="B85" s="539" t="s">
        <v>29</v>
      </c>
      <c r="C85" s="539"/>
      <c r="D85" s="539"/>
      <c r="E85" s="539"/>
      <c r="F85" s="539"/>
      <c r="G85" s="539"/>
      <c r="H85" s="539"/>
      <c r="I85" s="539"/>
      <c r="J85" s="539"/>
      <c r="K85" s="539"/>
      <c r="L85" s="539"/>
      <c r="M85" s="539"/>
      <c r="N85" s="539"/>
      <c r="O85" s="539"/>
      <c r="P85" s="539"/>
      <c r="Q85" s="539"/>
      <c r="R85" s="572">
        <v>0</v>
      </c>
      <c r="S85" s="539"/>
      <c r="T85" s="541">
        <v>0</v>
      </c>
      <c r="U85" s="539"/>
      <c r="V85" s="405"/>
    </row>
    <row r="86" spans="1:22" x14ac:dyDescent="0.3">
      <c r="A86" s="428"/>
      <c r="B86" s="532" t="s">
        <v>30</v>
      </c>
      <c r="C86" s="532"/>
      <c r="D86" s="532"/>
      <c r="E86" s="532"/>
      <c r="F86" s="532"/>
      <c r="G86" s="532"/>
      <c r="H86" s="550"/>
      <c r="I86" s="570"/>
      <c r="J86" s="550"/>
      <c r="K86" s="532"/>
      <c r="L86" s="571"/>
      <c r="M86" s="532"/>
      <c r="N86" s="532"/>
      <c r="O86" s="532"/>
      <c r="P86" s="532"/>
      <c r="Q86" s="532"/>
      <c r="R86" s="531">
        <f>4336-22</f>
        <v>4314</v>
      </c>
      <c r="S86" s="532"/>
      <c r="T86" s="535"/>
      <c r="U86" s="562"/>
      <c r="V86" s="405"/>
    </row>
    <row r="87" spans="1:22" x14ac:dyDescent="0.3">
      <c r="A87" s="428"/>
      <c r="B87" s="532" t="s">
        <v>254</v>
      </c>
      <c r="C87" s="532"/>
      <c r="D87" s="532"/>
      <c r="E87" s="532"/>
      <c r="F87" s="532"/>
      <c r="G87" s="532"/>
      <c r="H87" s="550"/>
      <c r="I87" s="570"/>
      <c r="J87" s="550"/>
      <c r="K87" s="532"/>
      <c r="L87" s="571"/>
      <c r="M87" s="532"/>
      <c r="N87" s="532"/>
      <c r="O87" s="532"/>
      <c r="P87" s="532"/>
      <c r="Q87" s="532"/>
      <c r="R87" s="531"/>
      <c r="S87" s="532"/>
      <c r="T87" s="535">
        <f>1258+488-251-121</f>
        <v>1374</v>
      </c>
      <c r="U87" s="562"/>
      <c r="V87" s="405"/>
    </row>
    <row r="88" spans="1:22" x14ac:dyDescent="0.3">
      <c r="A88" s="428"/>
      <c r="B88" s="532" t="s">
        <v>255</v>
      </c>
      <c r="C88" s="532"/>
      <c r="D88" s="532"/>
      <c r="E88" s="532"/>
      <c r="F88" s="532"/>
      <c r="G88" s="532"/>
      <c r="H88" s="550"/>
      <c r="I88" s="570"/>
      <c r="J88" s="550"/>
      <c r="K88" s="532"/>
      <c r="L88" s="571"/>
      <c r="M88" s="532"/>
      <c r="N88" s="532"/>
      <c r="O88" s="532"/>
      <c r="P88" s="532"/>
      <c r="Q88" s="532"/>
      <c r="R88" s="531"/>
      <c r="S88" s="532"/>
      <c r="T88" s="535">
        <f>24+26</f>
        <v>50</v>
      </c>
      <c r="U88" s="562"/>
      <c r="V88" s="405"/>
    </row>
    <row r="89" spans="1:22" x14ac:dyDescent="0.3">
      <c r="A89" s="428"/>
      <c r="B89" s="532" t="s">
        <v>256</v>
      </c>
      <c r="C89" s="532"/>
      <c r="D89" s="532"/>
      <c r="E89" s="532"/>
      <c r="F89" s="532"/>
      <c r="G89" s="532"/>
      <c r="H89" s="550"/>
      <c r="I89" s="570"/>
      <c r="J89" s="550"/>
      <c r="K89" s="532"/>
      <c r="L89" s="571"/>
      <c r="M89" s="532"/>
      <c r="N89" s="532"/>
      <c r="O89" s="532"/>
      <c r="P89" s="532"/>
      <c r="Q89" s="532"/>
      <c r="R89" s="531"/>
      <c r="S89" s="532"/>
      <c r="T89" s="535">
        <v>17</v>
      </c>
      <c r="U89" s="562"/>
      <c r="V89" s="405"/>
    </row>
    <row r="90" spans="1:22" x14ac:dyDescent="0.3">
      <c r="A90" s="428"/>
      <c r="B90" s="532" t="s">
        <v>270</v>
      </c>
      <c r="C90" s="532"/>
      <c r="D90" s="532"/>
      <c r="E90" s="532"/>
      <c r="F90" s="532"/>
      <c r="G90" s="532"/>
      <c r="H90" s="550"/>
      <c r="I90" s="570"/>
      <c r="J90" s="550"/>
      <c r="K90" s="532"/>
      <c r="L90" s="571"/>
      <c r="M90" s="532"/>
      <c r="N90" s="532"/>
      <c r="O90" s="532"/>
      <c r="P90" s="532"/>
      <c r="Q90" s="532"/>
      <c r="R90" s="531"/>
      <c r="S90" s="532"/>
      <c r="T90" s="535">
        <v>0</v>
      </c>
      <c r="U90" s="562"/>
      <c r="V90" s="405"/>
    </row>
    <row r="91" spans="1:22" x14ac:dyDescent="0.3">
      <c r="A91" s="428"/>
      <c r="B91" s="532" t="s">
        <v>144</v>
      </c>
      <c r="C91" s="532"/>
      <c r="D91" s="532"/>
      <c r="E91" s="532"/>
      <c r="F91" s="532"/>
      <c r="G91" s="532"/>
      <c r="H91" s="532"/>
      <c r="I91" s="532"/>
      <c r="J91" s="532"/>
      <c r="K91" s="532"/>
      <c r="L91" s="532"/>
      <c r="M91" s="532"/>
      <c r="N91" s="532"/>
      <c r="O91" s="532"/>
      <c r="P91" s="532"/>
      <c r="Q91" s="532"/>
      <c r="R91" s="531"/>
      <c r="S91" s="532"/>
      <c r="T91" s="535">
        <v>0</v>
      </c>
      <c r="U91" s="562"/>
      <c r="V91" s="405"/>
    </row>
    <row r="92" spans="1:22" x14ac:dyDescent="0.3">
      <c r="A92" s="428"/>
      <c r="B92" s="532" t="s">
        <v>233</v>
      </c>
      <c r="C92" s="532"/>
      <c r="D92" s="532"/>
      <c r="E92" s="532"/>
      <c r="F92" s="532"/>
      <c r="G92" s="532"/>
      <c r="H92" s="532"/>
      <c r="I92" s="532"/>
      <c r="J92" s="532"/>
      <c r="K92" s="532"/>
      <c r="L92" s="532"/>
      <c r="M92" s="532"/>
      <c r="N92" s="532"/>
      <c r="O92" s="532"/>
      <c r="P92" s="532"/>
      <c r="Q92" s="532"/>
      <c r="R92" s="531"/>
      <c r="S92" s="532"/>
      <c r="T92" s="535">
        <v>17</v>
      </c>
      <c r="U92" s="562"/>
      <c r="V92" s="405"/>
    </row>
    <row r="93" spans="1:22" x14ac:dyDescent="0.3">
      <c r="A93" s="428"/>
      <c r="B93" s="532" t="s">
        <v>32</v>
      </c>
      <c r="C93" s="532"/>
      <c r="D93" s="532"/>
      <c r="E93" s="532"/>
      <c r="F93" s="532"/>
      <c r="G93" s="532"/>
      <c r="H93" s="532"/>
      <c r="I93" s="532"/>
      <c r="J93" s="532"/>
      <c r="K93" s="532"/>
      <c r="L93" s="532"/>
      <c r="M93" s="532"/>
      <c r="N93" s="532"/>
      <c r="O93" s="532"/>
      <c r="P93" s="532"/>
      <c r="Q93" s="532"/>
      <c r="R93" s="531">
        <f>SUM(R85:R92)</f>
        <v>4314</v>
      </c>
      <c r="S93" s="532"/>
      <c r="T93" s="531">
        <f>SUM(T85:T92)</f>
        <v>1458</v>
      </c>
      <c r="U93" s="562"/>
      <c r="V93" s="405"/>
    </row>
    <row r="94" spans="1:22" x14ac:dyDescent="0.3">
      <c r="A94" s="428"/>
      <c r="B94" s="532" t="s">
        <v>176</v>
      </c>
      <c r="C94" s="532"/>
      <c r="D94" s="532"/>
      <c r="E94" s="532"/>
      <c r="F94" s="532"/>
      <c r="G94" s="532"/>
      <c r="H94" s="532"/>
      <c r="I94" s="532"/>
      <c r="J94" s="532"/>
      <c r="K94" s="532"/>
      <c r="L94" s="532"/>
      <c r="M94" s="532"/>
      <c r="N94" s="532"/>
      <c r="O94" s="532"/>
      <c r="P94" s="532"/>
      <c r="Q94" s="532"/>
      <c r="R94" s="531">
        <v>0</v>
      </c>
      <c r="S94" s="532"/>
      <c r="T94" s="531">
        <f>-R94</f>
        <v>0</v>
      </c>
      <c r="U94" s="562"/>
      <c r="V94" s="405"/>
    </row>
    <row r="95" spans="1:22" x14ac:dyDescent="0.3">
      <c r="A95" s="428"/>
      <c r="B95" s="532" t="s">
        <v>33</v>
      </c>
      <c r="C95" s="532"/>
      <c r="D95" s="532"/>
      <c r="E95" s="532"/>
      <c r="F95" s="532"/>
      <c r="G95" s="532"/>
      <c r="H95" s="532"/>
      <c r="I95" s="532"/>
      <c r="J95" s="532"/>
      <c r="K95" s="532"/>
      <c r="L95" s="532"/>
      <c r="M95" s="532"/>
      <c r="N95" s="532"/>
      <c r="O95" s="532"/>
      <c r="P95" s="532"/>
      <c r="Q95" s="532"/>
      <c r="R95" s="531">
        <f>-T95</f>
        <v>0</v>
      </c>
      <c r="S95" s="532"/>
      <c r="T95" s="535">
        <v>0</v>
      </c>
      <c r="U95" s="562"/>
      <c r="V95" s="405"/>
    </row>
    <row r="96" spans="1:22" x14ac:dyDescent="0.3">
      <c r="A96" s="428"/>
      <c r="B96" s="532" t="s">
        <v>278</v>
      </c>
      <c r="C96" s="532"/>
      <c r="D96" s="532"/>
      <c r="E96" s="532"/>
      <c r="F96" s="532"/>
      <c r="G96" s="532"/>
      <c r="H96" s="532"/>
      <c r="I96" s="532"/>
      <c r="J96" s="532"/>
      <c r="K96" s="532"/>
      <c r="L96" s="532"/>
      <c r="M96" s="532"/>
      <c r="N96" s="532"/>
      <c r="O96" s="532"/>
      <c r="P96" s="532"/>
      <c r="Q96" s="532"/>
      <c r="R96" s="531"/>
      <c r="S96" s="532"/>
      <c r="T96" s="535">
        <v>4</v>
      </c>
      <c r="U96" s="562"/>
      <c r="V96" s="405"/>
    </row>
    <row r="97" spans="1:23" x14ac:dyDescent="0.3">
      <c r="A97" s="428"/>
      <c r="B97" s="532" t="s">
        <v>34</v>
      </c>
      <c r="C97" s="532"/>
      <c r="D97" s="532"/>
      <c r="E97" s="532"/>
      <c r="F97" s="532"/>
      <c r="G97" s="532"/>
      <c r="H97" s="532"/>
      <c r="I97" s="532"/>
      <c r="J97" s="532"/>
      <c r="K97" s="532"/>
      <c r="L97" s="532"/>
      <c r="M97" s="532"/>
      <c r="N97" s="532"/>
      <c r="O97" s="532"/>
      <c r="P97" s="532"/>
      <c r="Q97" s="532"/>
      <c r="R97" s="531">
        <f>R93+R95+R94</f>
        <v>4314</v>
      </c>
      <c r="S97" s="532"/>
      <c r="T97" s="531">
        <f>T93+T95+T94+T96</f>
        <v>1462</v>
      </c>
      <c r="U97" s="562"/>
      <c r="V97" s="405"/>
      <c r="W97" s="447"/>
    </row>
    <row r="98" spans="1:23" x14ac:dyDescent="0.3">
      <c r="A98" s="418"/>
      <c r="B98" s="522" t="s">
        <v>35</v>
      </c>
      <c r="C98" s="448"/>
      <c r="D98" s="448"/>
      <c r="E98" s="448"/>
      <c r="F98" s="448"/>
      <c r="G98" s="448"/>
      <c r="H98" s="448"/>
      <c r="I98" s="448"/>
      <c r="J98" s="448"/>
      <c r="K98" s="448"/>
      <c r="L98" s="448"/>
      <c r="M98" s="448"/>
      <c r="N98" s="448"/>
      <c r="O98" s="448"/>
      <c r="P98" s="448"/>
      <c r="Q98" s="448"/>
      <c r="R98" s="449"/>
      <c r="S98" s="448"/>
      <c r="T98" s="450"/>
      <c r="U98" s="451"/>
      <c r="V98" s="405"/>
    </row>
    <row r="99" spans="1:23" x14ac:dyDescent="0.3">
      <c r="A99" s="569">
        <v>1</v>
      </c>
      <c r="B99" s="532" t="s">
        <v>36</v>
      </c>
      <c r="C99" s="532"/>
      <c r="D99" s="532"/>
      <c r="E99" s="532"/>
      <c r="F99" s="532"/>
      <c r="G99" s="532"/>
      <c r="H99" s="532"/>
      <c r="I99" s="532"/>
      <c r="J99" s="532"/>
      <c r="K99" s="532"/>
      <c r="L99" s="532"/>
      <c r="M99" s="532"/>
      <c r="N99" s="532"/>
      <c r="O99" s="532"/>
      <c r="P99" s="532"/>
      <c r="Q99" s="532"/>
      <c r="R99" s="532"/>
      <c r="S99" s="532"/>
      <c r="T99" s="535">
        <v>0</v>
      </c>
      <c r="U99" s="451"/>
      <c r="V99" s="405"/>
    </row>
    <row r="100" spans="1:23" x14ac:dyDescent="0.3">
      <c r="A100" s="569">
        <f>+A99+1</f>
        <v>2</v>
      </c>
      <c r="B100" s="532" t="s">
        <v>317</v>
      </c>
      <c r="C100" s="532"/>
      <c r="D100" s="532"/>
      <c r="E100" s="532"/>
      <c r="F100" s="532"/>
      <c r="G100" s="532"/>
      <c r="H100" s="532"/>
      <c r="I100" s="532"/>
      <c r="J100" s="532"/>
      <c r="K100" s="532"/>
      <c r="L100" s="532"/>
      <c r="M100" s="532"/>
      <c r="N100" s="532"/>
      <c r="O100" s="532"/>
      <c r="P100" s="532"/>
      <c r="Q100" s="532"/>
      <c r="R100" s="532"/>
      <c r="S100" s="532"/>
      <c r="T100" s="535">
        <v>-2</v>
      </c>
      <c r="U100" s="451"/>
      <c r="V100" s="405"/>
    </row>
    <row r="101" spans="1:23" x14ac:dyDescent="0.3">
      <c r="A101" s="569">
        <f>+A100+1</f>
        <v>3</v>
      </c>
      <c r="B101" s="532" t="s">
        <v>319</v>
      </c>
      <c r="C101" s="532"/>
      <c r="D101" s="532"/>
      <c r="E101" s="532"/>
      <c r="F101" s="532"/>
      <c r="G101" s="532"/>
      <c r="H101" s="532"/>
      <c r="I101" s="532"/>
      <c r="J101" s="532"/>
      <c r="K101" s="532"/>
      <c r="L101" s="532"/>
      <c r="M101" s="532"/>
      <c r="N101" s="532"/>
      <c r="O101" s="532"/>
      <c r="P101" s="532"/>
      <c r="Q101" s="532"/>
      <c r="R101" s="532"/>
      <c r="S101" s="532"/>
      <c r="T101" s="535">
        <f>-86-48-3</f>
        <v>-137</v>
      </c>
      <c r="U101" s="451"/>
      <c r="V101" s="405"/>
    </row>
    <row r="102" spans="1:23" x14ac:dyDescent="0.3">
      <c r="A102" s="569" t="s">
        <v>136</v>
      </c>
      <c r="B102" s="532" t="s">
        <v>125</v>
      </c>
      <c r="C102" s="532"/>
      <c r="D102" s="532"/>
      <c r="E102" s="532"/>
      <c r="F102" s="532"/>
      <c r="G102" s="532"/>
      <c r="H102" s="532"/>
      <c r="I102" s="532"/>
      <c r="J102" s="532"/>
      <c r="K102" s="532"/>
      <c r="L102" s="532"/>
      <c r="M102" s="532"/>
      <c r="N102" s="532"/>
      <c r="O102" s="532"/>
      <c r="P102" s="532"/>
      <c r="Q102" s="532"/>
      <c r="R102" s="532"/>
      <c r="S102" s="532"/>
      <c r="T102" s="535">
        <v>0</v>
      </c>
      <c r="U102" s="451"/>
      <c r="V102" s="405"/>
    </row>
    <row r="103" spans="1:23" x14ac:dyDescent="0.3">
      <c r="A103" s="569" t="s">
        <v>137</v>
      </c>
      <c r="B103" s="532" t="s">
        <v>267</v>
      </c>
      <c r="C103" s="532"/>
      <c r="D103" s="532"/>
      <c r="E103" s="532"/>
      <c r="F103" s="532"/>
      <c r="G103" s="532"/>
      <c r="H103" s="532"/>
      <c r="I103" s="532"/>
      <c r="J103" s="532"/>
      <c r="K103" s="532"/>
      <c r="L103" s="532"/>
      <c r="M103" s="532"/>
      <c r="N103" s="532"/>
      <c r="O103" s="532"/>
      <c r="P103" s="532"/>
      <c r="Q103" s="532"/>
      <c r="R103" s="532"/>
      <c r="S103" s="532"/>
      <c r="T103" s="535">
        <v>0</v>
      </c>
      <c r="U103" s="451"/>
      <c r="V103" s="405"/>
    </row>
    <row r="104" spans="1:23" x14ac:dyDescent="0.3">
      <c r="A104" s="569" t="s">
        <v>162</v>
      </c>
      <c r="B104" s="532" t="s">
        <v>218</v>
      </c>
      <c r="C104" s="532"/>
      <c r="D104" s="532"/>
      <c r="E104" s="532"/>
      <c r="F104" s="532"/>
      <c r="G104" s="532"/>
      <c r="H104" s="532"/>
      <c r="I104" s="532"/>
      <c r="J104" s="532"/>
      <c r="K104" s="532"/>
      <c r="L104" s="532"/>
      <c r="M104" s="532"/>
      <c r="N104" s="532"/>
      <c r="O104" s="532"/>
      <c r="P104" s="532"/>
      <c r="Q104" s="532"/>
      <c r="R104" s="532"/>
      <c r="S104" s="532"/>
      <c r="T104" s="535">
        <v>-220</v>
      </c>
      <c r="U104" s="451"/>
      <c r="V104" s="405"/>
      <c r="W104" s="452"/>
    </row>
    <row r="105" spans="1:23" x14ac:dyDescent="0.3">
      <c r="A105" s="569" t="s">
        <v>163</v>
      </c>
      <c r="B105" s="532" t="s">
        <v>219</v>
      </c>
      <c r="C105" s="532"/>
      <c r="D105" s="532"/>
      <c r="E105" s="532"/>
      <c r="F105" s="532"/>
      <c r="G105" s="532"/>
      <c r="H105" s="532"/>
      <c r="I105" s="532"/>
      <c r="J105" s="532"/>
      <c r="K105" s="532"/>
      <c r="L105" s="532"/>
      <c r="M105" s="532"/>
      <c r="N105" s="532"/>
      <c r="O105" s="532"/>
      <c r="P105" s="532"/>
      <c r="Q105" s="532"/>
      <c r="R105" s="532"/>
      <c r="S105" s="532"/>
      <c r="T105" s="535">
        <v>-158</v>
      </c>
      <c r="U105" s="451"/>
      <c r="V105" s="405"/>
      <c r="W105" s="452"/>
    </row>
    <row r="106" spans="1:23" x14ac:dyDescent="0.3">
      <c r="A106" s="569" t="s">
        <v>252</v>
      </c>
      <c r="B106" s="532" t="s">
        <v>242</v>
      </c>
      <c r="C106" s="532"/>
      <c r="D106" s="532"/>
      <c r="E106" s="532"/>
      <c r="F106" s="532"/>
      <c r="G106" s="532"/>
      <c r="H106" s="532"/>
      <c r="I106" s="532"/>
      <c r="J106" s="532"/>
      <c r="K106" s="532"/>
      <c r="L106" s="532"/>
      <c r="M106" s="532"/>
      <c r="N106" s="532"/>
      <c r="O106" s="532"/>
      <c r="P106" s="532"/>
      <c r="Q106" s="532"/>
      <c r="R106" s="532"/>
      <c r="S106" s="532"/>
      <c r="T106" s="535">
        <v>-23</v>
      </c>
      <c r="U106" s="451"/>
      <c r="V106" s="453"/>
      <c r="W106" s="452"/>
    </row>
    <row r="107" spans="1:23" x14ac:dyDescent="0.3">
      <c r="A107" s="569" t="s">
        <v>245</v>
      </c>
      <c r="B107" s="532" t="s">
        <v>220</v>
      </c>
      <c r="C107" s="532"/>
      <c r="D107" s="532"/>
      <c r="E107" s="532"/>
      <c r="F107" s="532"/>
      <c r="G107" s="532"/>
      <c r="H107" s="532"/>
      <c r="I107" s="532"/>
      <c r="J107" s="532"/>
      <c r="K107" s="532"/>
      <c r="L107" s="532"/>
      <c r="M107" s="532"/>
      <c r="N107" s="532"/>
      <c r="O107" s="532"/>
      <c r="P107" s="532"/>
      <c r="Q107" s="532"/>
      <c r="R107" s="532"/>
      <c r="S107" s="532"/>
      <c r="T107" s="535">
        <v>-13</v>
      </c>
      <c r="U107" s="451"/>
      <c r="V107" s="405"/>
      <c r="W107" s="452"/>
    </row>
    <row r="108" spans="1:23" x14ac:dyDescent="0.3">
      <c r="A108" s="569" t="s">
        <v>246</v>
      </c>
      <c r="B108" s="532" t="s">
        <v>221</v>
      </c>
      <c r="C108" s="532"/>
      <c r="D108" s="532"/>
      <c r="E108" s="532"/>
      <c r="F108" s="532"/>
      <c r="G108" s="532"/>
      <c r="H108" s="532"/>
      <c r="I108" s="532"/>
      <c r="J108" s="532"/>
      <c r="K108" s="532"/>
      <c r="L108" s="532"/>
      <c r="M108" s="532"/>
      <c r="N108" s="532"/>
      <c r="O108" s="532"/>
      <c r="P108" s="532"/>
      <c r="Q108" s="532"/>
      <c r="R108" s="532"/>
      <c r="S108" s="532"/>
      <c r="T108" s="535">
        <v>-38</v>
      </c>
      <c r="U108" s="451"/>
      <c r="V108" s="405"/>
      <c r="W108" s="452"/>
    </row>
    <row r="109" spans="1:23" x14ac:dyDescent="0.3">
      <c r="A109" s="569" t="s">
        <v>247</v>
      </c>
      <c r="B109" s="532" t="s">
        <v>222</v>
      </c>
      <c r="C109" s="532"/>
      <c r="D109" s="532"/>
      <c r="E109" s="532"/>
      <c r="F109" s="532"/>
      <c r="G109" s="532"/>
      <c r="H109" s="532"/>
      <c r="I109" s="532"/>
      <c r="J109" s="532"/>
      <c r="K109" s="532"/>
      <c r="L109" s="532"/>
      <c r="M109" s="532"/>
      <c r="N109" s="532"/>
      <c r="O109" s="532"/>
      <c r="P109" s="532"/>
      <c r="Q109" s="532"/>
      <c r="R109" s="532"/>
      <c r="S109" s="532"/>
      <c r="T109" s="535">
        <v>-7</v>
      </c>
      <c r="U109" s="451"/>
      <c r="V109" s="405"/>
      <c r="W109" s="452"/>
    </row>
    <row r="110" spans="1:23" x14ac:dyDescent="0.3">
      <c r="A110" s="569" t="s">
        <v>248</v>
      </c>
      <c r="B110" s="532" t="s">
        <v>223</v>
      </c>
      <c r="C110" s="532"/>
      <c r="D110" s="532"/>
      <c r="E110" s="532"/>
      <c r="F110" s="532"/>
      <c r="G110" s="532"/>
      <c r="H110" s="532"/>
      <c r="I110" s="532"/>
      <c r="J110" s="532"/>
      <c r="K110" s="532"/>
      <c r="L110" s="532"/>
      <c r="M110" s="532"/>
      <c r="N110" s="532"/>
      <c r="O110" s="532"/>
      <c r="P110" s="532"/>
      <c r="Q110" s="532"/>
      <c r="R110" s="532"/>
      <c r="S110" s="532"/>
      <c r="T110" s="535">
        <v>-121</v>
      </c>
      <c r="U110" s="451"/>
      <c r="V110" s="405"/>
      <c r="W110" s="452"/>
    </row>
    <row r="111" spans="1:23" x14ac:dyDescent="0.3">
      <c r="A111" s="569">
        <v>7</v>
      </c>
      <c r="B111" s="532" t="s">
        <v>318</v>
      </c>
      <c r="C111" s="532"/>
      <c r="D111" s="532"/>
      <c r="E111" s="532"/>
      <c r="F111" s="532"/>
      <c r="G111" s="532"/>
      <c r="H111" s="532"/>
      <c r="I111" s="532"/>
      <c r="J111" s="532"/>
      <c r="K111" s="532"/>
      <c r="L111" s="532"/>
      <c r="M111" s="532"/>
      <c r="N111" s="532"/>
      <c r="O111" s="532"/>
      <c r="P111" s="532"/>
      <c r="Q111" s="532"/>
      <c r="R111" s="532"/>
      <c r="S111" s="532"/>
      <c r="T111" s="535">
        <v>0</v>
      </c>
      <c r="U111" s="451"/>
      <c r="V111" s="405"/>
      <c r="W111" s="452"/>
    </row>
    <row r="112" spans="1:23" x14ac:dyDescent="0.3">
      <c r="A112" s="569">
        <v>8</v>
      </c>
      <c r="B112" s="532" t="s">
        <v>38</v>
      </c>
      <c r="C112" s="532"/>
      <c r="D112" s="532"/>
      <c r="E112" s="532"/>
      <c r="F112" s="532"/>
      <c r="G112" s="532"/>
      <c r="H112" s="532"/>
      <c r="I112" s="532"/>
      <c r="J112" s="532"/>
      <c r="K112" s="532"/>
      <c r="L112" s="532"/>
      <c r="M112" s="532"/>
      <c r="N112" s="532"/>
      <c r="O112" s="532"/>
      <c r="P112" s="532"/>
      <c r="Q112" s="532"/>
      <c r="R112" s="532"/>
      <c r="S112" s="532"/>
      <c r="T112" s="535">
        <v>-6</v>
      </c>
      <c r="U112" s="451"/>
      <c r="V112" s="405"/>
    </row>
    <row r="113" spans="1:22" x14ac:dyDescent="0.3">
      <c r="A113" s="569">
        <f t="shared" ref="A113:A118" si="0">+A112+1</f>
        <v>9</v>
      </c>
      <c r="B113" s="532" t="s">
        <v>49</v>
      </c>
      <c r="C113" s="532"/>
      <c r="D113" s="532"/>
      <c r="E113" s="532"/>
      <c r="F113" s="532"/>
      <c r="G113" s="532"/>
      <c r="H113" s="532"/>
      <c r="I113" s="532"/>
      <c r="J113" s="532"/>
      <c r="K113" s="532"/>
      <c r="L113" s="532"/>
      <c r="M113" s="532"/>
      <c r="N113" s="532"/>
      <c r="O113" s="532"/>
      <c r="P113" s="532"/>
      <c r="Q113" s="532"/>
      <c r="R113" s="531">
        <f>-T113</f>
        <v>22</v>
      </c>
      <c r="S113" s="532"/>
      <c r="T113" s="535">
        <v>-22</v>
      </c>
      <c r="U113" s="451"/>
      <c r="V113" s="405"/>
    </row>
    <row r="114" spans="1:22" x14ac:dyDescent="0.3">
      <c r="A114" s="569">
        <f t="shared" si="0"/>
        <v>10</v>
      </c>
      <c r="B114" s="532" t="s">
        <v>134</v>
      </c>
      <c r="C114" s="532"/>
      <c r="D114" s="532"/>
      <c r="E114" s="532"/>
      <c r="F114" s="532"/>
      <c r="G114" s="532"/>
      <c r="H114" s="532"/>
      <c r="I114" s="532"/>
      <c r="J114" s="532"/>
      <c r="K114" s="532"/>
      <c r="L114" s="532"/>
      <c r="M114" s="532"/>
      <c r="N114" s="532"/>
      <c r="O114" s="532"/>
      <c r="P114" s="532"/>
      <c r="Q114" s="532"/>
      <c r="R114" s="532"/>
      <c r="S114" s="532"/>
      <c r="T114" s="535">
        <v>0</v>
      </c>
      <c r="U114" s="451"/>
      <c r="V114" s="405"/>
    </row>
    <row r="115" spans="1:22" x14ac:dyDescent="0.3">
      <c r="A115" s="569">
        <f t="shared" si="0"/>
        <v>11</v>
      </c>
      <c r="B115" s="532" t="s">
        <v>39</v>
      </c>
      <c r="C115" s="532"/>
      <c r="D115" s="532"/>
      <c r="E115" s="532"/>
      <c r="F115" s="532"/>
      <c r="G115" s="532"/>
      <c r="H115" s="532"/>
      <c r="I115" s="532"/>
      <c r="J115" s="532"/>
      <c r="K115" s="532"/>
      <c r="L115" s="532"/>
      <c r="M115" s="532"/>
      <c r="N115" s="532"/>
      <c r="O115" s="532"/>
      <c r="P115" s="532"/>
      <c r="Q115" s="532"/>
      <c r="R115" s="532"/>
      <c r="S115" s="532"/>
      <c r="T115" s="535">
        <v>0</v>
      </c>
      <c r="U115" s="451"/>
      <c r="V115" s="405"/>
    </row>
    <row r="116" spans="1:22" x14ac:dyDescent="0.3">
      <c r="A116" s="569">
        <f t="shared" si="0"/>
        <v>12</v>
      </c>
      <c r="B116" s="532" t="s">
        <v>40</v>
      </c>
      <c r="C116" s="532"/>
      <c r="D116" s="532"/>
      <c r="E116" s="532"/>
      <c r="F116" s="532"/>
      <c r="G116" s="532"/>
      <c r="H116" s="532"/>
      <c r="I116" s="532"/>
      <c r="J116" s="532"/>
      <c r="K116" s="532"/>
      <c r="L116" s="532"/>
      <c r="M116" s="532"/>
      <c r="N116" s="532"/>
      <c r="O116" s="532"/>
      <c r="P116" s="532"/>
      <c r="Q116" s="532"/>
      <c r="R116" s="532"/>
      <c r="S116" s="532"/>
      <c r="T116" s="535">
        <v>0</v>
      </c>
      <c r="U116" s="451"/>
      <c r="V116" s="405"/>
    </row>
    <row r="117" spans="1:22" x14ac:dyDescent="0.3">
      <c r="A117" s="569">
        <f t="shared" si="0"/>
        <v>13</v>
      </c>
      <c r="B117" s="532" t="s">
        <v>161</v>
      </c>
      <c r="C117" s="532"/>
      <c r="D117" s="532"/>
      <c r="E117" s="532"/>
      <c r="F117" s="532"/>
      <c r="G117" s="532"/>
      <c r="H117" s="532"/>
      <c r="I117" s="532"/>
      <c r="J117" s="532"/>
      <c r="K117" s="532"/>
      <c r="L117" s="532"/>
      <c r="M117" s="532"/>
      <c r="N117" s="532"/>
      <c r="O117" s="532"/>
      <c r="P117" s="532"/>
      <c r="Q117" s="532"/>
      <c r="R117" s="532"/>
      <c r="S117" s="532"/>
      <c r="T117" s="535">
        <v>-85</v>
      </c>
      <c r="U117" s="451"/>
      <c r="V117" s="405"/>
    </row>
    <row r="118" spans="1:22" x14ac:dyDescent="0.3">
      <c r="A118" s="569">
        <f t="shared" si="0"/>
        <v>14</v>
      </c>
      <c r="B118" s="532" t="s">
        <v>135</v>
      </c>
      <c r="C118" s="532"/>
      <c r="D118" s="532"/>
      <c r="E118" s="532"/>
      <c r="F118" s="532"/>
      <c r="G118" s="532"/>
      <c r="H118" s="532"/>
      <c r="I118" s="532"/>
      <c r="J118" s="532"/>
      <c r="K118" s="532"/>
      <c r="L118" s="532"/>
      <c r="M118" s="532"/>
      <c r="N118" s="532"/>
      <c r="O118" s="532"/>
      <c r="P118" s="532"/>
      <c r="Q118" s="532"/>
      <c r="R118" s="532"/>
      <c r="S118" s="532"/>
      <c r="T118" s="535">
        <f>-T97-SUM(T99:T117)</f>
        <v>-630</v>
      </c>
      <c r="U118" s="451"/>
      <c r="V118" s="405"/>
    </row>
    <row r="119" spans="1:22" x14ac:dyDescent="0.3">
      <c r="A119" s="418"/>
      <c r="B119" s="522" t="s">
        <v>41</v>
      </c>
      <c r="C119" s="448"/>
      <c r="D119" s="448"/>
      <c r="E119" s="448"/>
      <c r="F119" s="448"/>
      <c r="G119" s="448"/>
      <c r="H119" s="448"/>
      <c r="I119" s="448"/>
      <c r="J119" s="448"/>
      <c r="K119" s="448"/>
      <c r="L119" s="448"/>
      <c r="M119" s="448"/>
      <c r="N119" s="448"/>
      <c r="O119" s="448"/>
      <c r="P119" s="448"/>
      <c r="Q119" s="448"/>
      <c r="R119" s="448"/>
      <c r="S119" s="448"/>
      <c r="T119" s="454"/>
      <c r="U119" s="451"/>
      <c r="V119" s="405"/>
    </row>
    <row r="120" spans="1:22" x14ac:dyDescent="0.3">
      <c r="A120" s="428"/>
      <c r="B120" s="532" t="s">
        <v>229</v>
      </c>
      <c r="C120" s="532"/>
      <c r="D120" s="532"/>
      <c r="E120" s="532"/>
      <c r="F120" s="532"/>
      <c r="G120" s="532"/>
      <c r="H120" s="532"/>
      <c r="I120" s="532"/>
      <c r="J120" s="532"/>
      <c r="K120" s="532"/>
      <c r="L120" s="532"/>
      <c r="M120" s="532"/>
      <c r="N120" s="532"/>
      <c r="O120" s="532"/>
      <c r="P120" s="532"/>
      <c r="Q120" s="532"/>
      <c r="R120" s="531">
        <f>-R180</f>
        <v>0</v>
      </c>
      <c r="S120" s="531"/>
      <c r="T120" s="535"/>
      <c r="U120" s="562"/>
      <c r="V120" s="405"/>
    </row>
    <row r="121" spans="1:22" x14ac:dyDescent="0.3">
      <c r="A121" s="428"/>
      <c r="B121" s="532" t="s">
        <v>230</v>
      </c>
      <c r="C121" s="532"/>
      <c r="D121" s="532"/>
      <c r="E121" s="532"/>
      <c r="F121" s="532"/>
      <c r="G121" s="532"/>
      <c r="H121" s="532"/>
      <c r="I121" s="532"/>
      <c r="J121" s="532"/>
      <c r="K121" s="532"/>
      <c r="L121" s="532"/>
      <c r="M121" s="532"/>
      <c r="N121" s="532"/>
      <c r="O121" s="532"/>
      <c r="P121" s="532"/>
      <c r="Q121" s="532"/>
      <c r="R121" s="531">
        <v>0</v>
      </c>
      <c r="S121" s="531"/>
      <c r="T121" s="535"/>
      <c r="U121" s="562"/>
      <c r="V121" s="405"/>
    </row>
    <row r="122" spans="1:22" x14ac:dyDescent="0.3">
      <c r="A122" s="428"/>
      <c r="B122" s="532" t="s">
        <v>42</v>
      </c>
      <c r="C122" s="532"/>
      <c r="D122" s="532"/>
      <c r="E122" s="532"/>
      <c r="F122" s="532"/>
      <c r="G122" s="532"/>
      <c r="H122" s="532"/>
      <c r="I122" s="532"/>
      <c r="J122" s="532"/>
      <c r="K122" s="532"/>
      <c r="L122" s="532"/>
      <c r="M122" s="532"/>
      <c r="N122" s="532"/>
      <c r="O122" s="532"/>
      <c r="P122" s="532"/>
      <c r="Q122" s="532"/>
      <c r="R122" s="531">
        <f>-Q180</f>
        <v>-585</v>
      </c>
      <c r="S122" s="531"/>
      <c r="T122" s="535"/>
      <c r="U122" s="562"/>
      <c r="V122" s="405"/>
    </row>
    <row r="123" spans="1:22" x14ac:dyDescent="0.3">
      <c r="A123" s="428"/>
      <c r="B123" s="532" t="s">
        <v>235</v>
      </c>
      <c r="C123" s="532"/>
      <c r="D123" s="532"/>
      <c r="E123" s="532"/>
      <c r="F123" s="532"/>
      <c r="G123" s="532"/>
      <c r="H123" s="532"/>
      <c r="I123" s="532"/>
      <c r="J123" s="532"/>
      <c r="K123" s="532"/>
      <c r="L123" s="532"/>
      <c r="M123" s="532"/>
      <c r="N123" s="532"/>
      <c r="O123" s="532"/>
      <c r="P123" s="532"/>
      <c r="Q123" s="532"/>
      <c r="R123" s="531">
        <v>-1629</v>
      </c>
      <c r="S123" s="531"/>
      <c r="T123" s="535"/>
      <c r="U123" s="562"/>
      <c r="V123" s="405"/>
    </row>
    <row r="124" spans="1:22" x14ac:dyDescent="0.3">
      <c r="A124" s="428"/>
      <c r="B124" s="532" t="s">
        <v>236</v>
      </c>
      <c r="C124" s="532"/>
      <c r="D124" s="532"/>
      <c r="E124" s="532"/>
      <c r="F124" s="532"/>
      <c r="G124" s="532"/>
      <c r="H124" s="532"/>
      <c r="I124" s="532"/>
      <c r="J124" s="532"/>
      <c r="K124" s="532"/>
      <c r="L124" s="532"/>
      <c r="M124" s="532"/>
      <c r="N124" s="532"/>
      <c r="O124" s="532"/>
      <c r="P124" s="532"/>
      <c r="Q124" s="532"/>
      <c r="R124" s="531">
        <v>-1151</v>
      </c>
      <c r="S124" s="531"/>
      <c r="T124" s="535"/>
      <c r="U124" s="562"/>
      <c r="V124" s="405"/>
    </row>
    <row r="125" spans="1:22" x14ac:dyDescent="0.3">
      <c r="A125" s="428"/>
      <c r="B125" s="532" t="s">
        <v>241</v>
      </c>
      <c r="C125" s="532"/>
      <c r="D125" s="532"/>
      <c r="E125" s="532"/>
      <c r="F125" s="532"/>
      <c r="G125" s="532"/>
      <c r="H125" s="532"/>
      <c r="I125" s="532"/>
      <c r="J125" s="532"/>
      <c r="K125" s="532"/>
      <c r="L125" s="532"/>
      <c r="M125" s="532"/>
      <c r="N125" s="532"/>
      <c r="O125" s="532"/>
      <c r="P125" s="532"/>
      <c r="Q125" s="532"/>
      <c r="R125" s="531">
        <v>-160</v>
      </c>
      <c r="S125" s="531"/>
      <c r="T125" s="535"/>
      <c r="U125" s="562"/>
      <c r="V125" s="405"/>
    </row>
    <row r="126" spans="1:22" x14ac:dyDescent="0.3">
      <c r="A126" s="428"/>
      <c r="B126" s="532" t="s">
        <v>237</v>
      </c>
      <c r="C126" s="532"/>
      <c r="D126" s="532"/>
      <c r="E126" s="532"/>
      <c r="F126" s="532"/>
      <c r="G126" s="532"/>
      <c r="H126" s="532"/>
      <c r="I126" s="532"/>
      <c r="J126" s="532"/>
      <c r="K126" s="532"/>
      <c r="L126" s="532"/>
      <c r="M126" s="532"/>
      <c r="N126" s="532"/>
      <c r="O126" s="532"/>
      <c r="P126" s="532"/>
      <c r="Q126" s="532"/>
      <c r="R126" s="531">
        <v>-75</v>
      </c>
      <c r="S126" s="531"/>
      <c r="T126" s="535"/>
      <c r="U126" s="562"/>
      <c r="V126" s="405"/>
    </row>
    <row r="127" spans="1:22" x14ac:dyDescent="0.3">
      <c r="A127" s="428"/>
      <c r="B127" s="532" t="s">
        <v>238</v>
      </c>
      <c r="C127" s="532"/>
      <c r="D127" s="532"/>
      <c r="E127" s="532"/>
      <c r="F127" s="532"/>
      <c r="G127" s="532"/>
      <c r="H127" s="532"/>
      <c r="I127" s="532"/>
      <c r="J127" s="532"/>
      <c r="K127" s="532"/>
      <c r="L127" s="532"/>
      <c r="M127" s="532"/>
      <c r="N127" s="532"/>
      <c r="O127" s="532"/>
      <c r="P127" s="532"/>
      <c r="Q127" s="532"/>
      <c r="R127" s="531">
        <v>-218</v>
      </c>
      <c r="S127" s="531"/>
      <c r="T127" s="535"/>
      <c r="U127" s="562"/>
      <c r="V127" s="405"/>
    </row>
    <row r="128" spans="1:22" x14ac:dyDescent="0.3">
      <c r="A128" s="428"/>
      <c r="B128" s="532" t="s">
        <v>239</v>
      </c>
      <c r="C128" s="532"/>
      <c r="D128" s="532"/>
      <c r="E128" s="532"/>
      <c r="F128" s="532"/>
      <c r="G128" s="532"/>
      <c r="H128" s="532"/>
      <c r="I128" s="532"/>
      <c r="J128" s="532"/>
      <c r="K128" s="532"/>
      <c r="L128" s="532"/>
      <c r="M128" s="532"/>
      <c r="N128" s="532"/>
      <c r="O128" s="532"/>
      <c r="P128" s="532"/>
      <c r="Q128" s="532"/>
      <c r="R128" s="531">
        <v>-32</v>
      </c>
      <c r="S128" s="531"/>
      <c r="T128" s="535"/>
      <c r="U128" s="562"/>
      <c r="V128" s="405"/>
    </row>
    <row r="129" spans="1:22" x14ac:dyDescent="0.3">
      <c r="A129" s="428"/>
      <c r="B129" s="532" t="s">
        <v>240</v>
      </c>
      <c r="C129" s="532"/>
      <c r="D129" s="532"/>
      <c r="E129" s="532"/>
      <c r="F129" s="532"/>
      <c r="G129" s="532"/>
      <c r="H129" s="532"/>
      <c r="I129" s="532"/>
      <c r="J129" s="532"/>
      <c r="K129" s="532"/>
      <c r="L129" s="532"/>
      <c r="M129" s="532"/>
      <c r="N129" s="532"/>
      <c r="O129" s="532"/>
      <c r="P129" s="532"/>
      <c r="Q129" s="532"/>
      <c r="R129" s="531">
        <v>-486</v>
      </c>
      <c r="S129" s="531"/>
      <c r="T129" s="535"/>
      <c r="U129" s="562"/>
      <c r="V129" s="405"/>
    </row>
    <row r="130" spans="1:22" x14ac:dyDescent="0.3">
      <c r="A130" s="428"/>
      <c r="B130" s="532" t="s">
        <v>43</v>
      </c>
      <c r="C130" s="532"/>
      <c r="D130" s="532"/>
      <c r="E130" s="532"/>
      <c r="F130" s="532"/>
      <c r="G130" s="532"/>
      <c r="H130" s="532"/>
      <c r="I130" s="532"/>
      <c r="J130" s="532"/>
      <c r="K130" s="532"/>
      <c r="L130" s="532"/>
      <c r="M130" s="532"/>
      <c r="N130" s="532"/>
      <c r="O130" s="532"/>
      <c r="P130" s="532"/>
      <c r="Q130" s="532"/>
      <c r="R130" s="531">
        <f>SUM(R120:R129)</f>
        <v>-4336</v>
      </c>
      <c r="S130" s="531"/>
      <c r="T130" s="531">
        <f>SUM(T98:T128)</f>
        <v>-1462</v>
      </c>
      <c r="U130" s="562"/>
      <c r="V130" s="405"/>
    </row>
    <row r="131" spans="1:22" x14ac:dyDescent="0.3">
      <c r="A131" s="428"/>
      <c r="B131" s="532" t="s">
        <v>44</v>
      </c>
      <c r="C131" s="532"/>
      <c r="D131" s="532"/>
      <c r="E131" s="532"/>
      <c r="F131" s="532"/>
      <c r="G131" s="532"/>
      <c r="H131" s="532"/>
      <c r="I131" s="532"/>
      <c r="J131" s="532"/>
      <c r="K131" s="532"/>
      <c r="L131" s="532"/>
      <c r="M131" s="532"/>
      <c r="N131" s="532"/>
      <c r="O131" s="532"/>
      <c r="P131" s="532"/>
      <c r="Q131" s="532"/>
      <c r="R131" s="531">
        <f>R97+R130+R113</f>
        <v>0</v>
      </c>
      <c r="S131" s="531"/>
      <c r="T131" s="531">
        <f>T97+T130</f>
        <v>0</v>
      </c>
      <c r="U131" s="562"/>
      <c r="V131" s="405"/>
    </row>
    <row r="132" spans="1:22" x14ac:dyDescent="0.3">
      <c r="A132" s="430"/>
      <c r="B132" s="431"/>
      <c r="C132" s="431"/>
      <c r="D132" s="431"/>
      <c r="E132" s="431"/>
      <c r="F132" s="431"/>
      <c r="G132" s="431"/>
      <c r="H132" s="431"/>
      <c r="I132" s="431"/>
      <c r="J132" s="431"/>
      <c r="K132" s="431"/>
      <c r="L132" s="431"/>
      <c r="M132" s="431"/>
      <c r="N132" s="431"/>
      <c r="O132" s="431"/>
      <c r="P132" s="431"/>
      <c r="Q132" s="431"/>
      <c r="R132" s="455"/>
      <c r="S132" s="455"/>
      <c r="T132" s="455"/>
      <c r="U132" s="431"/>
      <c r="V132" s="405"/>
    </row>
    <row r="133" spans="1:22" x14ac:dyDescent="0.3">
      <c r="A133" s="430"/>
      <c r="B133" s="434"/>
      <c r="C133" s="434"/>
      <c r="D133" s="434"/>
      <c r="E133" s="434"/>
      <c r="F133" s="434"/>
      <c r="G133" s="434"/>
      <c r="H133" s="434"/>
      <c r="I133" s="434"/>
      <c r="J133" s="434"/>
      <c r="K133" s="434"/>
      <c r="L133" s="434"/>
      <c r="M133" s="434"/>
      <c r="N133" s="434"/>
      <c r="O133" s="434"/>
      <c r="P133" s="434"/>
      <c r="Q133" s="434"/>
      <c r="R133" s="434"/>
      <c r="S133" s="434"/>
      <c r="T133" s="456"/>
      <c r="U133" s="434"/>
      <c r="V133" s="405"/>
    </row>
    <row r="134" spans="1:22" ht="18.600000000000001" thickBot="1" x14ac:dyDescent="0.4">
      <c r="A134" s="437"/>
      <c r="B134" s="565" t="str">
        <f>B61</f>
        <v>PM9 INVESTOR REPORT QUARTER ENDING APRIL 2018</v>
      </c>
      <c r="C134" s="438"/>
      <c r="D134" s="438"/>
      <c r="E134" s="438"/>
      <c r="F134" s="438"/>
      <c r="G134" s="438"/>
      <c r="H134" s="438"/>
      <c r="I134" s="438"/>
      <c r="J134" s="438"/>
      <c r="K134" s="438"/>
      <c r="L134" s="438"/>
      <c r="M134" s="438"/>
      <c r="N134" s="438"/>
      <c r="O134" s="438"/>
      <c r="P134" s="438"/>
      <c r="Q134" s="438"/>
      <c r="R134" s="438"/>
      <c r="S134" s="438"/>
      <c r="T134" s="457"/>
      <c r="U134" s="440"/>
      <c r="V134" s="405"/>
    </row>
    <row r="135" spans="1:22" x14ac:dyDescent="0.3">
      <c r="A135" s="507"/>
      <c r="B135" s="508" t="s">
        <v>45</v>
      </c>
      <c r="C135" s="509"/>
      <c r="D135" s="509"/>
      <c r="E135" s="509"/>
      <c r="F135" s="509"/>
      <c r="G135" s="509"/>
      <c r="H135" s="509"/>
      <c r="I135" s="509"/>
      <c r="J135" s="509"/>
      <c r="K135" s="509"/>
      <c r="L135" s="509"/>
      <c r="M135" s="509"/>
      <c r="N135" s="509"/>
      <c r="O135" s="509"/>
      <c r="P135" s="509"/>
      <c r="Q135" s="509"/>
      <c r="R135" s="509"/>
      <c r="S135" s="509"/>
      <c r="T135" s="510"/>
      <c r="U135" s="509"/>
      <c r="V135" s="405"/>
    </row>
    <row r="136" spans="1:22" x14ac:dyDescent="0.3">
      <c r="A136" s="407"/>
      <c r="B136" s="458"/>
      <c r="C136" s="409"/>
      <c r="D136" s="409"/>
      <c r="E136" s="409"/>
      <c r="F136" s="409"/>
      <c r="G136" s="409"/>
      <c r="H136" s="409"/>
      <c r="I136" s="409"/>
      <c r="J136" s="409"/>
      <c r="K136" s="409"/>
      <c r="L136" s="409"/>
      <c r="M136" s="409"/>
      <c r="N136" s="409"/>
      <c r="O136" s="409"/>
      <c r="P136" s="409"/>
      <c r="Q136" s="409"/>
      <c r="R136" s="409"/>
      <c r="S136" s="409"/>
      <c r="T136" s="441"/>
      <c r="U136" s="409"/>
      <c r="V136" s="405"/>
    </row>
    <row r="137" spans="1:22" x14ac:dyDescent="0.3">
      <c r="A137" s="407"/>
      <c r="B137" s="523" t="s">
        <v>46</v>
      </c>
      <c r="C137" s="409"/>
      <c r="D137" s="409"/>
      <c r="E137" s="409"/>
      <c r="F137" s="409"/>
      <c r="G137" s="409"/>
      <c r="H137" s="409"/>
      <c r="I137" s="409"/>
      <c r="J137" s="409"/>
      <c r="K137" s="409"/>
      <c r="L137" s="409"/>
      <c r="M137" s="409"/>
      <c r="N137" s="409"/>
      <c r="O137" s="409"/>
      <c r="P137" s="409"/>
      <c r="Q137" s="409"/>
      <c r="R137" s="409"/>
      <c r="S137" s="409"/>
      <c r="T137" s="441"/>
      <c r="U137" s="409"/>
      <c r="V137" s="405"/>
    </row>
    <row r="138" spans="1:22" x14ac:dyDescent="0.3">
      <c r="A138" s="418"/>
      <c r="B138" s="532" t="s">
        <v>47</v>
      </c>
      <c r="C138" s="532"/>
      <c r="D138" s="532"/>
      <c r="E138" s="532"/>
      <c r="F138" s="532"/>
      <c r="G138" s="532"/>
      <c r="H138" s="532"/>
      <c r="I138" s="532"/>
      <c r="J138" s="532"/>
      <c r="K138" s="532"/>
      <c r="L138" s="532"/>
      <c r="M138" s="532"/>
      <c r="N138" s="532"/>
      <c r="O138" s="532"/>
      <c r="P138" s="532"/>
      <c r="Q138" s="532"/>
      <c r="R138" s="532"/>
      <c r="S138" s="532"/>
      <c r="T138" s="535">
        <f>+T32*0.0176</f>
        <v>12320</v>
      </c>
      <c r="U138" s="420"/>
      <c r="V138" s="405"/>
    </row>
    <row r="139" spans="1:22" x14ac:dyDescent="0.3">
      <c r="A139" s="418"/>
      <c r="B139" s="532" t="s">
        <v>48</v>
      </c>
      <c r="C139" s="532"/>
      <c r="D139" s="532"/>
      <c r="E139" s="532"/>
      <c r="F139" s="532"/>
      <c r="G139" s="532"/>
      <c r="H139" s="532"/>
      <c r="I139" s="532"/>
      <c r="J139" s="532"/>
      <c r="K139" s="532"/>
      <c r="L139" s="532"/>
      <c r="M139" s="532"/>
      <c r="N139" s="532"/>
      <c r="O139" s="532"/>
      <c r="P139" s="532"/>
      <c r="Q139" s="532"/>
      <c r="R139" s="532"/>
      <c r="S139" s="532"/>
      <c r="T139" s="535">
        <v>12320</v>
      </c>
      <c r="U139" s="420"/>
      <c r="V139" s="405"/>
    </row>
    <row r="140" spans="1:22" x14ac:dyDescent="0.3">
      <c r="A140" s="418"/>
      <c r="B140" s="532" t="s">
        <v>145</v>
      </c>
      <c r="C140" s="532"/>
      <c r="D140" s="532"/>
      <c r="E140" s="532"/>
      <c r="F140" s="532"/>
      <c r="G140" s="532"/>
      <c r="H140" s="532"/>
      <c r="I140" s="532"/>
      <c r="J140" s="532"/>
      <c r="K140" s="532"/>
      <c r="L140" s="532"/>
      <c r="M140" s="532"/>
      <c r="N140" s="532"/>
      <c r="O140" s="532"/>
      <c r="P140" s="532"/>
      <c r="Q140" s="532"/>
      <c r="R140" s="532"/>
      <c r="S140" s="532"/>
      <c r="T140" s="535">
        <v>0</v>
      </c>
      <c r="U140" s="420"/>
      <c r="V140" s="405"/>
    </row>
    <row r="141" spans="1:22" x14ac:dyDescent="0.3">
      <c r="A141" s="418"/>
      <c r="B141" s="532" t="s">
        <v>132</v>
      </c>
      <c r="C141" s="532"/>
      <c r="D141" s="532"/>
      <c r="E141" s="532"/>
      <c r="F141" s="532"/>
      <c r="G141" s="532"/>
      <c r="H141" s="532"/>
      <c r="I141" s="532"/>
      <c r="J141" s="532"/>
      <c r="K141" s="532"/>
      <c r="L141" s="532"/>
      <c r="M141" s="532"/>
      <c r="N141" s="532"/>
      <c r="O141" s="532"/>
      <c r="P141" s="532"/>
      <c r="Q141" s="532"/>
      <c r="R141" s="532"/>
      <c r="S141" s="532"/>
      <c r="T141" s="535">
        <v>0</v>
      </c>
      <c r="U141" s="420"/>
      <c r="V141" s="405"/>
    </row>
    <row r="142" spans="1:22" x14ac:dyDescent="0.3">
      <c r="A142" s="418"/>
      <c r="B142" s="532" t="s">
        <v>133</v>
      </c>
      <c r="C142" s="532"/>
      <c r="D142" s="532"/>
      <c r="E142" s="532"/>
      <c r="F142" s="532"/>
      <c r="G142" s="532"/>
      <c r="H142" s="532"/>
      <c r="I142" s="532"/>
      <c r="J142" s="532"/>
      <c r="K142" s="532"/>
      <c r="L142" s="532"/>
      <c r="M142" s="532"/>
      <c r="N142" s="532"/>
      <c r="O142" s="532"/>
      <c r="P142" s="532"/>
      <c r="Q142" s="532"/>
      <c r="R142" s="532"/>
      <c r="S142" s="532"/>
      <c r="T142" s="535">
        <v>0</v>
      </c>
      <c r="U142" s="420"/>
      <c r="V142" s="405"/>
    </row>
    <row r="143" spans="1:22" x14ac:dyDescent="0.3">
      <c r="A143" s="418"/>
      <c r="B143" s="532" t="s">
        <v>232</v>
      </c>
      <c r="C143" s="532"/>
      <c r="D143" s="532"/>
      <c r="E143" s="532"/>
      <c r="F143" s="532"/>
      <c r="G143" s="532"/>
      <c r="H143" s="532"/>
      <c r="I143" s="532"/>
      <c r="J143" s="532"/>
      <c r="K143" s="532"/>
      <c r="L143" s="532"/>
      <c r="M143" s="532"/>
      <c r="N143" s="532"/>
      <c r="O143" s="532"/>
      <c r="P143" s="532"/>
      <c r="Q143" s="532"/>
      <c r="R143" s="532"/>
      <c r="S143" s="532"/>
      <c r="T143" s="535">
        <v>0</v>
      </c>
      <c r="U143" s="420"/>
      <c r="V143" s="405"/>
    </row>
    <row r="144" spans="1:22" x14ac:dyDescent="0.3">
      <c r="A144" s="418"/>
      <c r="B144" s="532" t="s">
        <v>49</v>
      </c>
      <c r="C144" s="532"/>
      <c r="D144" s="532"/>
      <c r="E144" s="532"/>
      <c r="F144" s="532"/>
      <c r="G144" s="532"/>
      <c r="H144" s="532"/>
      <c r="I144" s="532"/>
      <c r="J144" s="532"/>
      <c r="K144" s="532"/>
      <c r="L144" s="532"/>
      <c r="M144" s="532"/>
      <c r="N144" s="532"/>
      <c r="O144" s="532"/>
      <c r="P144" s="532"/>
      <c r="Q144" s="532"/>
      <c r="R144" s="532"/>
      <c r="S144" s="532"/>
      <c r="T144" s="535">
        <v>0</v>
      </c>
      <c r="U144" s="420"/>
      <c r="V144" s="405"/>
    </row>
    <row r="145" spans="1:23" x14ac:dyDescent="0.3">
      <c r="A145" s="418"/>
      <c r="B145" s="532" t="s">
        <v>138</v>
      </c>
      <c r="C145" s="532"/>
      <c r="D145" s="532"/>
      <c r="E145" s="532"/>
      <c r="F145" s="532"/>
      <c r="G145" s="532"/>
      <c r="H145" s="532"/>
      <c r="I145" s="532"/>
      <c r="J145" s="532"/>
      <c r="K145" s="532"/>
      <c r="L145" s="532"/>
      <c r="M145" s="532"/>
      <c r="N145" s="532"/>
      <c r="O145" s="532"/>
      <c r="P145" s="532"/>
      <c r="Q145" s="532"/>
      <c r="R145" s="532"/>
      <c r="S145" s="532"/>
      <c r="T145" s="535">
        <v>0</v>
      </c>
      <c r="U145" s="420"/>
      <c r="V145" s="405"/>
    </row>
    <row r="146" spans="1:23" x14ac:dyDescent="0.3">
      <c r="A146" s="418"/>
      <c r="B146" s="532" t="s">
        <v>231</v>
      </c>
      <c r="C146" s="532"/>
      <c r="D146" s="532"/>
      <c r="E146" s="532"/>
      <c r="F146" s="532"/>
      <c r="G146" s="532"/>
      <c r="H146" s="532"/>
      <c r="I146" s="532"/>
      <c r="J146" s="532"/>
      <c r="K146" s="532"/>
      <c r="L146" s="532"/>
      <c r="M146" s="532"/>
      <c r="N146" s="532"/>
      <c r="O146" s="532"/>
      <c r="P146" s="532"/>
      <c r="Q146" s="532"/>
      <c r="R146" s="532"/>
      <c r="S146" s="532"/>
      <c r="T146" s="535">
        <v>0</v>
      </c>
      <c r="U146" s="420"/>
      <c r="V146" s="405"/>
      <c r="W146" s="452"/>
    </row>
    <row r="147" spans="1:23" x14ac:dyDescent="0.3">
      <c r="A147" s="418"/>
      <c r="B147" s="532" t="s">
        <v>50</v>
      </c>
      <c r="C147" s="532"/>
      <c r="D147" s="532"/>
      <c r="E147" s="532"/>
      <c r="F147" s="532"/>
      <c r="G147" s="532"/>
      <c r="H147" s="532"/>
      <c r="I147" s="532"/>
      <c r="J147" s="532"/>
      <c r="K147" s="532"/>
      <c r="L147" s="532"/>
      <c r="M147" s="532"/>
      <c r="N147" s="532"/>
      <c r="O147" s="532"/>
      <c r="P147" s="532"/>
      <c r="Q147" s="532"/>
      <c r="R147" s="532"/>
      <c r="S147" s="532"/>
      <c r="T147" s="535">
        <f>SUM(T139:T146)</f>
        <v>12320</v>
      </c>
      <c r="U147" s="420"/>
      <c r="V147" s="405"/>
    </row>
    <row r="148" spans="1:23" x14ac:dyDescent="0.3">
      <c r="A148" s="418"/>
      <c r="B148" s="448"/>
      <c r="C148" s="448"/>
      <c r="D148" s="448"/>
      <c r="E148" s="448"/>
      <c r="F148" s="448"/>
      <c r="G148" s="448"/>
      <c r="H148" s="448"/>
      <c r="I148" s="448"/>
      <c r="J148" s="448"/>
      <c r="K148" s="448"/>
      <c r="L148" s="448"/>
      <c r="M148" s="448"/>
      <c r="N148" s="448"/>
      <c r="O148" s="448"/>
      <c r="P148" s="448"/>
      <c r="Q148" s="448"/>
      <c r="R148" s="448"/>
      <c r="S148" s="448"/>
      <c r="T148" s="450"/>
      <c r="U148" s="451"/>
      <c r="V148" s="405"/>
    </row>
    <row r="149" spans="1:23" x14ac:dyDescent="0.3">
      <c r="A149" s="418"/>
      <c r="B149" s="522" t="s">
        <v>264</v>
      </c>
      <c r="C149" s="448"/>
      <c r="D149" s="448"/>
      <c r="E149" s="448"/>
      <c r="F149" s="448"/>
      <c r="G149" s="448"/>
      <c r="H149" s="448"/>
      <c r="I149" s="448"/>
      <c r="J149" s="448"/>
      <c r="K149" s="448"/>
      <c r="L149" s="448"/>
      <c r="M149" s="448"/>
      <c r="N149" s="448"/>
      <c r="O149" s="448"/>
      <c r="P149" s="448"/>
      <c r="Q149" s="448"/>
      <c r="R149" s="448"/>
      <c r="S149" s="448"/>
      <c r="T149" s="450"/>
      <c r="U149" s="451"/>
      <c r="V149" s="405"/>
    </row>
    <row r="150" spans="1:23" x14ac:dyDescent="0.3">
      <c r="A150" s="418"/>
      <c r="B150" s="532" t="s">
        <v>170</v>
      </c>
      <c r="C150" s="532"/>
      <c r="D150" s="532"/>
      <c r="E150" s="532"/>
      <c r="F150" s="532"/>
      <c r="G150" s="532"/>
      <c r="H150" s="532"/>
      <c r="I150" s="532"/>
      <c r="J150" s="532"/>
      <c r="K150" s="532"/>
      <c r="L150" s="532"/>
      <c r="M150" s="532"/>
      <c r="N150" s="532"/>
      <c r="O150" s="532"/>
      <c r="P150" s="532"/>
      <c r="Q150" s="532"/>
      <c r="R150" s="532"/>
      <c r="S150" s="532"/>
      <c r="T150" s="535">
        <v>10000</v>
      </c>
      <c r="U150" s="420"/>
      <c r="V150" s="405"/>
    </row>
    <row r="151" spans="1:23" x14ac:dyDescent="0.3">
      <c r="A151" s="418"/>
      <c r="B151" s="532" t="s">
        <v>260</v>
      </c>
      <c r="C151" s="532"/>
      <c r="D151" s="532"/>
      <c r="E151" s="532"/>
      <c r="F151" s="532"/>
      <c r="G151" s="532"/>
      <c r="H151" s="532"/>
      <c r="I151" s="532"/>
      <c r="J151" s="532"/>
      <c r="K151" s="532"/>
      <c r="L151" s="532"/>
      <c r="M151" s="532"/>
      <c r="N151" s="532"/>
      <c r="O151" s="532"/>
      <c r="P151" s="532"/>
      <c r="Q151" s="532"/>
      <c r="R151" s="532"/>
      <c r="S151" s="532"/>
      <c r="T151" s="535">
        <v>0</v>
      </c>
      <c r="U151" s="420"/>
      <c r="V151" s="405"/>
    </row>
    <row r="152" spans="1:23" x14ac:dyDescent="0.3">
      <c r="A152" s="418"/>
      <c r="B152" s="532" t="s">
        <v>228</v>
      </c>
      <c r="C152" s="532"/>
      <c r="D152" s="532"/>
      <c r="E152" s="532"/>
      <c r="F152" s="532"/>
      <c r="G152" s="532"/>
      <c r="H152" s="532"/>
      <c r="I152" s="532"/>
      <c r="J152" s="532"/>
      <c r="K152" s="532"/>
      <c r="L152" s="532"/>
      <c r="M152" s="532"/>
      <c r="N152" s="532"/>
      <c r="O152" s="532"/>
      <c r="P152" s="532"/>
      <c r="Q152" s="532"/>
      <c r="R152" s="532"/>
      <c r="S152" s="532"/>
      <c r="T152" s="535">
        <v>0</v>
      </c>
      <c r="U152" s="420"/>
      <c r="V152" s="405"/>
    </row>
    <row r="153" spans="1:23" x14ac:dyDescent="0.3">
      <c r="A153" s="418"/>
      <c r="B153" s="568" t="s">
        <v>327</v>
      </c>
      <c r="C153" s="532"/>
      <c r="D153" s="532"/>
      <c r="E153" s="532"/>
      <c r="F153" s="532"/>
      <c r="G153" s="532"/>
      <c r="H153" s="532"/>
      <c r="I153" s="532"/>
      <c r="J153" s="532"/>
      <c r="K153" s="532"/>
      <c r="L153" s="532"/>
      <c r="M153" s="532"/>
      <c r="N153" s="532"/>
      <c r="O153" s="532"/>
      <c r="P153" s="532"/>
      <c r="Q153" s="532"/>
      <c r="R153" s="532"/>
      <c r="S153" s="532"/>
      <c r="T153" s="535">
        <v>0</v>
      </c>
      <c r="U153" s="420"/>
      <c r="V153" s="405"/>
    </row>
    <row r="154" spans="1:23" x14ac:dyDescent="0.3">
      <c r="A154" s="418"/>
      <c r="B154" s="448"/>
      <c r="C154" s="448"/>
      <c r="D154" s="448"/>
      <c r="E154" s="448"/>
      <c r="F154" s="448"/>
      <c r="G154" s="448"/>
      <c r="H154" s="448"/>
      <c r="I154" s="448"/>
      <c r="J154" s="448"/>
      <c r="K154" s="448"/>
      <c r="L154" s="448"/>
      <c r="M154" s="448"/>
      <c r="N154" s="448"/>
      <c r="O154" s="448"/>
      <c r="P154" s="448"/>
      <c r="Q154" s="448"/>
      <c r="R154" s="448"/>
      <c r="S154" s="448"/>
      <c r="T154" s="450"/>
      <c r="U154" s="451"/>
      <c r="V154" s="405"/>
    </row>
    <row r="155" spans="1:23" x14ac:dyDescent="0.3">
      <c r="A155" s="407"/>
      <c r="B155" s="444"/>
      <c r="C155" s="444"/>
      <c r="D155" s="444"/>
      <c r="E155" s="444"/>
      <c r="F155" s="444"/>
      <c r="G155" s="444"/>
      <c r="H155" s="444"/>
      <c r="I155" s="444"/>
      <c r="J155" s="444"/>
      <c r="K155" s="444"/>
      <c r="L155" s="444"/>
      <c r="M155" s="444"/>
      <c r="N155" s="444"/>
      <c r="O155" s="444"/>
      <c r="P155" s="444"/>
      <c r="Q155" s="444"/>
      <c r="R155" s="444"/>
      <c r="S155" s="444"/>
      <c r="T155" s="459"/>
      <c r="U155" s="444"/>
      <c r="V155" s="405"/>
    </row>
    <row r="156" spans="1:23" x14ac:dyDescent="0.3">
      <c r="A156" s="407"/>
      <c r="B156" s="523" t="s">
        <v>25</v>
      </c>
      <c r="C156" s="409"/>
      <c r="D156" s="409"/>
      <c r="E156" s="409"/>
      <c r="F156" s="409"/>
      <c r="G156" s="409"/>
      <c r="H156" s="409"/>
      <c r="I156" s="409"/>
      <c r="J156" s="409"/>
      <c r="K156" s="409"/>
      <c r="L156" s="409"/>
      <c r="M156" s="409"/>
      <c r="N156" s="409"/>
      <c r="O156" s="409"/>
      <c r="P156" s="409"/>
      <c r="Q156" s="409"/>
      <c r="R156" s="409"/>
      <c r="S156" s="409"/>
      <c r="T156" s="441"/>
      <c r="U156" s="409"/>
      <c r="V156" s="405"/>
    </row>
    <row r="157" spans="1:23" x14ac:dyDescent="0.3">
      <c r="A157" s="418"/>
      <c r="B157" s="532" t="s">
        <v>51</v>
      </c>
      <c r="C157" s="532"/>
      <c r="D157" s="532"/>
      <c r="E157" s="532"/>
      <c r="F157" s="532"/>
      <c r="G157" s="532"/>
      <c r="H157" s="532"/>
      <c r="I157" s="532"/>
      <c r="J157" s="532"/>
      <c r="K157" s="532"/>
      <c r="L157" s="532"/>
      <c r="M157" s="532"/>
      <c r="N157" s="532"/>
      <c r="O157" s="532"/>
      <c r="P157" s="532"/>
      <c r="Q157" s="532"/>
      <c r="R157" s="532"/>
      <c r="S157" s="532"/>
      <c r="T157" s="561" t="s">
        <v>127</v>
      </c>
      <c r="U157" s="451"/>
      <c r="V157" s="405"/>
    </row>
    <row r="158" spans="1:23" x14ac:dyDescent="0.3">
      <c r="A158" s="418"/>
      <c r="B158" s="532" t="s">
        <v>52</v>
      </c>
      <c r="C158" s="532"/>
      <c r="D158" s="532"/>
      <c r="E158" s="532"/>
      <c r="F158" s="532"/>
      <c r="G158" s="532"/>
      <c r="H158" s="532"/>
      <c r="I158" s="532"/>
      <c r="J158" s="532"/>
      <c r="K158" s="532"/>
      <c r="L158" s="532"/>
      <c r="M158" s="532"/>
      <c r="N158" s="532"/>
      <c r="O158" s="532"/>
      <c r="P158" s="532"/>
      <c r="Q158" s="532"/>
      <c r="R158" s="532"/>
      <c r="S158" s="532"/>
      <c r="T158" s="561" t="s">
        <v>127</v>
      </c>
      <c r="U158" s="451"/>
      <c r="V158" s="405"/>
    </row>
    <row r="159" spans="1:23" x14ac:dyDescent="0.3">
      <c r="A159" s="418"/>
      <c r="B159" s="532" t="s">
        <v>53</v>
      </c>
      <c r="C159" s="532"/>
      <c r="D159" s="532"/>
      <c r="E159" s="532"/>
      <c r="F159" s="532"/>
      <c r="G159" s="532"/>
      <c r="H159" s="532"/>
      <c r="I159" s="532"/>
      <c r="J159" s="532"/>
      <c r="K159" s="532"/>
      <c r="L159" s="532"/>
      <c r="M159" s="532"/>
      <c r="N159" s="532"/>
      <c r="O159" s="532"/>
      <c r="P159" s="532"/>
      <c r="Q159" s="532"/>
      <c r="R159" s="532"/>
      <c r="S159" s="532"/>
      <c r="T159" s="561" t="s">
        <v>127</v>
      </c>
      <c r="U159" s="451"/>
      <c r="V159" s="405"/>
    </row>
    <row r="160" spans="1:23" x14ac:dyDescent="0.3">
      <c r="A160" s="418"/>
      <c r="B160" s="532" t="s">
        <v>54</v>
      </c>
      <c r="C160" s="532"/>
      <c r="D160" s="532"/>
      <c r="E160" s="532"/>
      <c r="F160" s="532"/>
      <c r="G160" s="532"/>
      <c r="H160" s="532"/>
      <c r="I160" s="532"/>
      <c r="J160" s="532"/>
      <c r="K160" s="532"/>
      <c r="L160" s="532"/>
      <c r="M160" s="532"/>
      <c r="N160" s="532"/>
      <c r="O160" s="532"/>
      <c r="P160" s="532"/>
      <c r="Q160" s="532"/>
      <c r="R160" s="532"/>
      <c r="S160" s="532"/>
      <c r="T160" s="561" t="s">
        <v>127</v>
      </c>
      <c r="U160" s="451"/>
      <c r="V160" s="405"/>
    </row>
    <row r="161" spans="1:22" x14ac:dyDescent="0.3">
      <c r="A161" s="407"/>
      <c r="B161" s="444"/>
      <c r="C161" s="444"/>
      <c r="D161" s="444"/>
      <c r="E161" s="444"/>
      <c r="F161" s="444"/>
      <c r="G161" s="444"/>
      <c r="H161" s="444"/>
      <c r="I161" s="444"/>
      <c r="J161" s="444"/>
      <c r="K161" s="444"/>
      <c r="L161" s="444"/>
      <c r="M161" s="444"/>
      <c r="N161" s="444"/>
      <c r="O161" s="444"/>
      <c r="P161" s="444"/>
      <c r="Q161" s="444"/>
      <c r="R161" s="444"/>
      <c r="S161" s="444"/>
      <c r="T161" s="459"/>
      <c r="U161" s="444"/>
      <c r="V161" s="405"/>
    </row>
    <row r="162" spans="1:22" x14ac:dyDescent="0.3">
      <c r="A162" s="407"/>
      <c r="B162" s="523" t="s">
        <v>55</v>
      </c>
      <c r="C162" s="409"/>
      <c r="D162" s="409"/>
      <c r="E162" s="409"/>
      <c r="F162" s="409"/>
      <c r="G162" s="409"/>
      <c r="H162" s="409"/>
      <c r="I162" s="409"/>
      <c r="J162" s="409"/>
      <c r="K162" s="409"/>
      <c r="L162" s="409"/>
      <c r="M162" s="409"/>
      <c r="N162" s="409"/>
      <c r="O162" s="409"/>
      <c r="P162" s="409"/>
      <c r="Q162" s="409"/>
      <c r="R162" s="409"/>
      <c r="S162" s="409"/>
      <c r="T162" s="460"/>
      <c r="U162" s="409"/>
      <c r="V162" s="405"/>
    </row>
    <row r="163" spans="1:22" x14ac:dyDescent="0.3">
      <c r="A163" s="418"/>
      <c r="B163" s="532" t="s">
        <v>56</v>
      </c>
      <c r="C163" s="532"/>
      <c r="D163" s="532"/>
      <c r="E163" s="532"/>
      <c r="F163" s="532"/>
      <c r="G163" s="532"/>
      <c r="H163" s="532"/>
      <c r="I163" s="532"/>
      <c r="J163" s="532"/>
      <c r="K163" s="532"/>
      <c r="L163" s="532"/>
      <c r="M163" s="532"/>
      <c r="N163" s="532"/>
      <c r="O163" s="532"/>
      <c r="P163" s="532"/>
      <c r="Q163" s="532"/>
      <c r="R163" s="532"/>
      <c r="S163" s="532"/>
      <c r="T163" s="535">
        <v>0</v>
      </c>
      <c r="U163" s="451"/>
      <c r="V163" s="405"/>
    </row>
    <row r="164" spans="1:22" x14ac:dyDescent="0.3">
      <c r="A164" s="418"/>
      <c r="B164" s="532" t="s">
        <v>57</v>
      </c>
      <c r="C164" s="532"/>
      <c r="D164" s="532"/>
      <c r="E164" s="532"/>
      <c r="F164" s="532"/>
      <c r="G164" s="532"/>
      <c r="H164" s="532"/>
      <c r="I164" s="532"/>
      <c r="J164" s="532"/>
      <c r="K164" s="532"/>
      <c r="L164" s="532"/>
      <c r="M164" s="532"/>
      <c r="N164" s="532"/>
      <c r="O164" s="532"/>
      <c r="P164" s="532"/>
      <c r="Q164" s="532"/>
      <c r="R164" s="532"/>
      <c r="S164" s="532"/>
      <c r="T164" s="535">
        <f>-T113</f>
        <v>22</v>
      </c>
      <c r="U164" s="451"/>
      <c r="V164" s="405"/>
    </row>
    <row r="165" spans="1:22" x14ac:dyDescent="0.3">
      <c r="A165" s="418"/>
      <c r="B165" s="532" t="s">
        <v>58</v>
      </c>
      <c r="C165" s="532"/>
      <c r="D165" s="532"/>
      <c r="E165" s="532"/>
      <c r="F165" s="532"/>
      <c r="G165" s="532"/>
      <c r="H165" s="532"/>
      <c r="I165" s="532"/>
      <c r="J165" s="532"/>
      <c r="K165" s="532"/>
      <c r="L165" s="532"/>
      <c r="M165" s="532"/>
      <c r="N165" s="532"/>
      <c r="O165" s="532"/>
      <c r="P165" s="532"/>
      <c r="Q165" s="532"/>
      <c r="R165" s="532"/>
      <c r="S165" s="532"/>
      <c r="T165" s="535">
        <f>T164+T163</f>
        <v>22</v>
      </c>
      <c r="U165" s="451"/>
      <c r="V165" s="405"/>
    </row>
    <row r="166" spans="1:22" x14ac:dyDescent="0.3">
      <c r="A166" s="418"/>
      <c r="B166" s="568" t="s">
        <v>309</v>
      </c>
      <c r="C166" s="532"/>
      <c r="D166" s="532"/>
      <c r="E166" s="532"/>
      <c r="F166" s="532"/>
      <c r="G166" s="532"/>
      <c r="H166" s="532"/>
      <c r="I166" s="532"/>
      <c r="J166" s="532"/>
      <c r="K166" s="532"/>
      <c r="L166" s="532"/>
      <c r="M166" s="532"/>
      <c r="N166" s="532"/>
      <c r="O166" s="532"/>
      <c r="P166" s="532"/>
      <c r="Q166" s="532"/>
      <c r="R166" s="532"/>
      <c r="S166" s="532"/>
      <c r="T166" s="535">
        <f>T113</f>
        <v>-22</v>
      </c>
      <c r="U166" s="451"/>
      <c r="V166" s="405"/>
    </row>
    <row r="167" spans="1:22" x14ac:dyDescent="0.3">
      <c r="A167" s="418"/>
      <c r="B167" s="532" t="s">
        <v>59</v>
      </c>
      <c r="C167" s="532"/>
      <c r="D167" s="532"/>
      <c r="E167" s="532"/>
      <c r="F167" s="532"/>
      <c r="G167" s="532"/>
      <c r="H167" s="532"/>
      <c r="I167" s="532"/>
      <c r="J167" s="532"/>
      <c r="K167" s="532"/>
      <c r="L167" s="532"/>
      <c r="M167" s="532"/>
      <c r="N167" s="532"/>
      <c r="O167" s="532"/>
      <c r="P167" s="532"/>
      <c r="Q167" s="532"/>
      <c r="R167" s="532"/>
      <c r="S167" s="532"/>
      <c r="T167" s="535">
        <f>T165+T166</f>
        <v>0</v>
      </c>
      <c r="U167" s="451"/>
      <c r="V167" s="405"/>
    </row>
    <row r="168" spans="1:22" x14ac:dyDescent="0.3">
      <c r="A168" s="418"/>
      <c r="B168" s="532" t="s">
        <v>278</v>
      </c>
      <c r="C168" s="532"/>
      <c r="D168" s="532"/>
      <c r="E168" s="532"/>
      <c r="F168" s="532"/>
      <c r="G168" s="532"/>
      <c r="H168" s="532"/>
      <c r="I168" s="532"/>
      <c r="J168" s="532"/>
      <c r="K168" s="532"/>
      <c r="L168" s="532"/>
      <c r="M168" s="532"/>
      <c r="N168" s="532"/>
      <c r="O168" s="532"/>
      <c r="P168" s="532"/>
      <c r="Q168" s="532"/>
      <c r="R168" s="532"/>
      <c r="S168" s="532"/>
      <c r="T168" s="535">
        <v>0</v>
      </c>
      <c r="U168" s="451"/>
      <c r="V168" s="405"/>
    </row>
    <row r="169" spans="1:22" ht="16.2" thickBot="1" x14ac:dyDescent="0.35">
      <c r="A169" s="407"/>
      <c r="B169" s="431"/>
      <c r="C169" s="431"/>
      <c r="D169" s="431"/>
      <c r="E169" s="431"/>
      <c r="F169" s="431"/>
      <c r="G169" s="431"/>
      <c r="H169" s="431"/>
      <c r="I169" s="431"/>
      <c r="J169" s="431"/>
      <c r="K169" s="431"/>
      <c r="L169" s="431"/>
      <c r="M169" s="431"/>
      <c r="N169" s="431"/>
      <c r="O169" s="431"/>
      <c r="P169" s="431"/>
      <c r="Q169" s="431"/>
      <c r="R169" s="431"/>
      <c r="S169" s="431"/>
      <c r="T169" s="461"/>
      <c r="U169" s="444"/>
      <c r="V169" s="405"/>
    </row>
    <row r="170" spans="1:22" x14ac:dyDescent="0.3">
      <c r="A170" s="403"/>
      <c r="B170" s="404"/>
      <c r="C170" s="404"/>
      <c r="D170" s="404"/>
      <c r="E170" s="404"/>
      <c r="F170" s="404"/>
      <c r="G170" s="404"/>
      <c r="H170" s="404"/>
      <c r="I170" s="404"/>
      <c r="J170" s="404"/>
      <c r="K170" s="404"/>
      <c r="L170" s="404"/>
      <c r="M170" s="404"/>
      <c r="N170" s="404"/>
      <c r="O170" s="404"/>
      <c r="P170" s="404"/>
      <c r="Q170" s="404"/>
      <c r="R170" s="404"/>
      <c r="S170" s="404"/>
      <c r="T170" s="462"/>
      <c r="U170" s="404"/>
      <c r="V170" s="405"/>
    </row>
    <row r="171" spans="1:22" x14ac:dyDescent="0.3">
      <c r="A171" s="407"/>
      <c r="B171" s="523" t="s">
        <v>60</v>
      </c>
      <c r="C171" s="409"/>
      <c r="D171" s="409"/>
      <c r="E171" s="409"/>
      <c r="F171" s="409"/>
      <c r="G171" s="409"/>
      <c r="H171" s="409"/>
      <c r="I171" s="409"/>
      <c r="J171" s="409"/>
      <c r="K171" s="409"/>
      <c r="L171" s="409"/>
      <c r="M171" s="409"/>
      <c r="N171" s="409"/>
      <c r="O171" s="409"/>
      <c r="P171" s="409"/>
      <c r="Q171" s="409"/>
      <c r="R171" s="409"/>
      <c r="S171" s="409"/>
      <c r="T171" s="441"/>
      <c r="U171" s="409"/>
      <c r="V171" s="405"/>
    </row>
    <row r="172" spans="1:22" x14ac:dyDescent="0.3">
      <c r="A172" s="407"/>
      <c r="B172" s="458"/>
      <c r="C172" s="409"/>
      <c r="D172" s="409"/>
      <c r="E172" s="409"/>
      <c r="F172" s="409"/>
      <c r="G172" s="409"/>
      <c r="H172" s="409"/>
      <c r="I172" s="409"/>
      <c r="J172" s="409"/>
      <c r="K172" s="409"/>
      <c r="L172" s="409"/>
      <c r="M172" s="409"/>
      <c r="N172" s="409"/>
      <c r="O172" s="409"/>
      <c r="P172" s="409"/>
      <c r="Q172" s="409"/>
      <c r="R172" s="409"/>
      <c r="S172" s="409"/>
      <c r="T172" s="441"/>
      <c r="U172" s="409"/>
      <c r="V172" s="405"/>
    </row>
    <row r="173" spans="1:22" x14ac:dyDescent="0.3">
      <c r="A173" s="418"/>
      <c r="B173" s="532" t="s">
        <v>61</v>
      </c>
      <c r="C173" s="532"/>
      <c r="D173" s="532"/>
      <c r="E173" s="532"/>
      <c r="F173" s="532"/>
      <c r="G173" s="532"/>
      <c r="H173" s="532"/>
      <c r="I173" s="532"/>
      <c r="J173" s="532"/>
      <c r="K173" s="532"/>
      <c r="L173" s="532"/>
      <c r="M173" s="532"/>
      <c r="N173" s="532"/>
      <c r="O173" s="532"/>
      <c r="P173" s="532"/>
      <c r="Q173" s="532"/>
      <c r="R173" s="532"/>
      <c r="S173" s="532"/>
      <c r="T173" s="535">
        <f>T68</f>
        <v>224793</v>
      </c>
      <c r="U173" s="451"/>
      <c r="V173" s="405"/>
    </row>
    <row r="174" spans="1:22" x14ac:dyDescent="0.3">
      <c r="A174" s="418"/>
      <c r="B174" s="532" t="s">
        <v>62</v>
      </c>
      <c r="C174" s="532"/>
      <c r="D174" s="532"/>
      <c r="E174" s="532"/>
      <c r="F174" s="532"/>
      <c r="G174" s="532"/>
      <c r="H174" s="532"/>
      <c r="I174" s="532"/>
      <c r="J174" s="532"/>
      <c r="K174" s="532"/>
      <c r="L174" s="532"/>
      <c r="M174" s="532"/>
      <c r="N174" s="532"/>
      <c r="O174" s="532"/>
      <c r="P174" s="532"/>
      <c r="Q174" s="532"/>
      <c r="R174" s="532"/>
      <c r="S174" s="532"/>
      <c r="T174" s="535">
        <f>T81</f>
        <v>224793</v>
      </c>
      <c r="U174" s="451"/>
      <c r="V174" s="405"/>
    </row>
    <row r="175" spans="1:22" ht="16.2" thickBot="1" x14ac:dyDescent="0.35">
      <c r="A175" s="407"/>
      <c r="B175" s="444"/>
      <c r="C175" s="444"/>
      <c r="D175" s="444"/>
      <c r="E175" s="444"/>
      <c r="F175" s="444"/>
      <c r="G175" s="444"/>
      <c r="H175" s="444"/>
      <c r="I175" s="444"/>
      <c r="J175" s="444"/>
      <c r="K175" s="444"/>
      <c r="L175" s="444"/>
      <c r="M175" s="444"/>
      <c r="N175" s="444"/>
      <c r="O175" s="444"/>
      <c r="P175" s="444"/>
      <c r="Q175" s="444"/>
      <c r="R175" s="444"/>
      <c r="S175" s="444"/>
      <c r="T175" s="459"/>
      <c r="U175" s="444"/>
      <c r="V175" s="405"/>
    </row>
    <row r="176" spans="1:22" x14ac:dyDescent="0.3">
      <c r="A176" s="403"/>
      <c r="B176" s="404"/>
      <c r="C176" s="404"/>
      <c r="D176" s="404"/>
      <c r="E176" s="404"/>
      <c r="F176" s="404"/>
      <c r="G176" s="404"/>
      <c r="H176" s="404"/>
      <c r="I176" s="404"/>
      <c r="J176" s="404"/>
      <c r="K176" s="404"/>
      <c r="L176" s="404"/>
      <c r="M176" s="404"/>
      <c r="N176" s="404"/>
      <c r="O176" s="404"/>
      <c r="P176" s="404"/>
      <c r="Q176" s="404"/>
      <c r="R176" s="404"/>
      <c r="S176" s="404"/>
      <c r="T176" s="462"/>
      <c r="U176" s="404"/>
      <c r="V176" s="405"/>
    </row>
    <row r="177" spans="1:22" s="529" customFormat="1" x14ac:dyDescent="0.3">
      <c r="A177" s="524"/>
      <c r="B177" s="523" t="s">
        <v>63</v>
      </c>
      <c r="C177" s="525"/>
      <c r="D177" s="525"/>
      <c r="E177" s="525"/>
      <c r="F177" s="525"/>
      <c r="G177" s="525"/>
      <c r="H177" s="526"/>
      <c r="I177" s="526"/>
      <c r="J177" s="526"/>
      <c r="K177" s="526"/>
      <c r="L177" s="526"/>
      <c r="M177" s="526"/>
      <c r="N177" s="526"/>
      <c r="O177" s="526"/>
      <c r="P177" s="526"/>
      <c r="Q177" s="526" t="s">
        <v>107</v>
      </c>
      <c r="R177" s="526" t="s">
        <v>234</v>
      </c>
      <c r="S177" s="411"/>
      <c r="T177" s="527" t="s">
        <v>123</v>
      </c>
      <c r="U177" s="411"/>
      <c r="V177" s="528"/>
    </row>
    <row r="178" spans="1:22" x14ac:dyDescent="0.3">
      <c r="A178" s="418"/>
      <c r="B178" s="532" t="s">
        <v>64</v>
      </c>
      <c r="C178" s="532"/>
      <c r="D178" s="532"/>
      <c r="E178" s="532"/>
      <c r="F178" s="532"/>
      <c r="G178" s="532"/>
      <c r="H178" s="532"/>
      <c r="I178" s="532"/>
      <c r="J178" s="532"/>
      <c r="K178" s="532"/>
      <c r="L178" s="532"/>
      <c r="M178" s="532"/>
      <c r="N178" s="532"/>
      <c r="O178" s="532"/>
      <c r="P178" s="532"/>
      <c r="Q178" s="535">
        <v>112000</v>
      </c>
      <c r="R178" s="550"/>
      <c r="S178" s="532"/>
      <c r="T178" s="535"/>
      <c r="U178" s="420"/>
      <c r="V178" s="405"/>
    </row>
    <row r="179" spans="1:22" x14ac:dyDescent="0.3">
      <c r="A179" s="418"/>
      <c r="B179" s="532" t="s">
        <v>65</v>
      </c>
      <c r="C179" s="532"/>
      <c r="D179" s="532"/>
      <c r="E179" s="532"/>
      <c r="F179" s="532"/>
      <c r="G179" s="532"/>
      <c r="H179" s="532"/>
      <c r="I179" s="532"/>
      <c r="J179" s="532"/>
      <c r="K179" s="532"/>
      <c r="L179" s="532"/>
      <c r="M179" s="532"/>
      <c r="N179" s="532"/>
      <c r="O179" s="532"/>
      <c r="P179" s="532"/>
      <c r="Q179" s="535">
        <f>+'Jan 18'!Q181</f>
        <v>49485</v>
      </c>
      <c r="R179" s="535">
        <f>+'Jan 18'!R181</f>
        <v>2435</v>
      </c>
      <c r="S179" s="532"/>
      <c r="T179" s="535">
        <f>Q179+R179</f>
        <v>51920</v>
      </c>
      <c r="U179" s="420"/>
      <c r="V179" s="405"/>
    </row>
    <row r="180" spans="1:22" x14ac:dyDescent="0.3">
      <c r="A180" s="418"/>
      <c r="B180" s="532" t="s">
        <v>66</v>
      </c>
      <c r="C180" s="532"/>
      <c r="D180" s="532"/>
      <c r="E180" s="532"/>
      <c r="F180" s="532"/>
      <c r="G180" s="532"/>
      <c r="H180" s="532"/>
      <c r="I180" s="532"/>
      <c r="J180" s="532"/>
      <c r="K180" s="532"/>
      <c r="L180" s="532"/>
      <c r="M180" s="532"/>
      <c r="N180" s="532"/>
      <c r="O180" s="532"/>
      <c r="P180" s="532"/>
      <c r="Q180" s="531">
        <v>585</v>
      </c>
      <c r="R180" s="531">
        <v>0</v>
      </c>
      <c r="S180" s="532"/>
      <c r="T180" s="535">
        <f>Q180+R180</f>
        <v>585</v>
      </c>
      <c r="U180" s="420"/>
      <c r="V180" s="405"/>
    </row>
    <row r="181" spans="1:22" x14ac:dyDescent="0.3">
      <c r="A181" s="418"/>
      <c r="B181" s="532" t="s">
        <v>67</v>
      </c>
      <c r="C181" s="532"/>
      <c r="D181" s="532"/>
      <c r="E181" s="532"/>
      <c r="F181" s="532"/>
      <c r="G181" s="532"/>
      <c r="H181" s="532"/>
      <c r="I181" s="532"/>
      <c r="J181" s="532"/>
      <c r="K181" s="532"/>
      <c r="L181" s="532"/>
      <c r="M181" s="532"/>
      <c r="N181" s="532"/>
      <c r="O181" s="532"/>
      <c r="P181" s="532"/>
      <c r="Q181" s="535">
        <f>Q179+Q180</f>
        <v>50070</v>
      </c>
      <c r="R181" s="535">
        <f>R180+R179</f>
        <v>2435</v>
      </c>
      <c r="S181" s="532"/>
      <c r="T181" s="535">
        <f>Q181+R181</f>
        <v>52505</v>
      </c>
      <c r="U181" s="420"/>
      <c r="V181" s="405"/>
    </row>
    <row r="182" spans="1:22" x14ac:dyDescent="0.3">
      <c r="A182" s="418"/>
      <c r="B182" s="532" t="s">
        <v>68</v>
      </c>
      <c r="C182" s="532"/>
      <c r="D182" s="532"/>
      <c r="E182" s="532"/>
      <c r="F182" s="532"/>
      <c r="G182" s="532"/>
      <c r="H182" s="532"/>
      <c r="I182" s="532"/>
      <c r="J182" s="532"/>
      <c r="K182" s="532"/>
      <c r="L182" s="532"/>
      <c r="M182" s="532"/>
      <c r="N182" s="532"/>
      <c r="O182" s="532"/>
      <c r="P182" s="532"/>
      <c r="Q182" s="535">
        <f>Q178-Q181-R181</f>
        <v>59495</v>
      </c>
      <c r="R182" s="550"/>
      <c r="S182" s="532"/>
      <c r="T182" s="535"/>
      <c r="U182" s="420"/>
      <c r="V182" s="405"/>
    </row>
    <row r="183" spans="1:22" ht="16.2" thickBot="1" x14ac:dyDescent="0.35">
      <c r="A183" s="407"/>
      <c r="B183" s="444"/>
      <c r="C183" s="444"/>
      <c r="D183" s="444"/>
      <c r="E183" s="444"/>
      <c r="F183" s="444"/>
      <c r="G183" s="444"/>
      <c r="H183" s="444"/>
      <c r="I183" s="444"/>
      <c r="J183" s="444"/>
      <c r="K183" s="444"/>
      <c r="L183" s="444"/>
      <c r="M183" s="444"/>
      <c r="N183" s="444"/>
      <c r="O183" s="444"/>
      <c r="P183" s="444"/>
      <c r="Q183" s="444"/>
      <c r="R183" s="444"/>
      <c r="S183" s="444"/>
      <c r="T183" s="459"/>
      <c r="U183" s="444"/>
      <c r="V183" s="405"/>
    </row>
    <row r="184" spans="1:22" x14ac:dyDescent="0.3">
      <c r="A184" s="403"/>
      <c r="B184" s="404"/>
      <c r="C184" s="404"/>
      <c r="D184" s="404"/>
      <c r="E184" s="404"/>
      <c r="F184" s="404"/>
      <c r="G184" s="404"/>
      <c r="H184" s="404"/>
      <c r="I184" s="404"/>
      <c r="J184" s="404"/>
      <c r="K184" s="404"/>
      <c r="L184" s="404"/>
      <c r="M184" s="404"/>
      <c r="N184" s="404"/>
      <c r="O184" s="404"/>
      <c r="P184" s="404"/>
      <c r="Q184" s="404"/>
      <c r="R184" s="404"/>
      <c r="S184" s="404"/>
      <c r="T184" s="462"/>
      <c r="U184" s="404"/>
      <c r="V184" s="405"/>
    </row>
    <row r="185" spans="1:22" x14ac:dyDescent="0.3">
      <c r="A185" s="407"/>
      <c r="B185" s="523" t="s">
        <v>69</v>
      </c>
      <c r="C185" s="409"/>
      <c r="D185" s="409"/>
      <c r="E185" s="409"/>
      <c r="F185" s="409"/>
      <c r="G185" s="409"/>
      <c r="H185" s="409"/>
      <c r="I185" s="409"/>
      <c r="J185" s="409"/>
      <c r="K185" s="409"/>
      <c r="L185" s="409"/>
      <c r="M185" s="409"/>
      <c r="N185" s="409"/>
      <c r="O185" s="409"/>
      <c r="P185" s="409"/>
      <c r="Q185" s="409"/>
      <c r="R185" s="409"/>
      <c r="S185" s="409"/>
      <c r="T185" s="463"/>
      <c r="U185" s="409"/>
      <c r="V185" s="405"/>
    </row>
    <row r="186" spans="1:22" x14ac:dyDescent="0.3">
      <c r="A186" s="418"/>
      <c r="B186" s="532" t="s">
        <v>70</v>
      </c>
      <c r="C186" s="532"/>
      <c r="D186" s="532"/>
      <c r="E186" s="532"/>
      <c r="F186" s="532"/>
      <c r="G186" s="532"/>
      <c r="H186" s="532"/>
      <c r="I186" s="532"/>
      <c r="J186" s="532"/>
      <c r="K186" s="532"/>
      <c r="L186" s="532"/>
      <c r="M186" s="532"/>
      <c r="N186" s="532"/>
      <c r="O186" s="532"/>
      <c r="P186" s="532"/>
      <c r="Q186" s="532"/>
      <c r="R186" s="532"/>
      <c r="S186" s="532"/>
      <c r="T186" s="561">
        <f>(T97+T99+T100+T101+T102+T103)/-(T104+T105+T106)</f>
        <v>3.2992518703241895</v>
      </c>
      <c r="U186" s="562" t="s">
        <v>124</v>
      </c>
      <c r="V186" s="405"/>
    </row>
    <row r="187" spans="1:22" x14ac:dyDescent="0.3">
      <c r="A187" s="418"/>
      <c r="B187" s="532" t="s">
        <v>71</v>
      </c>
      <c r="C187" s="532"/>
      <c r="D187" s="532"/>
      <c r="E187" s="532"/>
      <c r="F187" s="532"/>
      <c r="G187" s="532"/>
      <c r="H187" s="532"/>
      <c r="I187" s="532"/>
      <c r="J187" s="532"/>
      <c r="K187" s="532"/>
      <c r="L187" s="532"/>
      <c r="M187" s="532"/>
      <c r="N187" s="532"/>
      <c r="O187" s="532"/>
      <c r="P187" s="532"/>
      <c r="Q187" s="532"/>
      <c r="R187" s="532"/>
      <c r="S187" s="532"/>
      <c r="T187" s="563">
        <v>1.72</v>
      </c>
      <c r="U187" s="562" t="s">
        <v>124</v>
      </c>
      <c r="V187" s="405"/>
    </row>
    <row r="188" spans="1:22" x14ac:dyDescent="0.3">
      <c r="A188" s="418"/>
      <c r="B188" s="532" t="s">
        <v>72</v>
      </c>
      <c r="C188" s="532"/>
      <c r="D188" s="532"/>
      <c r="E188" s="532"/>
      <c r="F188" s="532"/>
      <c r="G188" s="532"/>
      <c r="H188" s="532"/>
      <c r="I188" s="532"/>
      <c r="J188" s="532"/>
      <c r="K188" s="532"/>
      <c r="L188" s="532"/>
      <c r="M188" s="532"/>
      <c r="N188" s="532"/>
      <c r="O188" s="532"/>
      <c r="P188" s="532"/>
      <c r="Q188" s="532"/>
      <c r="R188" s="532"/>
      <c r="S188" s="532"/>
      <c r="T188" s="561">
        <f>(T97+T99+T100+T101+T102+T103+T104+T105+T106)/-(T107+T108)</f>
        <v>18.078431372549019</v>
      </c>
      <c r="U188" s="562" t="s">
        <v>124</v>
      </c>
      <c r="V188" s="405"/>
    </row>
    <row r="189" spans="1:22" x14ac:dyDescent="0.3">
      <c r="A189" s="418"/>
      <c r="B189" s="532" t="s">
        <v>73</v>
      </c>
      <c r="C189" s="532"/>
      <c r="D189" s="532"/>
      <c r="E189" s="532"/>
      <c r="F189" s="532"/>
      <c r="G189" s="532"/>
      <c r="H189" s="532"/>
      <c r="I189" s="532"/>
      <c r="J189" s="532"/>
      <c r="K189" s="532"/>
      <c r="L189" s="532"/>
      <c r="M189" s="532"/>
      <c r="N189" s="532"/>
      <c r="O189" s="532"/>
      <c r="P189" s="532"/>
      <c r="Q189" s="532"/>
      <c r="R189" s="532"/>
      <c r="S189" s="532"/>
      <c r="T189" s="564">
        <v>9.82</v>
      </c>
      <c r="U189" s="562" t="s">
        <v>124</v>
      </c>
      <c r="V189" s="405"/>
    </row>
    <row r="190" spans="1:22" x14ac:dyDescent="0.3">
      <c r="A190" s="418"/>
      <c r="B190" s="532" t="s">
        <v>243</v>
      </c>
      <c r="C190" s="532"/>
      <c r="D190" s="532"/>
      <c r="E190" s="532"/>
      <c r="F190" s="532"/>
      <c r="G190" s="532"/>
      <c r="H190" s="532"/>
      <c r="I190" s="532"/>
      <c r="J190" s="532"/>
      <c r="K190" s="532"/>
      <c r="L190" s="532"/>
      <c r="M190" s="532"/>
      <c r="N190" s="532"/>
      <c r="O190" s="532"/>
      <c r="P190" s="532"/>
      <c r="Q190" s="532"/>
      <c r="R190" s="532"/>
      <c r="S190" s="532"/>
      <c r="T190" s="561">
        <f>(T97+T99+T100+T101+T102+T103+T104+T105+T106+T107+T108)/-(T109+T110)</f>
        <v>6.8046875</v>
      </c>
      <c r="U190" s="562" t="s">
        <v>124</v>
      </c>
      <c r="V190" s="405"/>
    </row>
    <row r="191" spans="1:22" x14ac:dyDescent="0.3">
      <c r="A191" s="418"/>
      <c r="B191" s="532" t="s">
        <v>244</v>
      </c>
      <c r="C191" s="532"/>
      <c r="D191" s="532"/>
      <c r="E191" s="532"/>
      <c r="F191" s="532"/>
      <c r="G191" s="532"/>
      <c r="H191" s="532"/>
      <c r="I191" s="532"/>
      <c r="J191" s="532"/>
      <c r="K191" s="532"/>
      <c r="L191" s="532"/>
      <c r="M191" s="532"/>
      <c r="N191" s="532"/>
      <c r="O191" s="532"/>
      <c r="P191" s="532"/>
      <c r="Q191" s="532"/>
      <c r="R191" s="532"/>
      <c r="S191" s="532"/>
      <c r="T191" s="564">
        <v>4.34</v>
      </c>
      <c r="U191" s="562" t="s">
        <v>124</v>
      </c>
      <c r="V191" s="405"/>
    </row>
    <row r="192" spans="1:22" x14ac:dyDescent="0.3">
      <c r="A192" s="418"/>
      <c r="B192" s="532"/>
      <c r="C192" s="532"/>
      <c r="D192" s="532"/>
      <c r="E192" s="532"/>
      <c r="F192" s="532"/>
      <c r="G192" s="532"/>
      <c r="H192" s="532"/>
      <c r="I192" s="532"/>
      <c r="J192" s="532"/>
      <c r="K192" s="532"/>
      <c r="L192" s="532"/>
      <c r="M192" s="532"/>
      <c r="N192" s="532"/>
      <c r="O192" s="532"/>
      <c r="P192" s="532"/>
      <c r="Q192" s="532"/>
      <c r="R192" s="532"/>
      <c r="S192" s="532"/>
      <c r="T192" s="532"/>
      <c r="U192" s="562"/>
      <c r="V192" s="405"/>
    </row>
    <row r="193" spans="1:22" x14ac:dyDescent="0.3">
      <c r="A193" s="407"/>
      <c r="B193" s="539"/>
      <c r="C193" s="539"/>
      <c r="D193" s="539"/>
      <c r="E193" s="539"/>
      <c r="F193" s="539"/>
      <c r="G193" s="539"/>
      <c r="H193" s="539"/>
      <c r="I193" s="539"/>
      <c r="J193" s="539"/>
      <c r="K193" s="539"/>
      <c r="L193" s="539"/>
      <c r="M193" s="539"/>
      <c r="N193" s="539"/>
      <c r="O193" s="539"/>
      <c r="P193" s="539"/>
      <c r="Q193" s="539"/>
      <c r="R193" s="539"/>
      <c r="S193" s="539"/>
      <c r="T193" s="539"/>
      <c r="U193" s="539"/>
      <c r="V193" s="405"/>
    </row>
    <row r="194" spans="1:22" x14ac:dyDescent="0.3">
      <c r="A194" s="407"/>
      <c r="B194" s="542"/>
      <c r="C194" s="542"/>
      <c r="D194" s="542"/>
      <c r="E194" s="542"/>
      <c r="F194" s="542"/>
      <c r="G194" s="542"/>
      <c r="H194" s="542"/>
      <c r="I194" s="542"/>
      <c r="J194" s="542"/>
      <c r="K194" s="542"/>
      <c r="L194" s="542"/>
      <c r="M194" s="542"/>
      <c r="N194" s="542"/>
      <c r="O194" s="542"/>
      <c r="P194" s="542"/>
      <c r="Q194" s="542"/>
      <c r="R194" s="542"/>
      <c r="S194" s="542"/>
      <c r="T194" s="542"/>
      <c r="U194" s="542"/>
      <c r="V194" s="405"/>
    </row>
    <row r="195" spans="1:22" ht="18.600000000000001" thickBot="1" x14ac:dyDescent="0.4">
      <c r="A195" s="464"/>
      <c r="B195" s="565" t="str">
        <f>B134</f>
        <v>PM9 INVESTOR REPORT QUARTER ENDING APRIL 2018</v>
      </c>
      <c r="C195" s="566"/>
      <c r="D195" s="566"/>
      <c r="E195" s="566"/>
      <c r="F195" s="566"/>
      <c r="G195" s="566"/>
      <c r="H195" s="566"/>
      <c r="I195" s="566"/>
      <c r="J195" s="566"/>
      <c r="K195" s="566"/>
      <c r="L195" s="566"/>
      <c r="M195" s="566"/>
      <c r="N195" s="566"/>
      <c r="O195" s="566"/>
      <c r="P195" s="566"/>
      <c r="Q195" s="566"/>
      <c r="R195" s="566"/>
      <c r="S195" s="566"/>
      <c r="T195" s="566"/>
      <c r="U195" s="567"/>
      <c r="V195" s="405"/>
    </row>
    <row r="196" spans="1:22" x14ac:dyDescent="0.3">
      <c r="A196" s="507"/>
      <c r="B196" s="508" t="s">
        <v>74</v>
      </c>
      <c r="C196" s="511"/>
      <c r="D196" s="511"/>
      <c r="E196" s="511"/>
      <c r="F196" s="511"/>
      <c r="G196" s="512"/>
      <c r="H196" s="512"/>
      <c r="I196" s="512"/>
      <c r="J196" s="512"/>
      <c r="K196" s="512"/>
      <c r="L196" s="512"/>
      <c r="M196" s="512"/>
      <c r="N196" s="512"/>
      <c r="O196" s="512"/>
      <c r="P196" s="512"/>
      <c r="Q196" s="512"/>
      <c r="R196" s="512">
        <v>43220</v>
      </c>
      <c r="S196" s="509"/>
      <c r="T196" s="509"/>
      <c r="U196" s="509"/>
      <c r="V196" s="405"/>
    </row>
    <row r="197" spans="1:22" x14ac:dyDescent="0.3">
      <c r="A197" s="465"/>
      <c r="B197" s="466"/>
      <c r="C197" s="467"/>
      <c r="D197" s="467"/>
      <c r="E197" s="467"/>
      <c r="F197" s="467"/>
      <c r="G197" s="468"/>
      <c r="H197" s="468"/>
      <c r="I197" s="468"/>
      <c r="J197" s="468"/>
      <c r="K197" s="468"/>
      <c r="L197" s="468"/>
      <c r="M197" s="468"/>
      <c r="N197" s="468"/>
      <c r="O197" s="468"/>
      <c r="P197" s="468"/>
      <c r="Q197" s="468"/>
      <c r="R197" s="468"/>
      <c r="S197" s="409"/>
      <c r="T197" s="409"/>
      <c r="U197" s="409"/>
      <c r="V197" s="405"/>
    </row>
    <row r="198" spans="1:22" x14ac:dyDescent="0.3">
      <c r="A198" s="469"/>
      <c r="B198" s="532" t="s">
        <v>75</v>
      </c>
      <c r="C198" s="556"/>
      <c r="D198" s="556"/>
      <c r="E198" s="556"/>
      <c r="F198" s="556"/>
      <c r="G198" s="557"/>
      <c r="H198" s="557"/>
      <c r="I198" s="557"/>
      <c r="J198" s="557"/>
      <c r="K198" s="557"/>
      <c r="L198" s="557"/>
      <c r="M198" s="557"/>
      <c r="N198" s="557"/>
      <c r="O198" s="557"/>
      <c r="P198" s="557"/>
      <c r="Q198" s="557"/>
      <c r="R198" s="558">
        <v>5.8209999999999998E-2</v>
      </c>
      <c r="S198" s="532"/>
      <c r="T198" s="419"/>
      <c r="U198" s="451"/>
      <c r="V198" s="405"/>
    </row>
    <row r="199" spans="1:22" x14ac:dyDescent="0.3">
      <c r="A199" s="469"/>
      <c r="B199" s="532" t="s">
        <v>164</v>
      </c>
      <c r="C199" s="556"/>
      <c r="D199" s="556"/>
      <c r="E199" s="556"/>
      <c r="F199" s="556"/>
      <c r="G199" s="557"/>
      <c r="H199" s="557"/>
      <c r="I199" s="557"/>
      <c r="J199" s="557"/>
      <c r="K199" s="557"/>
      <c r="L199" s="557"/>
      <c r="M199" s="557"/>
      <c r="N199" s="557"/>
      <c r="O199" s="557"/>
      <c r="P199" s="557"/>
      <c r="Q199" s="557"/>
      <c r="R199" s="558">
        <f>'Oct 05'!R193</f>
        <v>4.8438496428571419E-2</v>
      </c>
      <c r="S199" s="532"/>
      <c r="T199" s="419"/>
      <c r="U199" s="451"/>
      <c r="V199" s="405"/>
    </row>
    <row r="200" spans="1:22" x14ac:dyDescent="0.3">
      <c r="A200" s="469"/>
      <c r="B200" s="532" t="s">
        <v>76</v>
      </c>
      <c r="C200" s="556"/>
      <c r="D200" s="556"/>
      <c r="E200" s="556"/>
      <c r="F200" s="556"/>
      <c r="G200" s="557"/>
      <c r="H200" s="557"/>
      <c r="I200" s="557"/>
      <c r="J200" s="557"/>
      <c r="K200" s="557"/>
      <c r="L200" s="557"/>
      <c r="M200" s="557"/>
      <c r="N200" s="557"/>
      <c r="O200" s="557"/>
      <c r="P200" s="557"/>
      <c r="Q200" s="557"/>
      <c r="R200" s="558">
        <f>R198-R199</f>
        <v>9.7715035714285789E-3</v>
      </c>
      <c r="S200" s="532"/>
      <c r="T200" s="419"/>
      <c r="U200" s="451"/>
      <c r="V200" s="405"/>
    </row>
    <row r="201" spans="1:22" x14ac:dyDescent="0.3">
      <c r="A201" s="469"/>
      <c r="B201" s="532" t="s">
        <v>77</v>
      </c>
      <c r="C201" s="556"/>
      <c r="D201" s="556"/>
      <c r="E201" s="556"/>
      <c r="F201" s="556"/>
      <c r="G201" s="557"/>
      <c r="H201" s="557"/>
      <c r="I201" s="557"/>
      <c r="J201" s="557"/>
      <c r="K201" s="557"/>
      <c r="L201" s="557"/>
      <c r="M201" s="557"/>
      <c r="N201" s="557"/>
      <c r="O201" s="557"/>
      <c r="P201" s="557"/>
      <c r="Q201" s="557"/>
      <c r="R201" s="558">
        <v>2.4750000000000001E-2</v>
      </c>
      <c r="S201" s="532"/>
      <c r="T201" s="419"/>
      <c r="U201" s="451"/>
      <c r="V201" s="405"/>
    </row>
    <row r="202" spans="1:22" x14ac:dyDescent="0.3">
      <c r="A202" s="469"/>
      <c r="B202" s="532" t="s">
        <v>257</v>
      </c>
      <c r="C202" s="556"/>
      <c r="D202" s="556"/>
      <c r="E202" s="556"/>
      <c r="F202" s="556"/>
      <c r="G202" s="557"/>
      <c r="H202" s="557"/>
      <c r="I202" s="557"/>
      <c r="J202" s="557"/>
      <c r="K202" s="557"/>
      <c r="L202" s="557"/>
      <c r="M202" s="557"/>
      <c r="N202" s="557"/>
      <c r="O202" s="557"/>
      <c r="P202" s="557"/>
      <c r="Q202" s="557"/>
      <c r="R202" s="558">
        <f>+T41</f>
        <v>1.0405390100250033E-2</v>
      </c>
      <c r="S202" s="532"/>
      <c r="T202" s="419"/>
      <c r="U202" s="451"/>
      <c r="V202" s="405"/>
    </row>
    <row r="203" spans="1:22" x14ac:dyDescent="0.3">
      <c r="A203" s="469"/>
      <c r="B203" s="532" t="s">
        <v>78</v>
      </c>
      <c r="C203" s="556"/>
      <c r="D203" s="556"/>
      <c r="E203" s="556"/>
      <c r="F203" s="556"/>
      <c r="G203" s="557"/>
      <c r="H203" s="557"/>
      <c r="I203" s="557"/>
      <c r="J203" s="557"/>
      <c r="K203" s="557"/>
      <c r="L203" s="557"/>
      <c r="M203" s="557"/>
      <c r="N203" s="557"/>
      <c r="O203" s="557"/>
      <c r="P203" s="557"/>
      <c r="Q203" s="557"/>
      <c r="R203" s="558">
        <f>R201-R202</f>
        <v>1.4344609899749968E-2</v>
      </c>
      <c r="S203" s="532"/>
      <c r="T203" s="419"/>
      <c r="U203" s="451"/>
      <c r="V203" s="405"/>
    </row>
    <row r="204" spans="1:22" x14ac:dyDescent="0.3">
      <c r="A204" s="469"/>
      <c r="B204" s="532" t="s">
        <v>268</v>
      </c>
      <c r="C204" s="556"/>
      <c r="D204" s="556"/>
      <c r="E204" s="556"/>
      <c r="F204" s="556"/>
      <c r="G204" s="557"/>
      <c r="H204" s="557"/>
      <c r="I204" s="557"/>
      <c r="J204" s="557"/>
      <c r="K204" s="557"/>
      <c r="L204" s="557"/>
      <c r="M204" s="557"/>
      <c r="N204" s="557"/>
      <c r="O204" s="557"/>
      <c r="P204" s="557"/>
      <c r="Q204" s="557"/>
      <c r="R204" s="558">
        <f>+T97/L68</f>
        <v>6.3970176421170545E-3</v>
      </c>
      <c r="S204" s="532"/>
      <c r="T204" s="419"/>
      <c r="U204" s="451"/>
      <c r="V204" s="405"/>
    </row>
    <row r="205" spans="1:22" x14ac:dyDescent="0.3">
      <c r="A205" s="469"/>
      <c r="B205" s="532" t="s">
        <v>249</v>
      </c>
      <c r="C205" s="556"/>
      <c r="D205" s="556"/>
      <c r="E205" s="556"/>
      <c r="F205" s="556"/>
      <c r="G205" s="557"/>
      <c r="H205" s="557"/>
      <c r="I205" s="557"/>
      <c r="J205" s="557"/>
      <c r="K205" s="557"/>
      <c r="L205" s="557"/>
      <c r="M205" s="557"/>
      <c r="N205" s="557"/>
      <c r="O205" s="557"/>
      <c r="P205" s="557"/>
      <c r="Q205" s="557"/>
      <c r="R205" s="559">
        <v>51622</v>
      </c>
      <c r="S205" s="532"/>
      <c r="T205" s="419"/>
      <c r="U205" s="451"/>
      <c r="V205" s="405"/>
    </row>
    <row r="206" spans="1:22" x14ac:dyDescent="0.3">
      <c r="A206" s="469"/>
      <c r="B206" s="532" t="s">
        <v>250</v>
      </c>
      <c r="C206" s="556"/>
      <c r="D206" s="556"/>
      <c r="E206" s="556"/>
      <c r="F206" s="556"/>
      <c r="G206" s="557"/>
      <c r="H206" s="557"/>
      <c r="I206" s="557"/>
      <c r="J206" s="557"/>
      <c r="K206" s="557"/>
      <c r="L206" s="557"/>
      <c r="M206" s="557"/>
      <c r="N206" s="557"/>
      <c r="O206" s="557"/>
      <c r="P206" s="557"/>
      <c r="Q206" s="557"/>
      <c r="R206" s="559">
        <v>51622</v>
      </c>
      <c r="S206" s="532"/>
      <c r="T206" s="419"/>
      <c r="U206" s="451"/>
      <c r="V206" s="405"/>
    </row>
    <row r="207" spans="1:22" x14ac:dyDescent="0.3">
      <c r="A207" s="469"/>
      <c r="B207" s="532" t="s">
        <v>251</v>
      </c>
      <c r="C207" s="556"/>
      <c r="D207" s="556"/>
      <c r="E207" s="556"/>
      <c r="F207" s="556"/>
      <c r="G207" s="557"/>
      <c r="H207" s="557"/>
      <c r="I207" s="557"/>
      <c r="J207" s="557"/>
      <c r="K207" s="557"/>
      <c r="L207" s="557"/>
      <c r="M207" s="557"/>
      <c r="N207" s="557"/>
      <c r="O207" s="557"/>
      <c r="P207" s="557"/>
      <c r="Q207" s="557"/>
      <c r="R207" s="559">
        <v>51622</v>
      </c>
      <c r="S207" s="532"/>
      <c r="T207" s="419"/>
      <c r="U207" s="451"/>
      <c r="V207" s="405"/>
    </row>
    <row r="208" spans="1:22" x14ac:dyDescent="0.3">
      <c r="A208" s="469"/>
      <c r="B208" s="532" t="s">
        <v>79</v>
      </c>
      <c r="C208" s="556"/>
      <c r="D208" s="556"/>
      <c r="E208" s="556"/>
      <c r="F208" s="556"/>
      <c r="G208" s="557"/>
      <c r="H208" s="557"/>
      <c r="I208" s="557"/>
      <c r="J208" s="557"/>
      <c r="K208" s="557"/>
      <c r="L208" s="557"/>
      <c r="M208" s="557"/>
      <c r="N208" s="557"/>
      <c r="O208" s="557"/>
      <c r="P208" s="557"/>
      <c r="Q208" s="557"/>
      <c r="R208" s="560">
        <v>20.95</v>
      </c>
      <c r="S208" s="532" t="s">
        <v>119</v>
      </c>
      <c r="T208" s="419"/>
      <c r="U208" s="451"/>
      <c r="V208" s="405"/>
    </row>
    <row r="209" spans="1:22" x14ac:dyDescent="0.3">
      <c r="A209" s="469"/>
      <c r="B209" s="532" t="s">
        <v>80</v>
      </c>
      <c r="C209" s="556"/>
      <c r="D209" s="556"/>
      <c r="E209" s="556"/>
      <c r="F209" s="556"/>
      <c r="G209" s="557"/>
      <c r="H209" s="557"/>
      <c r="I209" s="557"/>
      <c r="J209" s="557"/>
      <c r="K209" s="557"/>
      <c r="L209" s="557"/>
      <c r="M209" s="557"/>
      <c r="N209" s="557"/>
      <c r="O209" s="557"/>
      <c r="P209" s="557"/>
      <c r="Q209" s="557"/>
      <c r="R209" s="560">
        <v>9.44</v>
      </c>
      <c r="S209" s="532" t="s">
        <v>119</v>
      </c>
      <c r="T209" s="419"/>
      <c r="U209" s="451"/>
      <c r="V209" s="405"/>
    </row>
    <row r="210" spans="1:22" x14ac:dyDescent="0.3">
      <c r="A210" s="469"/>
      <c r="B210" s="532" t="s">
        <v>81</v>
      </c>
      <c r="C210" s="556"/>
      <c r="D210" s="556"/>
      <c r="E210" s="556"/>
      <c r="F210" s="556"/>
      <c r="G210" s="557"/>
      <c r="H210" s="557"/>
      <c r="I210" s="557"/>
      <c r="J210" s="557"/>
      <c r="K210" s="557"/>
      <c r="L210" s="557"/>
      <c r="M210" s="557"/>
      <c r="N210" s="557"/>
      <c r="O210" s="557"/>
      <c r="P210" s="557"/>
      <c r="Q210" s="557"/>
      <c r="R210" s="558">
        <f>N65/L65</f>
        <v>1.8972276673200783E-2</v>
      </c>
      <c r="S210" s="532"/>
      <c r="T210" s="419"/>
      <c r="U210" s="451"/>
      <c r="V210" s="405"/>
    </row>
    <row r="211" spans="1:22" x14ac:dyDescent="0.3">
      <c r="A211" s="469"/>
      <c r="B211" s="532" t="s">
        <v>82</v>
      </c>
      <c r="C211" s="556"/>
      <c r="D211" s="556"/>
      <c r="E211" s="556"/>
      <c r="F211" s="556"/>
      <c r="G211" s="557"/>
      <c r="H211" s="557"/>
      <c r="I211" s="557"/>
      <c r="J211" s="557"/>
      <c r="K211" s="557"/>
      <c r="L211" s="557"/>
      <c r="M211" s="557"/>
      <c r="N211" s="557"/>
      <c r="O211" s="557"/>
      <c r="P211" s="557"/>
      <c r="Q211" s="557"/>
      <c r="R211" s="558">
        <v>9.2600000000000002E-2</v>
      </c>
      <c r="S211" s="532"/>
      <c r="T211" s="419"/>
      <c r="U211" s="451"/>
      <c r="V211" s="405"/>
    </row>
    <row r="212" spans="1:22" x14ac:dyDescent="0.3">
      <c r="A212" s="465"/>
      <c r="B212" s="431"/>
      <c r="C212" s="431"/>
      <c r="D212" s="431"/>
      <c r="E212" s="431"/>
      <c r="F212" s="431"/>
      <c r="G212" s="431"/>
      <c r="H212" s="431"/>
      <c r="I212" s="431"/>
      <c r="J212" s="431"/>
      <c r="K212" s="431"/>
      <c r="L212" s="431"/>
      <c r="M212" s="431"/>
      <c r="N212" s="431"/>
      <c r="O212" s="431"/>
      <c r="P212" s="431"/>
      <c r="Q212" s="431"/>
      <c r="R212" s="461"/>
      <c r="S212" s="431"/>
      <c r="T212" s="470"/>
      <c r="U212" s="444"/>
      <c r="V212" s="405"/>
    </row>
    <row r="213" spans="1:22" x14ac:dyDescent="0.3">
      <c r="A213" s="513"/>
      <c r="B213" s="612" t="s">
        <v>83</v>
      </c>
      <c r="C213" s="613"/>
      <c r="D213" s="613"/>
      <c r="E213" s="613"/>
      <c r="F213" s="620"/>
      <c r="G213" s="613"/>
      <c r="H213" s="613"/>
      <c r="I213" s="613"/>
      <c r="J213" s="613"/>
      <c r="K213" s="613"/>
      <c r="L213" s="613"/>
      <c r="M213" s="613"/>
      <c r="N213" s="613"/>
      <c r="O213" s="613"/>
      <c r="P213" s="613"/>
      <c r="Q213" s="613" t="s">
        <v>108</v>
      </c>
      <c r="R213" s="620" t="s">
        <v>115</v>
      </c>
      <c r="S213" s="608"/>
      <c r="T213" s="608"/>
      <c r="U213" s="611"/>
      <c r="V213" s="405"/>
    </row>
    <row r="214" spans="1:22" x14ac:dyDescent="0.3">
      <c r="A214" s="487"/>
      <c r="B214" s="539" t="s">
        <v>84</v>
      </c>
      <c r="C214" s="455"/>
      <c r="D214" s="455"/>
      <c r="E214" s="455"/>
      <c r="F214" s="431"/>
      <c r="G214" s="431"/>
      <c r="H214" s="616"/>
      <c r="I214" s="616"/>
      <c r="J214" s="616"/>
      <c r="K214" s="616"/>
      <c r="L214" s="616"/>
      <c r="M214" s="616"/>
      <c r="N214" s="616"/>
      <c r="O214" s="616"/>
      <c r="P214" s="616"/>
      <c r="Q214" s="617">
        <v>0</v>
      </c>
      <c r="R214" s="618">
        <v>0</v>
      </c>
      <c r="S214" s="431"/>
      <c r="T214" s="470"/>
      <c r="U214" s="619"/>
      <c r="V214" s="405"/>
    </row>
    <row r="215" spans="1:22" x14ac:dyDescent="0.3">
      <c r="A215" s="471"/>
      <c r="B215" s="532" t="s">
        <v>156</v>
      </c>
      <c r="C215" s="443"/>
      <c r="D215" s="443"/>
      <c r="E215" s="443"/>
      <c r="F215" s="419"/>
      <c r="G215" s="419"/>
      <c r="H215" s="422"/>
      <c r="I215" s="422"/>
      <c r="J215" s="422"/>
      <c r="K215" s="422"/>
      <c r="L215" s="422"/>
      <c r="M215" s="422"/>
      <c r="N215" s="422"/>
      <c r="O215" s="422"/>
      <c r="P215" s="422"/>
      <c r="Q215" s="555">
        <f>+P266</f>
        <v>28</v>
      </c>
      <c r="R215" s="553">
        <f>+R266</f>
        <v>3572</v>
      </c>
      <c r="S215" s="419"/>
      <c r="T215" s="472"/>
      <c r="U215" s="473"/>
      <c r="V215" s="405"/>
    </row>
    <row r="216" spans="1:22" x14ac:dyDescent="0.3">
      <c r="A216" s="471"/>
      <c r="B216" s="532" t="s">
        <v>85</v>
      </c>
      <c r="C216" s="443"/>
      <c r="D216" s="443"/>
      <c r="E216" s="443"/>
      <c r="F216" s="419"/>
      <c r="G216" s="419"/>
      <c r="H216" s="422"/>
      <c r="I216" s="422"/>
      <c r="J216" s="422"/>
      <c r="K216" s="422"/>
      <c r="L216" s="422"/>
      <c r="M216" s="422"/>
      <c r="N216" s="422"/>
      <c r="O216" s="422"/>
      <c r="P216" s="422"/>
      <c r="Q216" s="555">
        <f>+P278</f>
        <v>0</v>
      </c>
      <c r="R216" s="553">
        <f>+R278</f>
        <v>0</v>
      </c>
      <c r="S216" s="419"/>
      <c r="T216" s="472"/>
      <c r="U216" s="473"/>
      <c r="V216" s="405"/>
    </row>
    <row r="217" spans="1:22" x14ac:dyDescent="0.3">
      <c r="A217" s="471"/>
      <c r="B217" s="514" t="s">
        <v>86</v>
      </c>
      <c r="C217" s="474"/>
      <c r="D217" s="474"/>
      <c r="E217" s="474"/>
      <c r="F217" s="448"/>
      <c r="G217" s="448"/>
      <c r="H217" s="448"/>
      <c r="I217" s="448"/>
      <c r="J217" s="448"/>
      <c r="K217" s="448"/>
      <c r="L217" s="448"/>
      <c r="M217" s="448"/>
      <c r="N217" s="448"/>
      <c r="O217" s="448"/>
      <c r="P217" s="448"/>
      <c r="Q217" s="532"/>
      <c r="R217" s="553">
        <v>0</v>
      </c>
      <c r="S217" s="448"/>
      <c r="T217" s="475"/>
      <c r="U217" s="473"/>
      <c r="V217" s="405"/>
    </row>
    <row r="218" spans="1:22" x14ac:dyDescent="0.3">
      <c r="A218" s="471"/>
      <c r="B218" s="514" t="s">
        <v>87</v>
      </c>
      <c r="C218" s="474"/>
      <c r="D218" s="474"/>
      <c r="E218" s="474"/>
      <c r="F218" s="448"/>
      <c r="G218" s="448"/>
      <c r="H218" s="448"/>
      <c r="I218" s="448"/>
      <c r="J218" s="448"/>
      <c r="K218" s="448"/>
      <c r="L218" s="448"/>
      <c r="M218" s="448"/>
      <c r="N218" s="448"/>
      <c r="O218" s="448"/>
      <c r="P218" s="448"/>
      <c r="Q218" s="532"/>
      <c r="R218" s="554" t="s">
        <v>116</v>
      </c>
      <c r="S218" s="448"/>
      <c r="T218" s="475"/>
      <c r="U218" s="473"/>
      <c r="V218" s="405"/>
    </row>
    <row r="219" spans="1:22" x14ac:dyDescent="0.3">
      <c r="A219" s="476"/>
      <c r="B219" s="514" t="s">
        <v>88</v>
      </c>
      <c r="C219" s="477"/>
      <c r="D219" s="477"/>
      <c r="E219" s="477"/>
      <c r="F219" s="477"/>
      <c r="G219" s="448"/>
      <c r="H219" s="448"/>
      <c r="I219" s="448"/>
      <c r="J219" s="448"/>
      <c r="K219" s="448"/>
      <c r="L219" s="448"/>
      <c r="M219" s="448"/>
      <c r="N219" s="448"/>
      <c r="O219" s="448"/>
      <c r="P219" s="448"/>
      <c r="Q219" s="448"/>
      <c r="R219" s="478"/>
      <c r="S219" s="448"/>
      <c r="T219" s="475"/>
      <c r="U219" s="479"/>
      <c r="V219" s="405"/>
    </row>
    <row r="220" spans="1:22" x14ac:dyDescent="0.3">
      <c r="A220" s="476"/>
      <c r="B220" s="532" t="s">
        <v>89</v>
      </c>
      <c r="C220" s="532"/>
      <c r="D220" s="532"/>
      <c r="E220" s="532"/>
      <c r="F220" s="532"/>
      <c r="G220" s="532"/>
      <c r="H220" s="532"/>
      <c r="I220" s="532"/>
      <c r="J220" s="532"/>
      <c r="K220" s="532"/>
      <c r="L220" s="532"/>
      <c r="M220" s="532"/>
      <c r="N220" s="532"/>
      <c r="O220" s="532"/>
      <c r="P220" s="532"/>
      <c r="Q220" s="552"/>
      <c r="R220" s="553">
        <f>T164</f>
        <v>22</v>
      </c>
      <c r="S220" s="419"/>
      <c r="T220" s="475"/>
      <c r="U220" s="479"/>
      <c r="V220" s="405"/>
    </row>
    <row r="221" spans="1:22" x14ac:dyDescent="0.3">
      <c r="A221" s="471"/>
      <c r="B221" s="532" t="s">
        <v>90</v>
      </c>
      <c r="C221" s="531"/>
      <c r="D221" s="531"/>
      <c r="E221" s="531"/>
      <c r="F221" s="531"/>
      <c r="G221" s="532"/>
      <c r="H221" s="532"/>
      <c r="I221" s="532"/>
      <c r="J221" s="532"/>
      <c r="K221" s="532"/>
      <c r="L221" s="532"/>
      <c r="M221" s="532"/>
      <c r="N221" s="532"/>
      <c r="O221" s="532"/>
      <c r="P221" s="532"/>
      <c r="Q221" s="552"/>
      <c r="R221" s="553">
        <f>'Jan 18'!R221+'April 18'!R220</f>
        <v>4341</v>
      </c>
      <c r="S221" s="419"/>
      <c r="T221" s="475"/>
      <c r="U221" s="479"/>
      <c r="V221" s="405"/>
    </row>
    <row r="222" spans="1:22" x14ac:dyDescent="0.3">
      <c r="A222" s="476"/>
      <c r="B222" s="514" t="s">
        <v>288</v>
      </c>
      <c r="C222" s="477"/>
      <c r="D222" s="477"/>
      <c r="E222" s="477"/>
      <c r="F222" s="477"/>
      <c r="G222" s="448"/>
      <c r="H222" s="448"/>
      <c r="I222" s="448"/>
      <c r="J222" s="448"/>
      <c r="K222" s="448"/>
      <c r="L222" s="448"/>
      <c r="M222" s="448"/>
      <c r="N222" s="448"/>
      <c r="O222" s="448"/>
      <c r="P222" s="448"/>
      <c r="Q222" s="480"/>
      <c r="R222" s="478"/>
      <c r="S222" s="448"/>
      <c r="T222" s="475"/>
      <c r="U222" s="479"/>
      <c r="V222" s="405"/>
    </row>
    <row r="223" spans="1:22" x14ac:dyDescent="0.3">
      <c r="A223" s="481"/>
      <c r="B223" s="532" t="s">
        <v>286</v>
      </c>
      <c r="C223" s="532"/>
      <c r="D223" s="532"/>
      <c r="E223" s="532"/>
      <c r="F223" s="532"/>
      <c r="G223" s="532"/>
      <c r="H223" s="532"/>
      <c r="I223" s="532"/>
      <c r="J223" s="532"/>
      <c r="K223" s="532"/>
      <c r="L223" s="532"/>
      <c r="M223" s="532"/>
      <c r="N223" s="532"/>
      <c r="O223" s="532"/>
      <c r="P223" s="532"/>
      <c r="Q223" s="552">
        <v>0</v>
      </c>
      <c r="R223" s="553">
        <v>0</v>
      </c>
      <c r="S223" s="419"/>
      <c r="T223" s="472"/>
      <c r="U223" s="479"/>
      <c r="V223" s="405"/>
    </row>
    <row r="224" spans="1:22" x14ac:dyDescent="0.3">
      <c r="A224" s="482"/>
      <c r="B224" s="532" t="s">
        <v>92</v>
      </c>
      <c r="C224" s="550"/>
      <c r="D224" s="550"/>
      <c r="E224" s="550"/>
      <c r="F224" s="551"/>
      <c r="G224" s="532"/>
      <c r="H224" s="532"/>
      <c r="I224" s="532"/>
      <c r="J224" s="532"/>
      <c r="K224" s="532"/>
      <c r="L224" s="532"/>
      <c r="M224" s="532"/>
      <c r="N224" s="532"/>
      <c r="O224" s="532"/>
      <c r="P224" s="532"/>
      <c r="Q224" s="552"/>
      <c r="R224" s="554">
        <v>0</v>
      </c>
      <c r="S224" s="419"/>
      <c r="T224" s="472"/>
      <c r="U224" s="479"/>
      <c r="V224" s="405"/>
    </row>
    <row r="225" spans="1:23" x14ac:dyDescent="0.3">
      <c r="A225" s="482"/>
      <c r="B225" s="532" t="s">
        <v>93</v>
      </c>
      <c r="C225" s="550"/>
      <c r="D225" s="550"/>
      <c r="E225" s="550"/>
      <c r="F225" s="551"/>
      <c r="G225" s="532"/>
      <c r="H225" s="532"/>
      <c r="I225" s="532"/>
      <c r="J225" s="532"/>
      <c r="K225" s="532"/>
      <c r="L225" s="532"/>
      <c r="M225" s="532"/>
      <c r="N225" s="532"/>
      <c r="O225" s="532"/>
      <c r="P225" s="532"/>
      <c r="Q225" s="552"/>
      <c r="R225" s="554">
        <v>0</v>
      </c>
      <c r="S225" s="419"/>
      <c r="T225" s="472"/>
      <c r="U225" s="479"/>
      <c r="V225" s="405"/>
    </row>
    <row r="226" spans="1:23" x14ac:dyDescent="0.3">
      <c r="A226" s="471"/>
      <c r="B226" s="514" t="s">
        <v>258</v>
      </c>
      <c r="C226" s="483"/>
      <c r="D226" s="483"/>
      <c r="E226" s="483"/>
      <c r="F226" s="484"/>
      <c r="G226" s="448"/>
      <c r="H226" s="448"/>
      <c r="I226" s="448"/>
      <c r="J226" s="448"/>
      <c r="K226" s="448"/>
      <c r="L226" s="448"/>
      <c r="M226" s="448"/>
      <c r="N226" s="448"/>
      <c r="O226" s="448"/>
      <c r="P226" s="448"/>
      <c r="Q226" s="480"/>
      <c r="R226" s="485"/>
      <c r="S226" s="448"/>
      <c r="T226" s="475"/>
      <c r="U226" s="479"/>
      <c r="V226" s="405"/>
    </row>
    <row r="227" spans="1:23" x14ac:dyDescent="0.3">
      <c r="A227" s="482"/>
      <c r="B227" s="532" t="s">
        <v>286</v>
      </c>
      <c r="C227" s="550"/>
      <c r="D227" s="550"/>
      <c r="E227" s="550"/>
      <c r="F227" s="551"/>
      <c r="G227" s="532"/>
      <c r="H227" s="532"/>
      <c r="I227" s="532"/>
      <c r="J227" s="532"/>
      <c r="K227" s="532"/>
      <c r="L227" s="532"/>
      <c r="M227" s="532"/>
      <c r="N227" s="532"/>
      <c r="O227" s="532"/>
      <c r="P227" s="532"/>
      <c r="Q227" s="552">
        <v>3</v>
      </c>
      <c r="R227" s="553">
        <v>290</v>
      </c>
      <c r="S227" s="419"/>
      <c r="T227" s="475"/>
      <c r="U227" s="479"/>
      <c r="V227" s="405"/>
    </row>
    <row r="228" spans="1:23" x14ac:dyDescent="0.3">
      <c r="A228" s="482"/>
      <c r="B228" s="532" t="s">
        <v>259</v>
      </c>
      <c r="C228" s="550"/>
      <c r="D228" s="550"/>
      <c r="E228" s="550"/>
      <c r="F228" s="551"/>
      <c r="G228" s="532"/>
      <c r="H228" s="532"/>
      <c r="I228" s="532"/>
      <c r="J228" s="532"/>
      <c r="K228" s="532"/>
      <c r="L228" s="532"/>
      <c r="M228" s="532"/>
      <c r="N228" s="532"/>
      <c r="O228" s="532"/>
      <c r="P228" s="532"/>
      <c r="Q228" s="532"/>
      <c r="R228" s="554">
        <v>0</v>
      </c>
      <c r="S228" s="419"/>
      <c r="T228" s="475"/>
      <c r="U228" s="479"/>
      <c r="V228" s="405"/>
    </row>
    <row r="229" spans="1:23" x14ac:dyDescent="0.3">
      <c r="A229" s="471"/>
      <c r="B229" s="477"/>
      <c r="C229" s="483"/>
      <c r="D229" s="483"/>
      <c r="E229" s="483"/>
      <c r="F229" s="484"/>
      <c r="G229" s="448"/>
      <c r="H229" s="448"/>
      <c r="I229" s="448"/>
      <c r="J229" s="448"/>
      <c r="K229" s="448"/>
      <c r="L229" s="448"/>
      <c r="M229" s="448"/>
      <c r="N229" s="448"/>
      <c r="O229" s="448"/>
      <c r="P229" s="448"/>
      <c r="Q229" s="448"/>
      <c r="R229" s="486"/>
      <c r="S229" s="448"/>
      <c r="T229" s="475"/>
      <c r="U229" s="479"/>
      <c r="V229" s="405"/>
    </row>
    <row r="230" spans="1:23" ht="18" x14ac:dyDescent="0.35">
      <c r="A230" s="471"/>
      <c r="B230" s="530" t="s">
        <v>208</v>
      </c>
      <c r="C230" s="483"/>
      <c r="D230" s="483"/>
      <c r="E230" s="483"/>
      <c r="F230" s="484"/>
      <c r="G230" s="448"/>
      <c r="H230" s="448"/>
      <c r="I230" s="448"/>
      <c r="J230" s="448"/>
      <c r="K230" s="448"/>
      <c r="L230" s="448"/>
      <c r="M230" s="448"/>
      <c r="N230" s="603" t="s">
        <v>347</v>
      </c>
      <c r="O230" s="448"/>
      <c r="P230" s="448"/>
      <c r="Q230" s="448"/>
      <c r="R230" s="486"/>
      <c r="S230" s="448"/>
      <c r="T230" s="475"/>
      <c r="U230" s="479"/>
      <c r="V230" s="405"/>
    </row>
    <row r="231" spans="1:23" x14ac:dyDescent="0.3">
      <c r="A231" s="487"/>
      <c r="B231" s="488"/>
      <c r="C231" s="489"/>
      <c r="D231" s="489"/>
      <c r="E231" s="489"/>
      <c r="F231" s="490"/>
      <c r="G231" s="444"/>
      <c r="H231" s="444"/>
      <c r="I231" s="444"/>
      <c r="J231" s="444"/>
      <c r="K231" s="444"/>
      <c r="L231" s="444"/>
      <c r="M231" s="444"/>
      <c r="N231" s="444"/>
      <c r="O231" s="444"/>
      <c r="P231" s="444"/>
      <c r="Q231" s="444"/>
      <c r="R231" s="491"/>
      <c r="S231" s="444"/>
      <c r="T231" s="492"/>
      <c r="U231" s="493"/>
      <c r="V231" s="405"/>
    </row>
    <row r="232" spans="1:23" x14ac:dyDescent="0.3">
      <c r="A232" s="503"/>
      <c r="B232" s="612" t="s">
        <v>302</v>
      </c>
      <c r="C232" s="613"/>
      <c r="D232" s="613"/>
      <c r="E232" s="613"/>
      <c r="F232" s="620"/>
      <c r="G232" s="613"/>
      <c r="H232" s="613"/>
      <c r="I232" s="613"/>
      <c r="J232" s="613"/>
      <c r="K232" s="613"/>
      <c r="L232" s="613"/>
      <c r="M232" s="613"/>
      <c r="N232" s="613"/>
      <c r="O232" s="613"/>
      <c r="P232" s="620" t="s">
        <v>108</v>
      </c>
      <c r="Q232" s="613" t="s">
        <v>109</v>
      </c>
      <c r="R232" s="620" t="s">
        <v>117</v>
      </c>
      <c r="S232" s="613" t="s">
        <v>109</v>
      </c>
      <c r="T232" s="608"/>
      <c r="U232" s="626"/>
      <c r="V232" s="405"/>
    </row>
    <row r="233" spans="1:23" x14ac:dyDescent="0.3">
      <c r="A233" s="430"/>
      <c r="B233" s="572" t="s">
        <v>94</v>
      </c>
      <c r="C233" s="621"/>
      <c r="D233" s="621"/>
      <c r="E233" s="621"/>
      <c r="F233" s="539"/>
      <c r="G233" s="621"/>
      <c r="H233" s="621"/>
      <c r="I233" s="621"/>
      <c r="J233" s="621"/>
      <c r="K233" s="621"/>
      <c r="L233" s="621"/>
      <c r="M233" s="621"/>
      <c r="N233" s="621"/>
      <c r="O233" s="621"/>
      <c r="P233" s="622">
        <f t="shared" ref="P233:P240" si="1">+P245+P257+P269</f>
        <v>1838</v>
      </c>
      <c r="Q233" s="623">
        <f t="shared" ref="Q233:Q240" si="2">P233/$P$242</f>
        <v>0.99782844733984799</v>
      </c>
      <c r="R233" s="624">
        <f t="shared" ref="R233:R240" si="3">+R245+R257+R269</f>
        <v>224452</v>
      </c>
      <c r="S233" s="623">
        <f t="shared" ref="S233:S240" si="4">R233/$R$242</f>
        <v>0.99848304884938588</v>
      </c>
      <c r="T233" s="470"/>
      <c r="U233" s="625"/>
      <c r="V233" s="405"/>
    </row>
    <row r="234" spans="1:23" x14ac:dyDescent="0.3">
      <c r="A234" s="428"/>
      <c r="B234" s="531" t="s">
        <v>95</v>
      </c>
      <c r="C234" s="549"/>
      <c r="D234" s="549"/>
      <c r="E234" s="549"/>
      <c r="F234" s="532"/>
      <c r="G234" s="534"/>
      <c r="H234" s="549"/>
      <c r="I234" s="549"/>
      <c r="J234" s="549"/>
      <c r="K234" s="549"/>
      <c r="L234" s="549"/>
      <c r="M234" s="549"/>
      <c r="N234" s="549"/>
      <c r="O234" s="549"/>
      <c r="P234" s="531">
        <f t="shared" si="1"/>
        <v>1</v>
      </c>
      <c r="Q234" s="534">
        <f t="shared" si="2"/>
        <v>5.428881650380022E-4</v>
      </c>
      <c r="R234" s="535">
        <f t="shared" si="3"/>
        <v>141</v>
      </c>
      <c r="S234" s="534">
        <f t="shared" si="4"/>
        <v>6.2724373089909384E-4</v>
      </c>
      <c r="T234" s="472"/>
      <c r="U234" s="494"/>
      <c r="V234" s="405"/>
      <c r="W234" s="452"/>
    </row>
    <row r="235" spans="1:23" x14ac:dyDescent="0.3">
      <c r="A235" s="428"/>
      <c r="B235" s="531" t="s">
        <v>96</v>
      </c>
      <c r="C235" s="549"/>
      <c r="D235" s="549"/>
      <c r="E235" s="549"/>
      <c r="F235" s="532"/>
      <c r="G235" s="534"/>
      <c r="H235" s="549"/>
      <c r="I235" s="549"/>
      <c r="J235" s="549"/>
      <c r="K235" s="549"/>
      <c r="L235" s="549"/>
      <c r="M235" s="549"/>
      <c r="N235" s="549"/>
      <c r="O235" s="549"/>
      <c r="P235" s="531">
        <f t="shared" si="1"/>
        <v>0</v>
      </c>
      <c r="Q235" s="534">
        <f t="shared" si="2"/>
        <v>0</v>
      </c>
      <c r="R235" s="535">
        <f t="shared" si="3"/>
        <v>0</v>
      </c>
      <c r="S235" s="534">
        <f t="shared" si="4"/>
        <v>0</v>
      </c>
      <c r="T235" s="472"/>
      <c r="U235" s="494"/>
      <c r="V235" s="405"/>
    </row>
    <row r="236" spans="1:23" x14ac:dyDescent="0.3">
      <c r="A236" s="428"/>
      <c r="B236" s="531" t="s">
        <v>171</v>
      </c>
      <c r="C236" s="549"/>
      <c r="D236" s="549"/>
      <c r="E236" s="549"/>
      <c r="F236" s="532"/>
      <c r="G236" s="534"/>
      <c r="H236" s="549"/>
      <c r="I236" s="549"/>
      <c r="J236" s="549"/>
      <c r="K236" s="549"/>
      <c r="L236" s="549"/>
      <c r="M236" s="549"/>
      <c r="N236" s="549"/>
      <c r="O236" s="549"/>
      <c r="P236" s="531">
        <f t="shared" si="1"/>
        <v>0</v>
      </c>
      <c r="Q236" s="534">
        <f t="shared" si="2"/>
        <v>0</v>
      </c>
      <c r="R236" s="535">
        <f t="shared" si="3"/>
        <v>0</v>
      </c>
      <c r="S236" s="534">
        <f t="shared" si="4"/>
        <v>0</v>
      </c>
      <c r="T236" s="472"/>
      <c r="U236" s="494"/>
      <c r="V236" s="405"/>
      <c r="W236" s="452"/>
    </row>
    <row r="237" spans="1:23" x14ac:dyDescent="0.3">
      <c r="A237" s="428"/>
      <c r="B237" s="531" t="s">
        <v>172</v>
      </c>
      <c r="C237" s="549"/>
      <c r="D237" s="549"/>
      <c r="E237" s="549"/>
      <c r="F237" s="532"/>
      <c r="G237" s="534"/>
      <c r="H237" s="549"/>
      <c r="I237" s="549"/>
      <c r="J237" s="549"/>
      <c r="K237" s="549"/>
      <c r="L237" s="549"/>
      <c r="M237" s="549"/>
      <c r="N237" s="549"/>
      <c r="O237" s="549"/>
      <c r="P237" s="531">
        <f t="shared" si="1"/>
        <v>1</v>
      </c>
      <c r="Q237" s="534">
        <f t="shared" si="2"/>
        <v>5.428881650380022E-4</v>
      </c>
      <c r="R237" s="535">
        <f t="shared" si="3"/>
        <v>70</v>
      </c>
      <c r="S237" s="534">
        <f t="shared" si="4"/>
        <v>3.1139759690025935E-4</v>
      </c>
      <c r="T237" s="472"/>
      <c r="U237" s="494"/>
      <c r="V237" s="405"/>
    </row>
    <row r="238" spans="1:23" x14ac:dyDescent="0.3">
      <c r="A238" s="428"/>
      <c r="B238" s="531" t="s">
        <v>173</v>
      </c>
      <c r="C238" s="549"/>
      <c r="D238" s="549"/>
      <c r="E238" s="549"/>
      <c r="F238" s="532"/>
      <c r="G238" s="534"/>
      <c r="H238" s="549"/>
      <c r="I238" s="549"/>
      <c r="J238" s="549"/>
      <c r="K238" s="549"/>
      <c r="L238" s="549"/>
      <c r="M238" s="549"/>
      <c r="N238" s="549"/>
      <c r="O238" s="549"/>
      <c r="P238" s="531">
        <f t="shared" si="1"/>
        <v>1</v>
      </c>
      <c r="Q238" s="534">
        <f t="shared" si="2"/>
        <v>5.428881650380022E-4</v>
      </c>
      <c r="R238" s="535">
        <f t="shared" si="3"/>
        <v>77</v>
      </c>
      <c r="S238" s="534">
        <f t="shared" si="4"/>
        <v>3.4253735659028526E-4</v>
      </c>
      <c r="T238" s="472"/>
      <c r="U238" s="494"/>
      <c r="V238" s="405"/>
      <c r="W238" s="452"/>
    </row>
    <row r="239" spans="1:23" x14ac:dyDescent="0.3">
      <c r="A239" s="428"/>
      <c r="B239" s="531" t="s">
        <v>174</v>
      </c>
      <c r="C239" s="549"/>
      <c r="D239" s="549"/>
      <c r="E239" s="549"/>
      <c r="F239" s="532"/>
      <c r="G239" s="534"/>
      <c r="H239" s="549"/>
      <c r="I239" s="549"/>
      <c r="J239" s="549"/>
      <c r="K239" s="549"/>
      <c r="L239" s="549"/>
      <c r="M239" s="549"/>
      <c r="N239" s="549"/>
      <c r="O239" s="549"/>
      <c r="P239" s="531">
        <f t="shared" si="1"/>
        <v>1</v>
      </c>
      <c r="Q239" s="534">
        <f t="shared" si="2"/>
        <v>5.428881650380022E-4</v>
      </c>
      <c r="R239" s="535">
        <f t="shared" si="3"/>
        <v>53</v>
      </c>
      <c r="S239" s="534">
        <f t="shared" si="4"/>
        <v>2.3577246622448207E-4</v>
      </c>
      <c r="T239" s="472"/>
      <c r="U239" s="494"/>
      <c r="V239" s="405"/>
    </row>
    <row r="240" spans="1:23" x14ac:dyDescent="0.3">
      <c r="A240" s="428"/>
      <c r="B240" s="531" t="s">
        <v>175</v>
      </c>
      <c r="C240" s="549"/>
      <c r="D240" s="549"/>
      <c r="E240" s="549"/>
      <c r="F240" s="532"/>
      <c r="G240" s="534"/>
      <c r="H240" s="549"/>
      <c r="I240" s="549"/>
      <c r="J240" s="549"/>
      <c r="K240" s="549"/>
      <c r="L240" s="549"/>
      <c r="M240" s="549"/>
      <c r="N240" s="549"/>
      <c r="O240" s="549"/>
      <c r="P240" s="531">
        <f t="shared" si="1"/>
        <v>0</v>
      </c>
      <c r="Q240" s="534">
        <f t="shared" si="2"/>
        <v>0</v>
      </c>
      <c r="R240" s="535">
        <f t="shared" si="3"/>
        <v>0</v>
      </c>
      <c r="S240" s="534">
        <f t="shared" si="4"/>
        <v>0</v>
      </c>
      <c r="T240" s="472"/>
      <c r="U240" s="494"/>
      <c r="V240" s="405"/>
      <c r="W240" s="452"/>
    </row>
    <row r="241" spans="1:23" x14ac:dyDescent="0.3">
      <c r="A241" s="428"/>
      <c r="B241" s="531"/>
      <c r="C241" s="549"/>
      <c r="D241" s="549"/>
      <c r="E241" s="549"/>
      <c r="F241" s="532"/>
      <c r="G241" s="534"/>
      <c r="H241" s="549"/>
      <c r="I241" s="549"/>
      <c r="J241" s="549"/>
      <c r="K241" s="549"/>
      <c r="L241" s="549"/>
      <c r="M241" s="549"/>
      <c r="N241" s="549"/>
      <c r="O241" s="549"/>
      <c r="P241" s="531"/>
      <c r="Q241" s="534"/>
      <c r="R241" s="535"/>
      <c r="S241" s="534"/>
      <c r="T241" s="472"/>
      <c r="U241" s="494"/>
      <c r="V241" s="405"/>
    </row>
    <row r="242" spans="1:23" x14ac:dyDescent="0.3">
      <c r="A242" s="428"/>
      <c r="B242" s="532"/>
      <c r="C242" s="532"/>
      <c r="D242" s="532"/>
      <c r="E242" s="532"/>
      <c r="F242" s="532"/>
      <c r="G242" s="532"/>
      <c r="H242" s="533"/>
      <c r="I242" s="533"/>
      <c r="J242" s="533"/>
      <c r="K242" s="533"/>
      <c r="L242" s="533"/>
      <c r="M242" s="533"/>
      <c r="N242" s="533"/>
      <c r="O242" s="533"/>
      <c r="P242" s="531">
        <f>SUM(P233:P241)</f>
        <v>1842</v>
      </c>
      <c r="Q242" s="534">
        <f>SUM(Q233:Q241)</f>
        <v>1</v>
      </c>
      <c r="R242" s="535">
        <f>SUM(R233:R241)</f>
        <v>224793</v>
      </c>
      <c r="S242" s="534">
        <f>SUM(S233:S241)</f>
        <v>1</v>
      </c>
      <c r="T242" s="419"/>
      <c r="U242" s="420"/>
      <c r="V242" s="405"/>
    </row>
    <row r="243" spans="1:23" x14ac:dyDescent="0.3">
      <c r="A243" s="487"/>
      <c r="B243" s="488"/>
      <c r="C243" s="489"/>
      <c r="D243" s="489"/>
      <c r="E243" s="489"/>
      <c r="F243" s="490"/>
      <c r="G243" s="444"/>
      <c r="H243" s="444"/>
      <c r="I243" s="444"/>
      <c r="J243" s="444"/>
      <c r="K243" s="444"/>
      <c r="L243" s="444"/>
      <c r="M243" s="444"/>
      <c r="N243" s="444"/>
      <c r="O243" s="444"/>
      <c r="P243" s="444"/>
      <c r="Q243" s="444"/>
      <c r="R243" s="491"/>
      <c r="S243" s="444"/>
      <c r="T243" s="492"/>
      <c r="U243" s="493"/>
      <c r="V243" s="405"/>
    </row>
    <row r="244" spans="1:23" x14ac:dyDescent="0.3">
      <c r="A244" s="503"/>
      <c r="B244" s="612" t="s">
        <v>177</v>
      </c>
      <c r="C244" s="613"/>
      <c r="D244" s="613"/>
      <c r="E244" s="613"/>
      <c r="F244" s="620"/>
      <c r="G244" s="613"/>
      <c r="H244" s="613"/>
      <c r="I244" s="613"/>
      <c r="J244" s="613"/>
      <c r="K244" s="613"/>
      <c r="L244" s="613"/>
      <c r="M244" s="613"/>
      <c r="N244" s="613"/>
      <c r="O244" s="613"/>
      <c r="P244" s="620" t="s">
        <v>108</v>
      </c>
      <c r="Q244" s="613" t="s">
        <v>109</v>
      </c>
      <c r="R244" s="620" t="s">
        <v>117</v>
      </c>
      <c r="S244" s="613" t="s">
        <v>109</v>
      </c>
      <c r="T244" s="608"/>
      <c r="U244" s="626"/>
      <c r="V244" s="405"/>
    </row>
    <row r="245" spans="1:23" x14ac:dyDescent="0.3">
      <c r="A245" s="430"/>
      <c r="B245" s="572" t="s">
        <v>94</v>
      </c>
      <c r="C245" s="621"/>
      <c r="D245" s="621"/>
      <c r="E245" s="621"/>
      <c r="F245" s="539"/>
      <c r="G245" s="621"/>
      <c r="H245" s="621"/>
      <c r="I245" s="621"/>
      <c r="J245" s="621"/>
      <c r="K245" s="621"/>
      <c r="L245" s="621"/>
      <c r="M245" s="621"/>
      <c r="N245" s="621"/>
      <c r="O245" s="621"/>
      <c r="P245" s="572">
        <v>1814</v>
      </c>
      <c r="Q245" s="627">
        <f t="shared" ref="Q245:Q252" si="5">P245/$P$254</f>
        <v>1</v>
      </c>
      <c r="R245" s="541">
        <v>221221</v>
      </c>
      <c r="S245" s="627">
        <f t="shared" ref="S245:S252" si="6">R245/$R$254</f>
        <v>1</v>
      </c>
      <c r="T245" s="470"/>
      <c r="U245" s="625"/>
      <c r="V245" s="405"/>
    </row>
    <row r="246" spans="1:23" x14ac:dyDescent="0.3">
      <c r="A246" s="428"/>
      <c r="B246" s="531" t="s">
        <v>95</v>
      </c>
      <c r="C246" s="549"/>
      <c r="D246" s="549"/>
      <c r="E246" s="549"/>
      <c r="F246" s="532"/>
      <c r="G246" s="534"/>
      <c r="H246" s="549"/>
      <c r="I246" s="549"/>
      <c r="J246" s="549"/>
      <c r="K246" s="549"/>
      <c r="L246" s="549"/>
      <c r="M246" s="549"/>
      <c r="N246" s="549"/>
      <c r="O246" s="549"/>
      <c r="P246" s="531">
        <v>0</v>
      </c>
      <c r="Q246" s="534">
        <f t="shared" si="5"/>
        <v>0</v>
      </c>
      <c r="R246" s="535">
        <v>0</v>
      </c>
      <c r="S246" s="534">
        <f t="shared" si="6"/>
        <v>0</v>
      </c>
      <c r="T246" s="472"/>
      <c r="U246" s="494"/>
      <c r="V246" s="405"/>
      <c r="W246" s="452"/>
    </row>
    <row r="247" spans="1:23" x14ac:dyDescent="0.3">
      <c r="A247" s="428"/>
      <c r="B247" s="531" t="s">
        <v>96</v>
      </c>
      <c r="C247" s="549"/>
      <c r="D247" s="549"/>
      <c r="E247" s="549"/>
      <c r="F247" s="532"/>
      <c r="G247" s="534"/>
      <c r="H247" s="549"/>
      <c r="I247" s="549"/>
      <c r="J247" s="549"/>
      <c r="K247" s="549"/>
      <c r="L247" s="549"/>
      <c r="M247" s="549"/>
      <c r="N247" s="549"/>
      <c r="O247" s="549"/>
      <c r="P247" s="531">
        <v>0</v>
      </c>
      <c r="Q247" s="534">
        <f t="shared" si="5"/>
        <v>0</v>
      </c>
      <c r="R247" s="535">
        <v>0</v>
      </c>
      <c r="S247" s="534">
        <f t="shared" si="6"/>
        <v>0</v>
      </c>
      <c r="T247" s="472"/>
      <c r="U247" s="494"/>
      <c r="V247" s="405"/>
    </row>
    <row r="248" spans="1:23" x14ac:dyDescent="0.3">
      <c r="A248" s="428"/>
      <c r="B248" s="531" t="s">
        <v>171</v>
      </c>
      <c r="C248" s="549"/>
      <c r="D248" s="549"/>
      <c r="E248" s="549"/>
      <c r="F248" s="532"/>
      <c r="G248" s="534"/>
      <c r="H248" s="549"/>
      <c r="I248" s="549"/>
      <c r="J248" s="549"/>
      <c r="K248" s="549"/>
      <c r="L248" s="549"/>
      <c r="M248" s="549"/>
      <c r="N248" s="549"/>
      <c r="O248" s="549"/>
      <c r="P248" s="531">
        <v>0</v>
      </c>
      <c r="Q248" s="534">
        <f t="shared" si="5"/>
        <v>0</v>
      </c>
      <c r="R248" s="535">
        <v>0</v>
      </c>
      <c r="S248" s="534">
        <f t="shared" si="6"/>
        <v>0</v>
      </c>
      <c r="T248" s="472"/>
      <c r="U248" s="494"/>
      <c r="V248" s="405"/>
      <c r="W248" s="452"/>
    </row>
    <row r="249" spans="1:23" x14ac:dyDescent="0.3">
      <c r="A249" s="428"/>
      <c r="B249" s="531" t="s">
        <v>172</v>
      </c>
      <c r="C249" s="549"/>
      <c r="D249" s="549"/>
      <c r="E249" s="549"/>
      <c r="F249" s="532"/>
      <c r="G249" s="534"/>
      <c r="H249" s="549"/>
      <c r="I249" s="549"/>
      <c r="J249" s="549"/>
      <c r="K249" s="549"/>
      <c r="L249" s="549"/>
      <c r="M249" s="549"/>
      <c r="N249" s="549"/>
      <c r="O249" s="549"/>
      <c r="P249" s="531">
        <v>0</v>
      </c>
      <c r="Q249" s="534">
        <f t="shared" si="5"/>
        <v>0</v>
      </c>
      <c r="R249" s="535">
        <v>0</v>
      </c>
      <c r="S249" s="534">
        <f t="shared" si="6"/>
        <v>0</v>
      </c>
      <c r="T249" s="472"/>
      <c r="U249" s="494"/>
      <c r="V249" s="405"/>
    </row>
    <row r="250" spans="1:23" x14ac:dyDescent="0.3">
      <c r="A250" s="428"/>
      <c r="B250" s="531" t="s">
        <v>173</v>
      </c>
      <c r="C250" s="549"/>
      <c r="D250" s="549"/>
      <c r="E250" s="549"/>
      <c r="F250" s="532"/>
      <c r="G250" s="534"/>
      <c r="H250" s="549"/>
      <c r="I250" s="549"/>
      <c r="J250" s="549"/>
      <c r="K250" s="549"/>
      <c r="L250" s="549"/>
      <c r="M250" s="549"/>
      <c r="N250" s="549"/>
      <c r="O250" s="549"/>
      <c r="P250" s="531">
        <v>0</v>
      </c>
      <c r="Q250" s="534">
        <f t="shared" si="5"/>
        <v>0</v>
      </c>
      <c r="R250" s="535">
        <v>0</v>
      </c>
      <c r="S250" s="534">
        <f t="shared" si="6"/>
        <v>0</v>
      </c>
      <c r="T250" s="472"/>
      <c r="U250" s="494"/>
      <c r="V250" s="405"/>
      <c r="W250" s="452"/>
    </row>
    <row r="251" spans="1:23" x14ac:dyDescent="0.3">
      <c r="A251" s="428"/>
      <c r="B251" s="531" t="s">
        <v>174</v>
      </c>
      <c r="C251" s="549"/>
      <c r="D251" s="549"/>
      <c r="E251" s="549"/>
      <c r="F251" s="532"/>
      <c r="G251" s="534"/>
      <c r="H251" s="549"/>
      <c r="I251" s="549"/>
      <c r="J251" s="549"/>
      <c r="K251" s="549"/>
      <c r="L251" s="549"/>
      <c r="M251" s="549"/>
      <c r="N251" s="549"/>
      <c r="O251" s="549"/>
      <c r="P251" s="531">
        <v>0</v>
      </c>
      <c r="Q251" s="534">
        <f t="shared" si="5"/>
        <v>0</v>
      </c>
      <c r="R251" s="535">
        <v>0</v>
      </c>
      <c r="S251" s="534">
        <f t="shared" si="6"/>
        <v>0</v>
      </c>
      <c r="T251" s="472"/>
      <c r="U251" s="494"/>
      <c r="V251" s="405"/>
    </row>
    <row r="252" spans="1:23" x14ac:dyDescent="0.3">
      <c r="A252" s="428"/>
      <c r="B252" s="531" t="s">
        <v>175</v>
      </c>
      <c r="C252" s="549"/>
      <c r="D252" s="549"/>
      <c r="E252" s="549"/>
      <c r="F252" s="532"/>
      <c r="G252" s="534"/>
      <c r="H252" s="549"/>
      <c r="I252" s="549"/>
      <c r="J252" s="549"/>
      <c r="K252" s="549"/>
      <c r="L252" s="549"/>
      <c r="M252" s="549"/>
      <c r="N252" s="549"/>
      <c r="O252" s="549"/>
      <c r="P252" s="531">
        <v>0</v>
      </c>
      <c r="Q252" s="534">
        <f t="shared" si="5"/>
        <v>0</v>
      </c>
      <c r="R252" s="535">
        <v>0</v>
      </c>
      <c r="S252" s="534">
        <f t="shared" si="6"/>
        <v>0</v>
      </c>
      <c r="T252" s="472"/>
      <c r="U252" s="494"/>
      <c r="V252" s="405"/>
      <c r="W252" s="452"/>
    </row>
    <row r="253" spans="1:23" x14ac:dyDescent="0.3">
      <c r="A253" s="428"/>
      <c r="B253" s="531"/>
      <c r="C253" s="549"/>
      <c r="D253" s="549"/>
      <c r="E253" s="549"/>
      <c r="F253" s="532"/>
      <c r="G253" s="534"/>
      <c r="H253" s="549"/>
      <c r="I253" s="549"/>
      <c r="J253" s="549"/>
      <c r="K253" s="549"/>
      <c r="L253" s="549"/>
      <c r="M253" s="549"/>
      <c r="N253" s="549"/>
      <c r="O253" s="549"/>
      <c r="P253" s="531"/>
      <c r="Q253" s="534"/>
      <c r="R253" s="535"/>
      <c r="S253" s="534"/>
      <c r="T253" s="472"/>
      <c r="U253" s="494"/>
      <c r="V253" s="405"/>
    </row>
    <row r="254" spans="1:23" x14ac:dyDescent="0.3">
      <c r="A254" s="428"/>
      <c r="B254" s="532"/>
      <c r="C254" s="532"/>
      <c r="D254" s="532"/>
      <c r="E254" s="532"/>
      <c r="F254" s="532"/>
      <c r="G254" s="532"/>
      <c r="H254" s="533"/>
      <c r="I254" s="533"/>
      <c r="J254" s="533"/>
      <c r="K254" s="533"/>
      <c r="L254" s="533"/>
      <c r="M254" s="533"/>
      <c r="N254" s="533"/>
      <c r="O254" s="533"/>
      <c r="P254" s="531">
        <f>SUM(P245:P253)</f>
        <v>1814</v>
      </c>
      <c r="Q254" s="534">
        <f>SUM(Q245:Q253)</f>
        <v>1</v>
      </c>
      <c r="R254" s="535">
        <f>SUM(R245:R253)</f>
        <v>221221</v>
      </c>
      <c r="S254" s="534">
        <f>SUM(S245:S253)</f>
        <v>1</v>
      </c>
      <c r="T254" s="419"/>
      <c r="U254" s="420"/>
      <c r="V254" s="405"/>
    </row>
    <row r="255" spans="1:23" x14ac:dyDescent="0.3">
      <c r="A255" s="407"/>
      <c r="B255" s="444"/>
      <c r="C255" s="444"/>
      <c r="D255" s="444"/>
      <c r="E255" s="444"/>
      <c r="F255" s="444"/>
      <c r="G255" s="444"/>
      <c r="H255" s="495"/>
      <c r="I255" s="495"/>
      <c r="J255" s="495"/>
      <c r="K255" s="495"/>
      <c r="L255" s="495"/>
      <c r="M255" s="495"/>
      <c r="N255" s="495"/>
      <c r="O255" s="495"/>
      <c r="P255" s="445"/>
      <c r="Q255" s="496"/>
      <c r="R255" s="497"/>
      <c r="S255" s="496"/>
      <c r="T255" s="444"/>
      <c r="U255" s="444"/>
      <c r="V255" s="405"/>
    </row>
    <row r="256" spans="1:23" x14ac:dyDescent="0.3">
      <c r="A256" s="503"/>
      <c r="B256" s="612" t="s">
        <v>279</v>
      </c>
      <c r="C256" s="613"/>
      <c r="D256" s="613"/>
      <c r="E256" s="613"/>
      <c r="F256" s="620"/>
      <c r="G256" s="613"/>
      <c r="H256" s="613"/>
      <c r="I256" s="613"/>
      <c r="J256" s="613"/>
      <c r="K256" s="613"/>
      <c r="L256" s="613"/>
      <c r="M256" s="613"/>
      <c r="N256" s="613"/>
      <c r="O256" s="613"/>
      <c r="P256" s="620" t="s">
        <v>108</v>
      </c>
      <c r="Q256" s="613" t="s">
        <v>109</v>
      </c>
      <c r="R256" s="620" t="s">
        <v>117</v>
      </c>
      <c r="S256" s="613" t="s">
        <v>109</v>
      </c>
      <c r="T256" s="608"/>
      <c r="U256" s="611"/>
      <c r="V256" s="405"/>
    </row>
    <row r="257" spans="1:22" x14ac:dyDescent="0.3">
      <c r="A257" s="430"/>
      <c r="B257" s="572" t="s">
        <v>94</v>
      </c>
      <c r="C257" s="621"/>
      <c r="D257" s="621"/>
      <c r="E257" s="621"/>
      <c r="F257" s="539"/>
      <c r="G257" s="621"/>
      <c r="H257" s="621"/>
      <c r="I257" s="621"/>
      <c r="J257" s="621"/>
      <c r="K257" s="621"/>
      <c r="L257" s="621"/>
      <c r="M257" s="621"/>
      <c r="N257" s="621"/>
      <c r="O257" s="621"/>
      <c r="P257" s="572">
        <v>24</v>
      </c>
      <c r="Q257" s="627">
        <f t="shared" ref="Q257:Q264" si="7">P257/$P$266</f>
        <v>0.8571428571428571</v>
      </c>
      <c r="R257" s="541">
        <v>3231</v>
      </c>
      <c r="S257" s="627">
        <f t="shared" ref="S257:S264" si="8">R257/$R$266</f>
        <v>0.90453527435610304</v>
      </c>
      <c r="T257" s="431"/>
      <c r="U257" s="444"/>
      <c r="V257" s="405"/>
    </row>
    <row r="258" spans="1:22" x14ac:dyDescent="0.3">
      <c r="A258" s="428"/>
      <c r="B258" s="531" t="s">
        <v>95</v>
      </c>
      <c r="C258" s="549"/>
      <c r="D258" s="549"/>
      <c r="E258" s="549"/>
      <c r="F258" s="532"/>
      <c r="G258" s="534"/>
      <c r="H258" s="549"/>
      <c r="I258" s="549"/>
      <c r="J258" s="549"/>
      <c r="K258" s="549"/>
      <c r="L258" s="549"/>
      <c r="M258" s="549"/>
      <c r="N258" s="549"/>
      <c r="O258" s="549"/>
      <c r="P258" s="531">
        <v>1</v>
      </c>
      <c r="Q258" s="534">
        <f t="shared" si="7"/>
        <v>3.5714285714285712E-2</v>
      </c>
      <c r="R258" s="535">
        <v>141</v>
      </c>
      <c r="S258" s="534">
        <f t="shared" si="8"/>
        <v>3.9473684210526314E-2</v>
      </c>
      <c r="T258" s="419"/>
      <c r="U258" s="451"/>
      <c r="V258" s="405"/>
    </row>
    <row r="259" spans="1:22" x14ac:dyDescent="0.3">
      <c r="A259" s="428"/>
      <c r="B259" s="531" t="s">
        <v>96</v>
      </c>
      <c r="C259" s="549"/>
      <c r="D259" s="549"/>
      <c r="E259" s="549"/>
      <c r="F259" s="532"/>
      <c r="G259" s="534"/>
      <c r="H259" s="549"/>
      <c r="I259" s="549"/>
      <c r="J259" s="549"/>
      <c r="K259" s="549"/>
      <c r="L259" s="549"/>
      <c r="M259" s="549"/>
      <c r="N259" s="549"/>
      <c r="O259" s="549"/>
      <c r="P259" s="531">
        <v>0</v>
      </c>
      <c r="Q259" s="534">
        <f t="shared" si="7"/>
        <v>0</v>
      </c>
      <c r="R259" s="535">
        <v>0</v>
      </c>
      <c r="S259" s="534">
        <f t="shared" si="8"/>
        <v>0</v>
      </c>
      <c r="T259" s="419"/>
      <c r="U259" s="451"/>
      <c r="V259" s="405"/>
    </row>
    <row r="260" spans="1:22" x14ac:dyDescent="0.3">
      <c r="A260" s="428"/>
      <c r="B260" s="531" t="s">
        <v>171</v>
      </c>
      <c r="C260" s="549"/>
      <c r="D260" s="549"/>
      <c r="E260" s="549"/>
      <c r="F260" s="532"/>
      <c r="G260" s="534"/>
      <c r="H260" s="549"/>
      <c r="I260" s="549"/>
      <c r="J260" s="549"/>
      <c r="K260" s="549"/>
      <c r="L260" s="549"/>
      <c r="M260" s="549"/>
      <c r="N260" s="549"/>
      <c r="O260" s="549"/>
      <c r="P260" s="531">
        <v>0</v>
      </c>
      <c r="Q260" s="534">
        <f t="shared" si="7"/>
        <v>0</v>
      </c>
      <c r="R260" s="535">
        <v>0</v>
      </c>
      <c r="S260" s="534">
        <f t="shared" si="8"/>
        <v>0</v>
      </c>
      <c r="T260" s="419"/>
      <c r="U260" s="451"/>
      <c r="V260" s="405"/>
    </row>
    <row r="261" spans="1:22" x14ac:dyDescent="0.3">
      <c r="A261" s="428"/>
      <c r="B261" s="531" t="s">
        <v>172</v>
      </c>
      <c r="C261" s="549"/>
      <c r="D261" s="549"/>
      <c r="E261" s="549"/>
      <c r="F261" s="532"/>
      <c r="G261" s="534"/>
      <c r="H261" s="549"/>
      <c r="I261" s="549"/>
      <c r="J261" s="549"/>
      <c r="K261" s="549"/>
      <c r="L261" s="549"/>
      <c r="M261" s="549"/>
      <c r="N261" s="549"/>
      <c r="O261" s="549"/>
      <c r="P261" s="531">
        <v>1</v>
      </c>
      <c r="Q261" s="534">
        <f t="shared" si="7"/>
        <v>3.5714285714285712E-2</v>
      </c>
      <c r="R261" s="535">
        <v>70</v>
      </c>
      <c r="S261" s="534">
        <f t="shared" si="8"/>
        <v>1.9596864501679731E-2</v>
      </c>
      <c r="T261" s="419"/>
      <c r="U261" s="451"/>
      <c r="V261" s="405"/>
    </row>
    <row r="262" spans="1:22" x14ac:dyDescent="0.3">
      <c r="A262" s="428"/>
      <c r="B262" s="531" t="s">
        <v>173</v>
      </c>
      <c r="C262" s="549"/>
      <c r="D262" s="549"/>
      <c r="E262" s="549"/>
      <c r="F262" s="532"/>
      <c r="G262" s="534"/>
      <c r="H262" s="549"/>
      <c r="I262" s="549"/>
      <c r="J262" s="549"/>
      <c r="K262" s="549"/>
      <c r="L262" s="549"/>
      <c r="M262" s="549"/>
      <c r="N262" s="549"/>
      <c r="O262" s="549"/>
      <c r="P262" s="531">
        <v>1</v>
      </c>
      <c r="Q262" s="534">
        <f t="shared" si="7"/>
        <v>3.5714285714285712E-2</v>
      </c>
      <c r="R262" s="535">
        <v>77</v>
      </c>
      <c r="S262" s="534">
        <f t="shared" si="8"/>
        <v>2.1556550951847706E-2</v>
      </c>
      <c r="T262" s="419"/>
      <c r="U262" s="451"/>
      <c r="V262" s="405"/>
    </row>
    <row r="263" spans="1:22" x14ac:dyDescent="0.3">
      <c r="A263" s="428"/>
      <c r="B263" s="531" t="s">
        <v>174</v>
      </c>
      <c r="C263" s="549"/>
      <c r="D263" s="549"/>
      <c r="E263" s="549"/>
      <c r="F263" s="532"/>
      <c r="G263" s="534"/>
      <c r="H263" s="549"/>
      <c r="I263" s="549"/>
      <c r="J263" s="549"/>
      <c r="K263" s="549"/>
      <c r="L263" s="549"/>
      <c r="M263" s="549"/>
      <c r="N263" s="549"/>
      <c r="O263" s="549"/>
      <c r="P263" s="531">
        <v>1</v>
      </c>
      <c r="Q263" s="534">
        <f t="shared" si="7"/>
        <v>3.5714285714285712E-2</v>
      </c>
      <c r="R263" s="535">
        <v>53</v>
      </c>
      <c r="S263" s="534">
        <f t="shared" si="8"/>
        <v>1.4837625979843226E-2</v>
      </c>
      <c r="T263" s="419"/>
      <c r="U263" s="451"/>
      <c r="V263" s="405"/>
    </row>
    <row r="264" spans="1:22" x14ac:dyDescent="0.3">
      <c r="A264" s="428"/>
      <c r="B264" s="531" t="s">
        <v>175</v>
      </c>
      <c r="C264" s="549"/>
      <c r="D264" s="549"/>
      <c r="E264" s="549"/>
      <c r="F264" s="532"/>
      <c r="G264" s="534"/>
      <c r="H264" s="549"/>
      <c r="I264" s="549"/>
      <c r="J264" s="549"/>
      <c r="K264" s="549"/>
      <c r="L264" s="549"/>
      <c r="M264" s="549"/>
      <c r="N264" s="549"/>
      <c r="O264" s="549"/>
      <c r="P264" s="531">
        <v>0</v>
      </c>
      <c r="Q264" s="534">
        <f t="shared" si="7"/>
        <v>0</v>
      </c>
      <c r="R264" s="535">
        <v>0</v>
      </c>
      <c r="S264" s="534">
        <f t="shared" si="8"/>
        <v>0</v>
      </c>
      <c r="T264" s="419"/>
      <c r="U264" s="451"/>
      <c r="V264" s="405"/>
    </row>
    <row r="265" spans="1:22" x14ac:dyDescent="0.3">
      <c r="A265" s="428"/>
      <c r="B265" s="531"/>
      <c r="C265" s="549"/>
      <c r="D265" s="549"/>
      <c r="E265" s="549"/>
      <c r="F265" s="532"/>
      <c r="G265" s="534"/>
      <c r="H265" s="549"/>
      <c r="I265" s="549"/>
      <c r="J265" s="549"/>
      <c r="K265" s="549"/>
      <c r="L265" s="549"/>
      <c r="M265" s="549"/>
      <c r="N265" s="549"/>
      <c r="O265" s="549"/>
      <c r="P265" s="531"/>
      <c r="Q265" s="534"/>
      <c r="R265" s="535"/>
      <c r="S265" s="534"/>
      <c r="T265" s="419"/>
      <c r="U265" s="451"/>
      <c r="V265" s="405"/>
    </row>
    <row r="266" spans="1:22" x14ac:dyDescent="0.3">
      <c r="A266" s="428"/>
      <c r="B266" s="532"/>
      <c r="C266" s="532"/>
      <c r="D266" s="532"/>
      <c r="E266" s="532"/>
      <c r="F266" s="532"/>
      <c r="G266" s="532"/>
      <c r="H266" s="533"/>
      <c r="I266" s="533"/>
      <c r="J266" s="533"/>
      <c r="K266" s="533"/>
      <c r="L266" s="533"/>
      <c r="M266" s="533"/>
      <c r="N266" s="533"/>
      <c r="O266" s="533"/>
      <c r="P266" s="531">
        <f>SUM(P257:P265)</f>
        <v>28</v>
      </c>
      <c r="Q266" s="534">
        <f>SUM(Q257:Q265)</f>
        <v>0.99999999999999989</v>
      </c>
      <c r="R266" s="535">
        <f>SUM(R257:R265)</f>
        <v>3572</v>
      </c>
      <c r="S266" s="534">
        <f>SUM(S257:S265)</f>
        <v>1</v>
      </c>
      <c r="T266" s="419"/>
      <c r="U266" s="451"/>
      <c r="V266" s="405"/>
    </row>
    <row r="267" spans="1:22" x14ac:dyDescent="0.3">
      <c r="A267" s="430"/>
      <c r="B267" s="431"/>
      <c r="C267" s="431"/>
      <c r="D267" s="431"/>
      <c r="E267" s="431"/>
      <c r="F267" s="431"/>
      <c r="G267" s="431"/>
      <c r="H267" s="498"/>
      <c r="I267" s="498"/>
      <c r="J267" s="498"/>
      <c r="K267" s="498"/>
      <c r="L267" s="498"/>
      <c r="M267" s="498"/>
      <c r="N267" s="498"/>
      <c r="O267" s="498"/>
      <c r="P267" s="455"/>
      <c r="Q267" s="499"/>
      <c r="R267" s="500"/>
      <c r="S267" s="499"/>
      <c r="T267" s="431"/>
      <c r="U267" s="444"/>
      <c r="V267" s="405"/>
    </row>
    <row r="268" spans="1:22" x14ac:dyDescent="0.3">
      <c r="A268" s="503"/>
      <c r="B268" s="612" t="s">
        <v>179</v>
      </c>
      <c r="C268" s="608"/>
      <c r="D268" s="608"/>
      <c r="E268" s="608"/>
      <c r="F268" s="608"/>
      <c r="G268" s="608"/>
      <c r="H268" s="628"/>
      <c r="I268" s="628"/>
      <c r="J268" s="628"/>
      <c r="K268" s="628"/>
      <c r="L268" s="628"/>
      <c r="M268" s="628"/>
      <c r="N268" s="628"/>
      <c r="O268" s="628"/>
      <c r="P268" s="620" t="s">
        <v>108</v>
      </c>
      <c r="Q268" s="613" t="s">
        <v>109</v>
      </c>
      <c r="R268" s="620" t="s">
        <v>117</v>
      </c>
      <c r="S268" s="613" t="s">
        <v>109</v>
      </c>
      <c r="T268" s="608"/>
      <c r="U268" s="611"/>
      <c r="V268" s="405"/>
    </row>
    <row r="269" spans="1:22" x14ac:dyDescent="0.3">
      <c r="A269" s="430"/>
      <c r="B269" s="572" t="s">
        <v>94</v>
      </c>
      <c r="C269" s="539"/>
      <c r="D269" s="539"/>
      <c r="E269" s="539"/>
      <c r="F269" s="539"/>
      <c r="G269" s="539"/>
      <c r="H269" s="540"/>
      <c r="I269" s="540"/>
      <c r="J269" s="540"/>
      <c r="K269" s="540"/>
      <c r="L269" s="540"/>
      <c r="M269" s="540"/>
      <c r="N269" s="540"/>
      <c r="O269" s="540"/>
      <c r="P269" s="572">
        <v>0</v>
      </c>
      <c r="Q269" s="627">
        <v>0</v>
      </c>
      <c r="R269" s="541">
        <v>0</v>
      </c>
      <c r="S269" s="627">
        <v>0</v>
      </c>
      <c r="T269" s="431"/>
      <c r="U269" s="444"/>
      <c r="V269" s="405"/>
    </row>
    <row r="270" spans="1:22" x14ac:dyDescent="0.3">
      <c r="A270" s="428"/>
      <c r="B270" s="531" t="s">
        <v>95</v>
      </c>
      <c r="C270" s="532"/>
      <c r="D270" s="532"/>
      <c r="E270" s="532"/>
      <c r="F270" s="532"/>
      <c r="G270" s="532"/>
      <c r="H270" s="533"/>
      <c r="I270" s="533"/>
      <c r="J270" s="533"/>
      <c r="K270" s="533"/>
      <c r="L270" s="533"/>
      <c r="M270" s="533"/>
      <c r="N270" s="533"/>
      <c r="O270" s="533"/>
      <c r="P270" s="531">
        <v>0</v>
      </c>
      <c r="Q270" s="534">
        <v>0</v>
      </c>
      <c r="R270" s="535">
        <v>0</v>
      </c>
      <c r="S270" s="534">
        <v>0</v>
      </c>
      <c r="T270" s="419"/>
      <c r="U270" s="451"/>
      <c r="V270" s="405"/>
    </row>
    <row r="271" spans="1:22" x14ac:dyDescent="0.3">
      <c r="A271" s="428"/>
      <c r="B271" s="531" t="s">
        <v>96</v>
      </c>
      <c r="C271" s="532"/>
      <c r="D271" s="532"/>
      <c r="E271" s="532"/>
      <c r="F271" s="532"/>
      <c r="G271" s="532"/>
      <c r="H271" s="533"/>
      <c r="I271" s="533"/>
      <c r="J271" s="533"/>
      <c r="K271" s="533"/>
      <c r="L271" s="533"/>
      <c r="M271" s="533"/>
      <c r="N271" s="533"/>
      <c r="O271" s="533"/>
      <c r="P271" s="531">
        <v>0</v>
      </c>
      <c r="Q271" s="534">
        <v>0</v>
      </c>
      <c r="R271" s="535">
        <v>0</v>
      </c>
      <c r="S271" s="534">
        <v>0</v>
      </c>
      <c r="T271" s="419"/>
      <c r="U271" s="451"/>
      <c r="V271" s="405"/>
    </row>
    <row r="272" spans="1:22" x14ac:dyDescent="0.3">
      <c r="A272" s="428"/>
      <c r="B272" s="531" t="s">
        <v>171</v>
      </c>
      <c r="C272" s="532"/>
      <c r="D272" s="532"/>
      <c r="E272" s="532"/>
      <c r="F272" s="532"/>
      <c r="G272" s="532"/>
      <c r="H272" s="533"/>
      <c r="I272" s="533"/>
      <c r="J272" s="533"/>
      <c r="K272" s="533"/>
      <c r="L272" s="533"/>
      <c r="M272" s="533"/>
      <c r="N272" s="533"/>
      <c r="O272" s="533"/>
      <c r="P272" s="531">
        <v>0</v>
      </c>
      <c r="Q272" s="534">
        <v>0</v>
      </c>
      <c r="R272" s="535">
        <v>0</v>
      </c>
      <c r="S272" s="534">
        <v>0</v>
      </c>
      <c r="T272" s="419"/>
      <c r="U272" s="451"/>
      <c r="V272" s="405"/>
    </row>
    <row r="273" spans="1:22" x14ac:dyDescent="0.3">
      <c r="A273" s="428"/>
      <c r="B273" s="531" t="s">
        <v>172</v>
      </c>
      <c r="C273" s="532"/>
      <c r="D273" s="532"/>
      <c r="E273" s="532"/>
      <c r="F273" s="532"/>
      <c r="G273" s="532"/>
      <c r="H273" s="533"/>
      <c r="I273" s="533"/>
      <c r="J273" s="533"/>
      <c r="K273" s="533"/>
      <c r="L273" s="533"/>
      <c r="M273" s="533"/>
      <c r="N273" s="533"/>
      <c r="O273" s="533"/>
      <c r="P273" s="531">
        <v>0</v>
      </c>
      <c r="Q273" s="534">
        <v>0</v>
      </c>
      <c r="R273" s="535">
        <v>0</v>
      </c>
      <c r="S273" s="534">
        <v>0</v>
      </c>
      <c r="T273" s="419"/>
      <c r="U273" s="451"/>
      <c r="V273" s="405"/>
    </row>
    <row r="274" spans="1:22" x14ac:dyDescent="0.3">
      <c r="A274" s="428"/>
      <c r="B274" s="531" t="s">
        <v>173</v>
      </c>
      <c r="C274" s="532"/>
      <c r="D274" s="532"/>
      <c r="E274" s="532"/>
      <c r="F274" s="532"/>
      <c r="G274" s="532"/>
      <c r="H274" s="533"/>
      <c r="I274" s="533"/>
      <c r="J274" s="533"/>
      <c r="K274" s="533"/>
      <c r="L274" s="533"/>
      <c r="M274" s="533"/>
      <c r="N274" s="533"/>
      <c r="O274" s="533"/>
      <c r="P274" s="531">
        <v>0</v>
      </c>
      <c r="Q274" s="534">
        <v>0</v>
      </c>
      <c r="R274" s="535">
        <v>0</v>
      </c>
      <c r="S274" s="534">
        <v>0</v>
      </c>
      <c r="T274" s="419"/>
      <c r="U274" s="451"/>
      <c r="V274" s="405"/>
    </row>
    <row r="275" spans="1:22" x14ac:dyDescent="0.3">
      <c r="A275" s="428"/>
      <c r="B275" s="531" t="s">
        <v>174</v>
      </c>
      <c r="C275" s="532"/>
      <c r="D275" s="532"/>
      <c r="E275" s="532"/>
      <c r="F275" s="532"/>
      <c r="G275" s="532"/>
      <c r="H275" s="533"/>
      <c r="I275" s="533"/>
      <c r="J275" s="533"/>
      <c r="K275" s="533"/>
      <c r="L275" s="533"/>
      <c r="M275" s="533"/>
      <c r="N275" s="533"/>
      <c r="O275" s="533"/>
      <c r="P275" s="531">
        <v>0</v>
      </c>
      <c r="Q275" s="534">
        <v>0</v>
      </c>
      <c r="R275" s="535">
        <v>0</v>
      </c>
      <c r="S275" s="534">
        <v>0</v>
      </c>
      <c r="T275" s="419"/>
      <c r="U275" s="451"/>
      <c r="V275" s="405"/>
    </row>
    <row r="276" spans="1:22" x14ac:dyDescent="0.3">
      <c r="A276" s="428"/>
      <c r="B276" s="531" t="s">
        <v>175</v>
      </c>
      <c r="C276" s="532"/>
      <c r="D276" s="532"/>
      <c r="E276" s="532"/>
      <c r="F276" s="532"/>
      <c r="G276" s="532"/>
      <c r="H276" s="533"/>
      <c r="I276" s="533"/>
      <c r="J276" s="533"/>
      <c r="K276" s="533"/>
      <c r="L276" s="533"/>
      <c r="M276" s="533"/>
      <c r="N276" s="533"/>
      <c r="O276" s="533"/>
      <c r="P276" s="531">
        <v>0</v>
      </c>
      <c r="Q276" s="534">
        <v>0</v>
      </c>
      <c r="R276" s="535">
        <v>0</v>
      </c>
      <c r="S276" s="534">
        <v>0</v>
      </c>
      <c r="T276" s="419"/>
      <c r="U276" s="451"/>
      <c r="V276" s="405"/>
    </row>
    <row r="277" spans="1:22" x14ac:dyDescent="0.3">
      <c r="A277" s="428"/>
      <c r="B277" s="531"/>
      <c r="C277" s="532"/>
      <c r="D277" s="532"/>
      <c r="E277" s="532"/>
      <c r="F277" s="532"/>
      <c r="G277" s="532"/>
      <c r="H277" s="533"/>
      <c r="I277" s="533"/>
      <c r="J277" s="533"/>
      <c r="K277" s="533"/>
      <c r="L277" s="533"/>
      <c r="M277" s="533"/>
      <c r="N277" s="533"/>
      <c r="O277" s="533"/>
      <c r="P277" s="531"/>
      <c r="Q277" s="534"/>
      <c r="R277" s="535"/>
      <c r="S277" s="534"/>
      <c r="T277" s="419"/>
      <c r="U277" s="451"/>
      <c r="V277" s="405"/>
    </row>
    <row r="278" spans="1:22" x14ac:dyDescent="0.3">
      <c r="A278" s="428"/>
      <c r="B278" s="532" t="s">
        <v>123</v>
      </c>
      <c r="C278" s="532"/>
      <c r="D278" s="532"/>
      <c r="E278" s="532"/>
      <c r="F278" s="532"/>
      <c r="G278" s="532"/>
      <c r="H278" s="533"/>
      <c r="I278" s="533"/>
      <c r="J278" s="533"/>
      <c r="K278" s="533"/>
      <c r="L278" s="533"/>
      <c r="M278" s="533"/>
      <c r="N278" s="533"/>
      <c r="O278" s="533"/>
      <c r="P278" s="531">
        <f>SUM(P269:P276)</f>
        <v>0</v>
      </c>
      <c r="Q278" s="534">
        <f>SUM(Q269:Q276)</f>
        <v>0</v>
      </c>
      <c r="R278" s="535">
        <f>SUM(R269:R276)</f>
        <v>0</v>
      </c>
      <c r="S278" s="534">
        <f>SUM(S269:S276)</f>
        <v>0</v>
      </c>
      <c r="T278" s="419"/>
      <c r="U278" s="451"/>
      <c r="V278" s="405"/>
    </row>
    <row r="279" spans="1:22" x14ac:dyDescent="0.3">
      <c r="A279" s="428"/>
      <c r="B279" s="532"/>
      <c r="C279" s="532"/>
      <c r="D279" s="532"/>
      <c r="E279" s="532"/>
      <c r="F279" s="532"/>
      <c r="G279" s="532"/>
      <c r="H279" s="533"/>
      <c r="I279" s="533"/>
      <c r="J279" s="533"/>
      <c r="K279" s="533"/>
      <c r="L279" s="533"/>
      <c r="M279" s="533"/>
      <c r="N279" s="533"/>
      <c r="O279" s="533"/>
      <c r="P279" s="531"/>
      <c r="Q279" s="534"/>
      <c r="R279" s="535"/>
      <c r="S279" s="534"/>
      <c r="T279" s="419"/>
      <c r="U279" s="451"/>
      <c r="V279" s="405"/>
    </row>
    <row r="280" spans="1:22" x14ac:dyDescent="0.3">
      <c r="A280" s="428"/>
      <c r="B280" s="536" t="s">
        <v>180</v>
      </c>
      <c r="C280" s="532"/>
      <c r="D280" s="532"/>
      <c r="E280" s="532"/>
      <c r="F280" s="532"/>
      <c r="G280" s="532"/>
      <c r="H280" s="533"/>
      <c r="I280" s="533"/>
      <c r="J280" s="533"/>
      <c r="K280" s="533"/>
      <c r="L280" s="533"/>
      <c r="M280" s="533"/>
      <c r="N280" s="533"/>
      <c r="O280" s="533"/>
      <c r="P280" s="537">
        <f>+P254+P266+P278</f>
        <v>1842</v>
      </c>
      <c r="Q280" s="534"/>
      <c r="R280" s="538">
        <f>+R278+R266+R254</f>
        <v>224793</v>
      </c>
      <c r="S280" s="534"/>
      <c r="T280" s="419"/>
      <c r="U280" s="451"/>
      <c r="V280" s="405"/>
    </row>
    <row r="281" spans="1:22" x14ac:dyDescent="0.3">
      <c r="A281" s="430"/>
      <c r="B281" s="539"/>
      <c r="C281" s="539"/>
      <c r="D281" s="539"/>
      <c r="E281" s="539"/>
      <c r="F281" s="539"/>
      <c r="G281" s="539"/>
      <c r="H281" s="540"/>
      <c r="I281" s="540"/>
      <c r="J281" s="540"/>
      <c r="K281" s="540"/>
      <c r="L281" s="540"/>
      <c r="M281" s="540"/>
      <c r="N281" s="540"/>
      <c r="O281" s="540"/>
      <c r="P281" s="540"/>
      <c r="Q281" s="540"/>
      <c r="R281" s="541"/>
      <c r="S281" s="540"/>
      <c r="T281" s="431"/>
      <c r="U281" s="444"/>
      <c r="V281" s="405"/>
    </row>
    <row r="282" spans="1:22" x14ac:dyDescent="0.3">
      <c r="A282" s="430"/>
      <c r="B282" s="542"/>
      <c r="C282" s="542"/>
      <c r="D282" s="542"/>
      <c r="E282" s="542"/>
      <c r="F282" s="542"/>
      <c r="G282" s="542"/>
      <c r="H282" s="543"/>
      <c r="I282" s="543"/>
      <c r="J282" s="543"/>
      <c r="K282" s="543"/>
      <c r="L282" s="543"/>
      <c r="M282" s="543"/>
      <c r="N282" s="543"/>
      <c r="O282" s="543"/>
      <c r="P282" s="543"/>
      <c r="Q282" s="543"/>
      <c r="R282" s="544"/>
      <c r="S282" s="543"/>
      <c r="T282" s="434"/>
      <c r="U282" s="409"/>
      <c r="V282" s="405"/>
    </row>
    <row r="283" spans="1:22" x14ac:dyDescent="0.3">
      <c r="A283" s="430"/>
      <c r="B283" s="545" t="s">
        <v>97</v>
      </c>
      <c r="C283" s="542"/>
      <c r="D283" s="542"/>
      <c r="E283" s="542"/>
      <c r="F283" s="546" t="s">
        <v>103</v>
      </c>
      <c r="G283" s="542"/>
      <c r="H283" s="545" t="s">
        <v>105</v>
      </c>
      <c r="I283" s="542"/>
      <c r="J283" s="542"/>
      <c r="K283" s="542"/>
      <c r="L283" s="542"/>
      <c r="M283" s="542"/>
      <c r="N283" s="542"/>
      <c r="O283" s="542"/>
      <c r="P283" s="542"/>
      <c r="Q283" s="542"/>
      <c r="R283" s="542"/>
      <c r="S283" s="542"/>
      <c r="T283" s="434"/>
      <c r="U283" s="409"/>
      <c r="V283" s="405"/>
    </row>
    <row r="284" spans="1:22" x14ac:dyDescent="0.3">
      <c r="A284" s="430"/>
      <c r="B284" s="542"/>
      <c r="C284" s="542"/>
      <c r="D284" s="542"/>
      <c r="E284" s="542"/>
      <c r="F284" s="542"/>
      <c r="G284" s="542"/>
      <c r="H284" s="542"/>
      <c r="I284" s="542"/>
      <c r="J284" s="542"/>
      <c r="K284" s="542"/>
      <c r="L284" s="542"/>
      <c r="M284" s="542"/>
      <c r="N284" s="542"/>
      <c r="O284" s="542"/>
      <c r="P284" s="542"/>
      <c r="Q284" s="542"/>
      <c r="R284" s="542"/>
      <c r="S284" s="542"/>
      <c r="T284" s="434"/>
      <c r="U284" s="409"/>
      <c r="V284" s="405"/>
    </row>
    <row r="285" spans="1:22" x14ac:dyDescent="0.3">
      <c r="A285" s="430"/>
      <c r="B285" s="545" t="s">
        <v>323</v>
      </c>
      <c r="C285" s="545"/>
      <c r="D285" s="545"/>
      <c r="E285" s="545"/>
      <c r="F285" s="547" t="s">
        <v>274</v>
      </c>
      <c r="G285" s="545"/>
      <c r="H285" s="501" t="s">
        <v>348</v>
      </c>
      <c r="I285" s="542"/>
      <c r="J285" s="542"/>
      <c r="K285" s="542"/>
      <c r="L285" s="542"/>
      <c r="M285" s="542"/>
      <c r="N285" s="542"/>
      <c r="O285" s="542"/>
      <c r="P285" s="542"/>
      <c r="Q285" s="542"/>
      <c r="R285" s="542"/>
      <c r="S285" s="542"/>
      <c r="T285" s="434"/>
      <c r="U285" s="409"/>
      <c r="V285" s="405"/>
    </row>
    <row r="286" spans="1:22" x14ac:dyDescent="0.3">
      <c r="A286" s="430"/>
      <c r="B286" s="545" t="s">
        <v>324</v>
      </c>
      <c r="C286" s="545"/>
      <c r="D286" s="545"/>
      <c r="E286" s="545"/>
      <c r="F286" s="547" t="s">
        <v>158</v>
      </c>
      <c r="G286" s="545"/>
      <c r="H286" s="501" t="s">
        <v>349</v>
      </c>
      <c r="I286" s="542"/>
      <c r="J286" s="542"/>
      <c r="K286" s="542"/>
      <c r="L286" s="542"/>
      <c r="M286" s="542"/>
      <c r="N286" s="542"/>
      <c r="O286" s="542"/>
      <c r="P286" s="542"/>
      <c r="Q286" s="542"/>
      <c r="R286" s="542"/>
      <c r="S286" s="542"/>
      <c r="T286" s="434"/>
      <c r="U286" s="409"/>
      <c r="V286" s="405"/>
    </row>
    <row r="287" spans="1:22" x14ac:dyDescent="0.3">
      <c r="A287" s="430"/>
      <c r="B287" s="545"/>
      <c r="C287" s="545"/>
      <c r="D287" s="545"/>
      <c r="E287" s="545"/>
      <c r="F287" s="545"/>
      <c r="G287" s="545"/>
      <c r="H287" s="542"/>
      <c r="I287" s="542"/>
      <c r="J287" s="542"/>
      <c r="K287" s="542"/>
      <c r="L287" s="542"/>
      <c r="M287" s="542"/>
      <c r="N287" s="542"/>
      <c r="O287" s="542"/>
      <c r="P287" s="542"/>
      <c r="Q287" s="542"/>
      <c r="R287" s="542"/>
      <c r="S287" s="542"/>
      <c r="T287" s="434"/>
      <c r="U287" s="409"/>
      <c r="V287" s="405"/>
    </row>
    <row r="288" spans="1:22" x14ac:dyDescent="0.3">
      <c r="A288" s="407"/>
      <c r="B288" s="545"/>
      <c r="C288" s="545"/>
      <c r="D288" s="545"/>
      <c r="E288" s="545"/>
      <c r="F288" s="545"/>
      <c r="G288" s="545"/>
      <c r="H288" s="542"/>
      <c r="I288" s="542"/>
      <c r="J288" s="542"/>
      <c r="K288" s="542"/>
      <c r="L288" s="542"/>
      <c r="M288" s="542"/>
      <c r="N288" s="542"/>
      <c r="O288" s="542"/>
      <c r="P288" s="542"/>
      <c r="Q288" s="542"/>
      <c r="R288" s="542"/>
      <c r="S288" s="542"/>
      <c r="T288" s="409"/>
      <c r="U288" s="409"/>
      <c r="V288" s="405"/>
    </row>
    <row r="289" spans="1:22" ht="18.600000000000001" thickBot="1" x14ac:dyDescent="0.4">
      <c r="A289" s="407"/>
      <c r="B289" s="548" t="str">
        <f>B195</f>
        <v>PM9 INVESTOR REPORT QUARTER ENDING APRIL 2018</v>
      </c>
      <c r="C289" s="545"/>
      <c r="D289" s="545"/>
      <c r="E289" s="545"/>
      <c r="F289" s="545"/>
      <c r="G289" s="545"/>
      <c r="H289" s="542"/>
      <c r="I289" s="542"/>
      <c r="J289" s="542"/>
      <c r="K289" s="542"/>
      <c r="L289" s="542"/>
      <c r="M289" s="542"/>
      <c r="N289" s="542"/>
      <c r="O289" s="542"/>
      <c r="P289" s="542"/>
      <c r="Q289" s="542"/>
      <c r="R289" s="542"/>
      <c r="S289" s="542"/>
      <c r="T289" s="409"/>
      <c r="U289" s="409"/>
      <c r="V289" s="405"/>
    </row>
    <row r="290" spans="1:22" x14ac:dyDescent="0.3">
      <c r="A290" s="502"/>
      <c r="B290" s="502"/>
      <c r="C290" s="502"/>
      <c r="D290" s="502"/>
      <c r="E290" s="502"/>
      <c r="F290" s="502"/>
      <c r="G290" s="502"/>
      <c r="H290" s="502"/>
      <c r="I290" s="502"/>
      <c r="J290" s="502"/>
      <c r="K290" s="502"/>
      <c r="L290" s="502"/>
      <c r="M290" s="502"/>
      <c r="N290" s="502"/>
      <c r="O290" s="502"/>
      <c r="P290" s="502"/>
      <c r="Q290" s="502"/>
      <c r="R290" s="502"/>
      <c r="S290" s="502"/>
      <c r="T290" s="502"/>
      <c r="U290" s="502"/>
    </row>
  </sheetData>
  <hyperlinks>
    <hyperlink ref="J9" r:id="rId1" xr:uid="{00000000-0004-0000-3200-000000000000}"/>
    <hyperlink ref="N230" r:id="rId2" xr:uid="{00000000-0004-0000-3200-000001000000}"/>
  </hyperlinks>
  <printOptions horizontalCentered="1" verticalCentered="1"/>
  <pageMargins left="0.19685039370078741" right="0.19685039370078741" top="0.27559055118110237" bottom="0.27559055118110237" header="0" footer="0"/>
  <pageSetup scale="40" orientation="landscape" r:id="rId3"/>
  <headerFooter alignWithMargins="0"/>
  <rowBreaks count="3" manualBreakCount="3">
    <brk id="61" max="20" man="1"/>
    <brk id="134" max="20" man="1"/>
    <brk id="195" max="20" man="1"/>
  </rowBreaks>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2D2926"/>
  </sheetPr>
  <dimension ref="A1:W290"/>
  <sheetViews>
    <sheetView showGridLines="0" showOutlineSymbols="0" zoomScale="70" zoomScaleNormal="70" workbookViewId="0"/>
  </sheetViews>
  <sheetFormatPr defaultColWidth="9.6328125" defaultRowHeight="15.6" x14ac:dyDescent="0.3"/>
  <cols>
    <col min="1" max="1" width="4" style="406" customWidth="1"/>
    <col min="2" max="2" width="71.1796875" style="406" customWidth="1"/>
    <col min="3" max="3" width="2.1796875" style="406" customWidth="1"/>
    <col min="4" max="4" width="19.36328125" style="406" customWidth="1"/>
    <col min="5" max="5" width="2.1796875" style="406" customWidth="1"/>
    <col min="6" max="6" width="25.08984375" style="406" customWidth="1"/>
    <col min="7" max="7" width="2.1796875" style="406" customWidth="1"/>
    <col min="8" max="8" width="16.1796875" style="406" customWidth="1"/>
    <col min="9" max="9" width="2.1796875" style="406" customWidth="1"/>
    <col min="10" max="10" width="17.90625" style="406" customWidth="1"/>
    <col min="11" max="11" width="2.36328125" style="406" customWidth="1"/>
    <col min="12" max="12" width="14.90625" style="406" customWidth="1"/>
    <col min="13" max="13" width="2.36328125" style="406" customWidth="1"/>
    <col min="14" max="14" width="15.54296875" style="406" customWidth="1"/>
    <col min="15" max="15" width="2.1796875" style="406" customWidth="1"/>
    <col min="16" max="16" width="15.54296875" style="406" customWidth="1"/>
    <col min="17" max="18" width="12.6328125" style="406" customWidth="1"/>
    <col min="19" max="19" width="9.6328125" style="406" customWidth="1"/>
    <col min="20" max="20" width="14.6328125" style="406" customWidth="1"/>
    <col min="21" max="21" width="11.81640625" style="406" customWidth="1"/>
    <col min="22" max="16384" width="9.6328125" style="406"/>
  </cols>
  <sheetData>
    <row r="1" spans="1:22" ht="21" x14ac:dyDescent="0.4">
      <c r="A1" s="403"/>
      <c r="B1" s="602" t="s">
        <v>181</v>
      </c>
      <c r="C1" s="404" t="s">
        <v>263</v>
      </c>
      <c r="D1" s="404"/>
      <c r="E1" s="404"/>
      <c r="F1" s="404"/>
      <c r="G1" s="404"/>
      <c r="H1" s="404"/>
      <c r="I1" s="404"/>
      <c r="J1" s="404"/>
      <c r="K1" s="404"/>
      <c r="L1" s="404"/>
      <c r="M1" s="404"/>
      <c r="N1" s="404"/>
      <c r="O1" s="404"/>
      <c r="P1" s="404"/>
      <c r="Q1" s="404"/>
      <c r="R1" s="404"/>
      <c r="S1" s="404"/>
      <c r="T1" s="404"/>
      <c r="U1" s="404"/>
      <c r="V1" s="405"/>
    </row>
    <row r="2" spans="1:22" x14ac:dyDescent="0.3">
      <c r="A2" s="407"/>
      <c r="B2" s="408"/>
      <c r="C2" s="409"/>
      <c r="D2" s="409"/>
      <c r="E2" s="409"/>
      <c r="F2" s="409"/>
      <c r="G2" s="409"/>
      <c r="H2" s="409"/>
      <c r="I2" s="409"/>
      <c r="J2" s="409"/>
      <c r="K2" s="409"/>
      <c r="L2" s="409"/>
      <c r="M2" s="409"/>
      <c r="N2" s="409"/>
      <c r="O2" s="409"/>
      <c r="P2" s="409"/>
      <c r="Q2" s="409"/>
      <c r="R2" s="409"/>
      <c r="S2" s="409"/>
      <c r="T2" s="409"/>
      <c r="U2" s="409"/>
      <c r="V2" s="405"/>
    </row>
    <row r="3" spans="1:22" x14ac:dyDescent="0.3">
      <c r="A3" s="410"/>
      <c r="B3" s="411" t="s">
        <v>182</v>
      </c>
      <c r="C3" s="409"/>
      <c r="D3" s="409"/>
      <c r="E3" s="409"/>
      <c r="F3" s="409"/>
      <c r="G3" s="409"/>
      <c r="H3" s="409"/>
      <c r="I3" s="409"/>
      <c r="J3" s="409"/>
      <c r="K3" s="409"/>
      <c r="L3" s="409"/>
      <c r="M3" s="409"/>
      <c r="N3" s="409"/>
      <c r="O3" s="409"/>
      <c r="P3" s="409"/>
      <c r="Q3" s="409"/>
      <c r="R3" s="409"/>
      <c r="S3" s="409"/>
      <c r="T3" s="409"/>
      <c r="U3" s="409"/>
      <c r="V3" s="405"/>
    </row>
    <row r="4" spans="1:22" x14ac:dyDescent="0.3">
      <c r="A4" s="407"/>
      <c r="B4" s="408"/>
      <c r="C4" s="409"/>
      <c r="D4" s="409"/>
      <c r="E4" s="409"/>
      <c r="F4" s="409"/>
      <c r="G4" s="409"/>
      <c r="H4" s="409"/>
      <c r="I4" s="409"/>
      <c r="J4" s="409"/>
      <c r="K4" s="409"/>
      <c r="L4" s="409"/>
      <c r="M4" s="409"/>
      <c r="N4" s="409"/>
      <c r="O4" s="409"/>
      <c r="P4" s="409"/>
      <c r="Q4" s="409"/>
      <c r="R4" s="409"/>
      <c r="S4" s="409"/>
      <c r="T4" s="409"/>
      <c r="U4" s="409"/>
      <c r="V4" s="405"/>
    </row>
    <row r="5" spans="1:22" x14ac:dyDescent="0.3">
      <c r="A5" s="407"/>
      <c r="B5" s="601" t="s">
        <v>146</v>
      </c>
      <c r="C5" s="409"/>
      <c r="D5" s="409"/>
      <c r="E5" s="409"/>
      <c r="F5" s="409"/>
      <c r="G5" s="409"/>
      <c r="H5" s="409"/>
      <c r="I5" s="409"/>
      <c r="J5" s="409"/>
      <c r="K5" s="409"/>
      <c r="L5" s="409"/>
      <c r="M5" s="409"/>
      <c r="N5" s="409"/>
      <c r="O5" s="409"/>
      <c r="P5" s="409"/>
      <c r="Q5" s="409"/>
      <c r="R5" s="409"/>
      <c r="S5" s="409"/>
      <c r="T5" s="409"/>
      <c r="U5" s="409"/>
      <c r="V5" s="405"/>
    </row>
    <row r="6" spans="1:22" x14ac:dyDescent="0.3">
      <c r="A6" s="407"/>
      <c r="B6" s="601" t="s">
        <v>148</v>
      </c>
      <c r="C6" s="409"/>
      <c r="D6" s="409"/>
      <c r="E6" s="409"/>
      <c r="F6" s="409"/>
      <c r="G6" s="409"/>
      <c r="H6" s="409"/>
      <c r="I6" s="409"/>
      <c r="J6" s="409"/>
      <c r="K6" s="409"/>
      <c r="L6" s="409"/>
      <c r="M6" s="409"/>
      <c r="N6" s="409"/>
      <c r="O6" s="409"/>
      <c r="P6" s="409"/>
      <c r="Q6" s="409"/>
      <c r="R6" s="409"/>
      <c r="S6" s="409"/>
      <c r="T6" s="409"/>
      <c r="U6" s="409"/>
      <c r="V6" s="405"/>
    </row>
    <row r="7" spans="1:22" x14ac:dyDescent="0.3">
      <c r="A7" s="407"/>
      <c r="B7" s="601" t="s">
        <v>147</v>
      </c>
      <c r="C7" s="409"/>
      <c r="D7" s="409"/>
      <c r="E7" s="409"/>
      <c r="F7" s="409"/>
      <c r="G7" s="409"/>
      <c r="H7" s="409"/>
      <c r="I7" s="409"/>
      <c r="J7" s="409"/>
      <c r="K7" s="409"/>
      <c r="L7" s="409"/>
      <c r="M7" s="409"/>
      <c r="N7" s="409"/>
      <c r="O7" s="409"/>
      <c r="P7" s="409"/>
      <c r="Q7" s="409"/>
      <c r="R7" s="409"/>
      <c r="S7" s="409"/>
      <c r="T7" s="409"/>
      <c r="U7" s="409"/>
      <c r="V7" s="405"/>
    </row>
    <row r="8" spans="1:22" x14ac:dyDescent="0.3">
      <c r="A8" s="407"/>
      <c r="B8" s="412"/>
      <c r="C8" s="409"/>
      <c r="D8" s="409"/>
      <c r="E8" s="409"/>
      <c r="F8" s="409"/>
      <c r="G8" s="409"/>
      <c r="H8" s="409"/>
      <c r="I8" s="409"/>
      <c r="J8" s="409"/>
      <c r="K8" s="409"/>
      <c r="L8" s="409"/>
      <c r="M8" s="409"/>
      <c r="N8" s="409"/>
      <c r="O8" s="409"/>
      <c r="P8" s="409"/>
      <c r="Q8" s="409"/>
      <c r="R8" s="409"/>
      <c r="S8" s="409"/>
      <c r="T8" s="409"/>
      <c r="U8" s="409"/>
      <c r="V8" s="405"/>
    </row>
    <row r="9" spans="1:22" ht="18" x14ac:dyDescent="0.35">
      <c r="A9" s="407"/>
      <c r="B9" s="413" t="s">
        <v>206</v>
      </c>
      <c r="C9" s="409"/>
      <c r="D9" s="409"/>
      <c r="E9" s="409"/>
      <c r="F9" s="409"/>
      <c r="G9" s="409"/>
      <c r="H9" s="409"/>
      <c r="I9" s="409"/>
      <c r="J9" s="414" t="s">
        <v>347</v>
      </c>
      <c r="K9" s="409"/>
      <c r="L9" s="409"/>
      <c r="M9" s="409"/>
      <c r="N9" s="409"/>
      <c r="O9" s="409"/>
      <c r="P9" s="409"/>
      <c r="Q9" s="409"/>
      <c r="R9" s="409"/>
      <c r="S9" s="409"/>
      <c r="T9" s="409"/>
      <c r="U9" s="409"/>
      <c r="V9" s="405"/>
    </row>
    <row r="10" spans="1:22" x14ac:dyDescent="0.3">
      <c r="A10" s="407"/>
      <c r="B10" s="412"/>
      <c r="C10" s="415"/>
      <c r="D10" s="415"/>
      <c r="E10" s="415"/>
      <c r="F10" s="409"/>
      <c r="G10" s="409"/>
      <c r="H10" s="409"/>
      <c r="I10" s="409"/>
      <c r="J10" s="409"/>
      <c r="K10" s="409"/>
      <c r="L10" s="409"/>
      <c r="M10" s="409"/>
      <c r="N10" s="409"/>
      <c r="O10" s="409"/>
      <c r="P10" s="409"/>
      <c r="Q10" s="409"/>
      <c r="R10" s="409"/>
      <c r="S10" s="409"/>
      <c r="T10" s="409"/>
      <c r="U10" s="409"/>
      <c r="V10" s="405"/>
    </row>
    <row r="11" spans="1:22" x14ac:dyDescent="0.3">
      <c r="A11" s="407"/>
      <c r="B11" s="545" t="s">
        <v>0</v>
      </c>
      <c r="C11" s="542"/>
      <c r="D11" s="542"/>
      <c r="E11" s="542"/>
      <c r="F11" s="542"/>
      <c r="G11" s="542"/>
      <c r="H11" s="542"/>
      <c r="I11" s="542"/>
      <c r="J11" s="542"/>
      <c r="K11" s="542"/>
      <c r="L11" s="542"/>
      <c r="M11" s="542"/>
      <c r="N11" s="542"/>
      <c r="O11" s="542"/>
      <c r="P11" s="542"/>
      <c r="Q11" s="542"/>
      <c r="R11" s="542"/>
      <c r="S11" s="542"/>
      <c r="T11" s="542"/>
      <c r="U11" s="409"/>
      <c r="V11" s="405"/>
    </row>
    <row r="12" spans="1:22" ht="16.2" thickBot="1" x14ac:dyDescent="0.35">
      <c r="A12" s="407"/>
      <c r="B12" s="545"/>
      <c r="C12" s="542"/>
      <c r="D12" s="542"/>
      <c r="E12" s="542"/>
      <c r="F12" s="542"/>
      <c r="G12" s="542"/>
      <c r="H12" s="542"/>
      <c r="I12" s="542"/>
      <c r="J12" s="542"/>
      <c r="K12" s="542"/>
      <c r="L12" s="542"/>
      <c r="M12" s="542"/>
      <c r="N12" s="542"/>
      <c r="O12" s="542"/>
      <c r="P12" s="542"/>
      <c r="Q12" s="542"/>
      <c r="R12" s="542"/>
      <c r="S12" s="542"/>
      <c r="T12" s="542"/>
      <c r="U12" s="409"/>
      <c r="V12" s="405"/>
    </row>
    <row r="13" spans="1:22" x14ac:dyDescent="0.3">
      <c r="A13" s="403"/>
      <c r="B13" s="593"/>
      <c r="C13" s="593"/>
      <c r="D13" s="593"/>
      <c r="E13" s="593"/>
      <c r="F13" s="593"/>
      <c r="G13" s="593"/>
      <c r="H13" s="593"/>
      <c r="I13" s="593"/>
      <c r="J13" s="593"/>
      <c r="K13" s="593"/>
      <c r="L13" s="593"/>
      <c r="M13" s="593"/>
      <c r="N13" s="593"/>
      <c r="O13" s="593"/>
      <c r="P13" s="593"/>
      <c r="Q13" s="593"/>
      <c r="R13" s="593"/>
      <c r="S13" s="593"/>
      <c r="T13" s="593"/>
      <c r="U13" s="404"/>
      <c r="V13" s="405"/>
    </row>
    <row r="14" spans="1:22" x14ac:dyDescent="0.3">
      <c r="A14" s="407"/>
      <c r="B14" s="545" t="s">
        <v>1</v>
      </c>
      <c r="C14" s="542"/>
      <c r="D14" s="542"/>
      <c r="E14" s="542"/>
      <c r="F14" s="542"/>
      <c r="G14" s="542"/>
      <c r="H14" s="542"/>
      <c r="I14" s="542"/>
      <c r="J14" s="542"/>
      <c r="K14" s="542"/>
      <c r="L14" s="542"/>
      <c r="M14" s="542"/>
      <c r="N14" s="542"/>
      <c r="O14" s="542"/>
      <c r="P14" s="542"/>
      <c r="Q14" s="542"/>
      <c r="R14" s="542"/>
      <c r="S14" s="542"/>
      <c r="T14" s="594" t="s">
        <v>183</v>
      </c>
      <c r="U14" s="416"/>
      <c r="V14" s="405"/>
    </row>
    <row r="15" spans="1:22" x14ac:dyDescent="0.3">
      <c r="A15" s="407"/>
      <c r="B15" s="545" t="s">
        <v>2</v>
      </c>
      <c r="C15" s="542"/>
      <c r="D15" s="542"/>
      <c r="E15" s="542"/>
      <c r="F15" s="542"/>
      <c r="G15" s="542"/>
      <c r="H15" s="595"/>
      <c r="I15" s="595"/>
      <c r="J15" s="595"/>
      <c r="K15" s="595"/>
      <c r="L15" s="595"/>
      <c r="M15" s="595"/>
      <c r="N15" s="595"/>
      <c r="O15" s="595"/>
      <c r="P15" s="595" t="s">
        <v>110</v>
      </c>
      <c r="Q15" s="596">
        <v>0.59430000000000005</v>
      </c>
      <c r="R15" s="546" t="s">
        <v>149</v>
      </c>
      <c r="S15" s="596">
        <v>0.40570000000000001</v>
      </c>
      <c r="T15" s="594"/>
      <c r="U15" s="416"/>
      <c r="V15" s="405"/>
    </row>
    <row r="16" spans="1:22" x14ac:dyDescent="0.3">
      <c r="A16" s="407"/>
      <c r="B16" s="545" t="s">
        <v>3</v>
      </c>
      <c r="C16" s="542"/>
      <c r="D16" s="542"/>
      <c r="E16" s="542"/>
      <c r="F16" s="542"/>
      <c r="G16" s="542"/>
      <c r="H16" s="595"/>
      <c r="I16" s="595"/>
      <c r="J16" s="595"/>
      <c r="K16" s="595"/>
      <c r="L16" s="595"/>
      <c r="M16" s="595"/>
      <c r="N16" s="595"/>
      <c r="O16" s="595"/>
      <c r="P16" s="595" t="s">
        <v>110</v>
      </c>
      <c r="Q16" s="596">
        <v>0.73150000000000004</v>
      </c>
      <c r="R16" s="546" t="s">
        <v>149</v>
      </c>
      <c r="S16" s="596">
        <v>0.26850000000000002</v>
      </c>
      <c r="T16" s="594"/>
      <c r="U16" s="416"/>
      <c r="V16" s="405"/>
    </row>
    <row r="17" spans="1:22" x14ac:dyDescent="0.3">
      <c r="A17" s="407"/>
      <c r="B17" s="545" t="s">
        <v>4</v>
      </c>
      <c r="C17" s="542"/>
      <c r="D17" s="542"/>
      <c r="E17" s="542"/>
      <c r="F17" s="542"/>
      <c r="G17" s="542"/>
      <c r="H17" s="542"/>
      <c r="I17" s="542"/>
      <c r="J17" s="542"/>
      <c r="K17" s="542"/>
      <c r="L17" s="542"/>
      <c r="M17" s="542"/>
      <c r="N17" s="542"/>
      <c r="O17" s="542"/>
      <c r="P17" s="542"/>
      <c r="Q17" s="597"/>
      <c r="R17" s="542"/>
      <c r="S17" s="542"/>
      <c r="T17" s="598">
        <v>38552</v>
      </c>
      <c r="U17" s="416"/>
      <c r="V17" s="405"/>
    </row>
    <row r="18" spans="1:22" x14ac:dyDescent="0.3">
      <c r="A18" s="407"/>
      <c r="B18" s="545" t="s">
        <v>5</v>
      </c>
      <c r="C18" s="542"/>
      <c r="D18" s="542"/>
      <c r="E18" s="542"/>
      <c r="F18" s="542"/>
      <c r="G18" s="542"/>
      <c r="H18" s="542"/>
      <c r="I18" s="542"/>
      <c r="J18" s="542"/>
      <c r="K18" s="542"/>
      <c r="L18" s="542"/>
      <c r="M18" s="542"/>
      <c r="N18" s="542"/>
      <c r="O18" s="542"/>
      <c r="P18" s="542"/>
      <c r="Q18" s="542"/>
      <c r="R18" s="542"/>
      <c r="S18" s="542"/>
      <c r="T18" s="598">
        <v>43332</v>
      </c>
      <c r="U18" s="416"/>
      <c r="V18" s="405"/>
    </row>
    <row r="19" spans="1:22" x14ac:dyDescent="0.3">
      <c r="A19" s="407"/>
      <c r="B19" s="542"/>
      <c r="C19" s="542"/>
      <c r="D19" s="542"/>
      <c r="E19" s="542"/>
      <c r="F19" s="542"/>
      <c r="G19" s="542"/>
      <c r="H19" s="542"/>
      <c r="I19" s="542"/>
      <c r="J19" s="542"/>
      <c r="K19" s="542"/>
      <c r="L19" s="542"/>
      <c r="M19" s="542"/>
      <c r="N19" s="542"/>
      <c r="O19" s="542"/>
      <c r="P19" s="542"/>
      <c r="Q19" s="542"/>
      <c r="R19" s="542"/>
      <c r="S19" s="542"/>
      <c r="T19" s="599"/>
      <c r="U19" s="409"/>
      <c r="V19" s="405"/>
    </row>
    <row r="20" spans="1:22" x14ac:dyDescent="0.3">
      <c r="A20" s="407"/>
      <c r="B20" s="600" t="s">
        <v>6</v>
      </c>
      <c r="C20" s="542"/>
      <c r="D20" s="542"/>
      <c r="E20" s="542"/>
      <c r="F20" s="542"/>
      <c r="G20" s="542"/>
      <c r="H20" s="542"/>
      <c r="I20" s="542"/>
      <c r="J20" s="542"/>
      <c r="K20" s="542"/>
      <c r="L20" s="542"/>
      <c r="M20" s="542"/>
      <c r="N20" s="542"/>
      <c r="O20" s="542"/>
      <c r="P20" s="542"/>
      <c r="Q20" s="542"/>
      <c r="R20" s="599" t="s">
        <v>111</v>
      </c>
      <c r="S20" s="542"/>
      <c r="T20" s="542"/>
      <c r="U20" s="409"/>
      <c r="V20" s="405"/>
    </row>
    <row r="21" spans="1:22" x14ac:dyDescent="0.3">
      <c r="A21" s="407"/>
      <c r="B21" s="409"/>
      <c r="C21" s="409"/>
      <c r="D21" s="409"/>
      <c r="E21" s="409"/>
      <c r="F21" s="409"/>
      <c r="G21" s="409"/>
      <c r="H21" s="409"/>
      <c r="I21" s="409"/>
      <c r="J21" s="409"/>
      <c r="K21" s="409"/>
      <c r="L21" s="409"/>
      <c r="M21" s="409"/>
      <c r="N21" s="409"/>
      <c r="O21" s="409"/>
      <c r="P21" s="409"/>
      <c r="Q21" s="409"/>
      <c r="R21" s="409"/>
      <c r="S21" s="409"/>
      <c r="T21" s="417"/>
      <c r="U21" s="409"/>
      <c r="V21" s="405"/>
    </row>
    <row r="22" spans="1:22" x14ac:dyDescent="0.3">
      <c r="A22" s="503"/>
      <c r="B22" s="608"/>
      <c r="C22" s="609"/>
      <c r="D22" s="609" t="s">
        <v>185</v>
      </c>
      <c r="E22" s="609"/>
      <c r="F22" s="609" t="s">
        <v>186</v>
      </c>
      <c r="G22" s="609"/>
      <c r="H22" s="609" t="s">
        <v>187</v>
      </c>
      <c r="I22" s="609"/>
      <c r="J22" s="609" t="s">
        <v>188</v>
      </c>
      <c r="K22" s="609"/>
      <c r="L22" s="609" t="s">
        <v>189</v>
      </c>
      <c r="M22" s="609"/>
      <c r="N22" s="609" t="s">
        <v>190</v>
      </c>
      <c r="O22" s="609"/>
      <c r="P22" s="609" t="s">
        <v>191</v>
      </c>
      <c r="Q22" s="610"/>
      <c r="R22" s="610"/>
      <c r="S22" s="608"/>
      <c r="T22" s="608"/>
      <c r="U22" s="611"/>
      <c r="V22" s="405"/>
    </row>
    <row r="23" spans="1:22" x14ac:dyDescent="0.3">
      <c r="A23" s="604"/>
      <c r="B23" s="605" t="s">
        <v>7</v>
      </c>
      <c r="C23" s="606"/>
      <c r="D23" s="606" t="s">
        <v>150</v>
      </c>
      <c r="E23" s="606"/>
      <c r="F23" s="606" t="s">
        <v>150</v>
      </c>
      <c r="G23" s="606"/>
      <c r="H23" s="606" t="s">
        <v>150</v>
      </c>
      <c r="I23" s="606"/>
      <c r="J23" s="606" t="s">
        <v>192</v>
      </c>
      <c r="K23" s="606"/>
      <c r="L23" s="606" t="s">
        <v>192</v>
      </c>
      <c r="M23" s="606"/>
      <c r="N23" s="606" t="s">
        <v>151</v>
      </c>
      <c r="O23" s="606"/>
      <c r="P23" s="606" t="s">
        <v>151</v>
      </c>
      <c r="Q23" s="606"/>
      <c r="R23" s="606"/>
      <c r="S23" s="605"/>
      <c r="T23" s="605"/>
      <c r="U23" s="607"/>
      <c r="V23" s="405"/>
    </row>
    <row r="24" spans="1:22" x14ac:dyDescent="0.3">
      <c r="A24" s="418"/>
      <c r="B24" s="532" t="s">
        <v>8</v>
      </c>
      <c r="C24" s="582"/>
      <c r="D24" s="582" t="s">
        <v>152</v>
      </c>
      <c r="E24" s="582"/>
      <c r="F24" s="582" t="s">
        <v>152</v>
      </c>
      <c r="G24" s="582"/>
      <c r="H24" s="582" t="s">
        <v>152</v>
      </c>
      <c r="I24" s="582"/>
      <c r="J24" s="582" t="s">
        <v>193</v>
      </c>
      <c r="K24" s="582"/>
      <c r="L24" s="582" t="s">
        <v>193</v>
      </c>
      <c r="M24" s="582"/>
      <c r="N24" s="582" t="s">
        <v>153</v>
      </c>
      <c r="O24" s="582"/>
      <c r="P24" s="582" t="s">
        <v>153</v>
      </c>
      <c r="Q24" s="582"/>
      <c r="R24" s="582"/>
      <c r="S24" s="532"/>
      <c r="T24" s="532"/>
      <c r="U24" s="420"/>
      <c r="V24" s="405"/>
    </row>
    <row r="25" spans="1:22" x14ac:dyDescent="0.3">
      <c r="A25" s="421"/>
      <c r="B25" s="536" t="s">
        <v>9</v>
      </c>
      <c r="C25" s="583"/>
      <c r="D25" s="583" t="s">
        <v>329</v>
      </c>
      <c r="E25" s="583"/>
      <c r="F25" s="583" t="s">
        <v>329</v>
      </c>
      <c r="G25" s="583"/>
      <c r="H25" s="583" t="s">
        <v>329</v>
      </c>
      <c r="I25" s="583"/>
      <c r="J25" s="583" t="s">
        <v>334</v>
      </c>
      <c r="K25" s="583"/>
      <c r="L25" s="583" t="s">
        <v>334</v>
      </c>
      <c r="M25" s="583"/>
      <c r="N25" s="583" t="s">
        <v>330</v>
      </c>
      <c r="O25" s="583"/>
      <c r="P25" s="583" t="s">
        <v>330</v>
      </c>
      <c r="Q25" s="583"/>
      <c r="R25" s="582"/>
      <c r="S25" s="532"/>
      <c r="T25" s="532"/>
      <c r="U25" s="420"/>
      <c r="V25" s="405"/>
    </row>
    <row r="26" spans="1:22" x14ac:dyDescent="0.3">
      <c r="A26" s="421"/>
      <c r="B26" s="536" t="s">
        <v>10</v>
      </c>
      <c r="C26" s="583"/>
      <c r="D26" s="583" t="s">
        <v>339</v>
      </c>
      <c r="E26" s="583"/>
      <c r="F26" s="583" t="s">
        <v>339</v>
      </c>
      <c r="G26" s="583"/>
      <c r="H26" s="583" t="s">
        <v>339</v>
      </c>
      <c r="I26" s="583"/>
      <c r="J26" s="583" t="s">
        <v>339</v>
      </c>
      <c r="K26" s="583"/>
      <c r="L26" s="583" t="s">
        <v>339</v>
      </c>
      <c r="M26" s="583"/>
      <c r="N26" s="583" t="s">
        <v>314</v>
      </c>
      <c r="O26" s="583"/>
      <c r="P26" s="583" t="s">
        <v>314</v>
      </c>
      <c r="Q26" s="583"/>
      <c r="R26" s="582"/>
      <c r="S26" s="532"/>
      <c r="T26" s="532"/>
      <c r="U26" s="420"/>
      <c r="V26" s="405"/>
    </row>
    <row r="27" spans="1:22" x14ac:dyDescent="0.3">
      <c r="A27" s="418"/>
      <c r="B27" s="532" t="s">
        <v>11</v>
      </c>
      <c r="C27" s="582"/>
      <c r="D27" s="582" t="s">
        <v>194</v>
      </c>
      <c r="E27" s="582"/>
      <c r="F27" s="552" t="s">
        <v>195</v>
      </c>
      <c r="G27" s="582"/>
      <c r="H27" s="582" t="s">
        <v>196</v>
      </c>
      <c r="I27" s="582"/>
      <c r="J27" s="582" t="s">
        <v>198</v>
      </c>
      <c r="K27" s="582"/>
      <c r="L27" s="582" t="s">
        <v>199</v>
      </c>
      <c r="M27" s="582"/>
      <c r="N27" s="582" t="s">
        <v>200</v>
      </c>
      <c r="O27" s="582"/>
      <c r="P27" s="582" t="s">
        <v>201</v>
      </c>
      <c r="Q27" s="582"/>
      <c r="R27" s="552"/>
      <c r="S27" s="532"/>
      <c r="T27" s="532"/>
      <c r="U27" s="420"/>
      <c r="V27" s="405"/>
    </row>
    <row r="28" spans="1:22" x14ac:dyDescent="0.3">
      <c r="A28" s="418"/>
      <c r="B28" s="532" t="s">
        <v>11</v>
      </c>
      <c r="C28" s="582"/>
      <c r="D28" s="582" t="s">
        <v>127</v>
      </c>
      <c r="E28" s="582"/>
      <c r="F28" s="552" t="s">
        <v>127</v>
      </c>
      <c r="G28" s="582"/>
      <c r="H28" s="582" t="s">
        <v>197</v>
      </c>
      <c r="I28" s="582"/>
      <c r="J28" s="582" t="s">
        <v>127</v>
      </c>
      <c r="K28" s="582"/>
      <c r="L28" s="582" t="s">
        <v>127</v>
      </c>
      <c r="M28" s="582"/>
      <c r="N28" s="582" t="s">
        <v>127</v>
      </c>
      <c r="O28" s="582"/>
      <c r="P28" s="582" t="s">
        <v>127</v>
      </c>
      <c r="Q28" s="582"/>
      <c r="R28" s="552"/>
      <c r="S28" s="532"/>
      <c r="T28" s="532"/>
      <c r="U28" s="420"/>
      <c r="V28" s="405"/>
    </row>
    <row r="29" spans="1:22" x14ac:dyDescent="0.3">
      <c r="A29" s="418"/>
      <c r="B29" s="532" t="s">
        <v>142</v>
      </c>
      <c r="C29" s="584"/>
      <c r="D29" s="577">
        <v>346000</v>
      </c>
      <c r="E29" s="584"/>
      <c r="F29" s="585">
        <v>355000</v>
      </c>
      <c r="G29" s="577"/>
      <c r="H29" s="586">
        <v>60000</v>
      </c>
      <c r="I29" s="577"/>
      <c r="J29" s="577">
        <v>7000</v>
      </c>
      <c r="K29" s="577"/>
      <c r="L29" s="585">
        <v>29500</v>
      </c>
      <c r="M29" s="577"/>
      <c r="N29" s="587">
        <v>3000</v>
      </c>
      <c r="O29" s="577"/>
      <c r="P29" s="585">
        <v>66000</v>
      </c>
      <c r="Q29" s="577"/>
      <c r="R29" s="577"/>
      <c r="S29" s="584"/>
      <c r="T29" s="577"/>
      <c r="U29" s="423"/>
      <c r="V29" s="405"/>
    </row>
    <row r="30" spans="1:22" x14ac:dyDescent="0.3">
      <c r="A30" s="418"/>
      <c r="B30" s="532" t="s">
        <v>141</v>
      </c>
      <c r="C30" s="584"/>
      <c r="D30" s="577">
        <f>D29*D36</f>
        <v>97659.122799999997</v>
      </c>
      <c r="E30" s="584"/>
      <c r="F30" s="585">
        <f>F29*F36</f>
        <v>100199.389</v>
      </c>
      <c r="G30" s="577"/>
      <c r="H30" s="586">
        <f>H29*H36</f>
        <v>16934.969999999998</v>
      </c>
      <c r="I30" s="577"/>
      <c r="J30" s="577">
        <f>J29*J36</f>
        <v>4495.8382000000001</v>
      </c>
      <c r="K30" s="577"/>
      <c r="L30" s="585">
        <f>L29*L36</f>
        <v>18946.7467</v>
      </c>
      <c r="M30" s="577"/>
      <c r="N30" s="587">
        <f>N29*N36</f>
        <v>1926.7878000000001</v>
      </c>
      <c r="O30" s="577"/>
      <c r="P30" s="585">
        <f>P29*P36</f>
        <v>42389.331599999998</v>
      </c>
      <c r="Q30" s="577"/>
      <c r="R30" s="577"/>
      <c r="S30" s="584"/>
      <c r="T30" s="577"/>
      <c r="U30" s="423"/>
      <c r="V30" s="405"/>
    </row>
    <row r="31" spans="1:22" x14ac:dyDescent="0.3">
      <c r="A31" s="421"/>
      <c r="B31" s="536" t="s">
        <v>143</v>
      </c>
      <c r="C31" s="588"/>
      <c r="D31" s="589">
        <f>D35*D29</f>
        <v>96083.162000000011</v>
      </c>
      <c r="E31" s="588"/>
      <c r="F31" s="590">
        <f>F35*F29</f>
        <v>98582.435000000012</v>
      </c>
      <c r="G31" s="589"/>
      <c r="H31" s="591">
        <f>H35*H29</f>
        <v>16661.682000000001</v>
      </c>
      <c r="I31" s="589"/>
      <c r="J31" s="589">
        <f>J35*J29</f>
        <v>4423.2860000000001</v>
      </c>
      <c r="K31" s="589"/>
      <c r="L31" s="590">
        <f>L35*L29</f>
        <v>18640.990999999998</v>
      </c>
      <c r="M31" s="589"/>
      <c r="N31" s="592">
        <f>N35*N29</f>
        <v>1895.694</v>
      </c>
      <c r="O31" s="589"/>
      <c r="P31" s="590">
        <f>P35*P29</f>
        <v>41705.267999999996</v>
      </c>
      <c r="Q31" s="589"/>
      <c r="R31" s="589"/>
      <c r="S31" s="588"/>
      <c r="T31" s="589"/>
      <c r="U31" s="423"/>
      <c r="V31" s="405"/>
    </row>
    <row r="32" spans="1:22" x14ac:dyDescent="0.3">
      <c r="A32" s="418"/>
      <c r="B32" s="532" t="s">
        <v>289</v>
      </c>
      <c r="C32" s="584"/>
      <c r="D32" s="577">
        <v>346000</v>
      </c>
      <c r="E32" s="584"/>
      <c r="F32" s="577">
        <v>244500</v>
      </c>
      <c r="G32" s="577"/>
      <c r="H32" s="577">
        <v>33900</v>
      </c>
      <c r="I32" s="577"/>
      <c r="J32" s="577">
        <v>7000</v>
      </c>
      <c r="K32" s="577"/>
      <c r="L32" s="577">
        <v>20300</v>
      </c>
      <c r="M32" s="577"/>
      <c r="N32" s="577">
        <v>3000</v>
      </c>
      <c r="O32" s="577"/>
      <c r="P32" s="577">
        <v>45300</v>
      </c>
      <c r="Q32" s="577"/>
      <c r="R32" s="577"/>
      <c r="S32" s="584"/>
      <c r="T32" s="577">
        <f>SUM(C32:P32)</f>
        <v>700000</v>
      </c>
      <c r="U32" s="423"/>
      <c r="V32" s="405"/>
    </row>
    <row r="33" spans="1:22" x14ac:dyDescent="0.3">
      <c r="A33" s="418"/>
      <c r="B33" s="532" t="s">
        <v>290</v>
      </c>
      <c r="C33" s="584"/>
      <c r="D33" s="577">
        <f>D32*D36</f>
        <v>97659.122799999997</v>
      </c>
      <c r="E33" s="584"/>
      <c r="F33" s="577">
        <f>F32*F36</f>
        <v>69010.565099999993</v>
      </c>
      <c r="G33" s="577"/>
      <c r="H33" s="577">
        <f>H32*H36</f>
        <v>9568.2580500000004</v>
      </c>
      <c r="I33" s="577"/>
      <c r="J33" s="577">
        <f>J32*J36</f>
        <v>4495.8382000000001</v>
      </c>
      <c r="K33" s="577"/>
      <c r="L33" s="577">
        <f>L32*L36</f>
        <v>13037.930780000001</v>
      </c>
      <c r="M33" s="577"/>
      <c r="N33" s="577">
        <f>N32*N36</f>
        <v>1926.7878000000001</v>
      </c>
      <c r="O33" s="577"/>
      <c r="P33" s="577">
        <f>P32*P36</f>
        <v>29094.495780000001</v>
      </c>
      <c r="Q33" s="577"/>
      <c r="R33" s="577"/>
      <c r="S33" s="584"/>
      <c r="T33" s="577">
        <f>SUM(C33:P33)</f>
        <v>224792.99850999998</v>
      </c>
      <c r="U33" s="423"/>
      <c r="V33" s="405"/>
    </row>
    <row r="34" spans="1:22" x14ac:dyDescent="0.3">
      <c r="A34" s="421"/>
      <c r="B34" s="536" t="s">
        <v>291</v>
      </c>
      <c r="C34" s="588"/>
      <c r="D34" s="589">
        <f>D35*D32</f>
        <v>96083.162000000011</v>
      </c>
      <c r="E34" s="588"/>
      <c r="F34" s="589">
        <f>F35*F32</f>
        <v>67896.916500000007</v>
      </c>
      <c r="G34" s="589"/>
      <c r="H34" s="589">
        <f>H35*H32</f>
        <v>9413.8503300000011</v>
      </c>
      <c r="I34" s="589"/>
      <c r="J34" s="589">
        <f>J35*J32</f>
        <v>4423.2860000000001</v>
      </c>
      <c r="K34" s="589"/>
      <c r="L34" s="589">
        <f>L35*L32</f>
        <v>12827.529399999999</v>
      </c>
      <c r="M34" s="589"/>
      <c r="N34" s="589">
        <f>N35*N32</f>
        <v>1895.694</v>
      </c>
      <c r="O34" s="589"/>
      <c r="P34" s="589">
        <f>P35*P32</f>
        <v>28624.979399999997</v>
      </c>
      <c r="Q34" s="589"/>
      <c r="R34" s="589"/>
      <c r="S34" s="588"/>
      <c r="T34" s="589">
        <f>SUM(C34:P34)</f>
        <v>221165.41762999998</v>
      </c>
      <c r="U34" s="423"/>
      <c r="V34" s="405"/>
    </row>
    <row r="35" spans="1:22" x14ac:dyDescent="0.3">
      <c r="A35" s="421"/>
      <c r="B35" s="514" t="s">
        <v>139</v>
      </c>
      <c r="C35" s="515"/>
      <c r="D35" s="516">
        <v>0.27769700000000003</v>
      </c>
      <c r="E35" s="517"/>
      <c r="F35" s="516">
        <v>0.27769700000000003</v>
      </c>
      <c r="G35" s="516"/>
      <c r="H35" s="516">
        <v>0.27769470000000002</v>
      </c>
      <c r="I35" s="518"/>
      <c r="J35" s="516">
        <v>0.63189799999999996</v>
      </c>
      <c r="K35" s="516"/>
      <c r="L35" s="516">
        <v>0.63189799999999996</v>
      </c>
      <c r="M35" s="518"/>
      <c r="N35" s="516">
        <v>0.63189799999999996</v>
      </c>
      <c r="O35" s="516"/>
      <c r="P35" s="516">
        <v>0.63189799999999996</v>
      </c>
      <c r="Q35" s="424"/>
      <c r="R35" s="424"/>
      <c r="S35" s="425"/>
      <c r="T35" s="424"/>
      <c r="U35" s="426"/>
      <c r="V35" s="405"/>
    </row>
    <row r="36" spans="1:22" x14ac:dyDescent="0.3">
      <c r="A36" s="421"/>
      <c r="B36" s="514" t="s">
        <v>140</v>
      </c>
      <c r="C36" s="515"/>
      <c r="D36" s="516">
        <v>0.2822518</v>
      </c>
      <c r="E36" s="517"/>
      <c r="F36" s="516">
        <v>0.2822518</v>
      </c>
      <c r="G36" s="516"/>
      <c r="H36" s="516">
        <v>0.28224949999999999</v>
      </c>
      <c r="I36" s="518"/>
      <c r="J36" s="516">
        <v>0.64226260000000002</v>
      </c>
      <c r="K36" s="516"/>
      <c r="L36" s="516">
        <v>0.64226260000000002</v>
      </c>
      <c r="M36" s="518"/>
      <c r="N36" s="516">
        <v>0.64226260000000002</v>
      </c>
      <c r="O36" s="516"/>
      <c r="P36" s="516">
        <v>0.64226260000000002</v>
      </c>
      <c r="Q36" s="427"/>
      <c r="R36" s="427"/>
      <c r="S36" s="425"/>
      <c r="T36" s="424"/>
      <c r="U36" s="426"/>
      <c r="V36" s="405"/>
    </row>
    <row r="37" spans="1:22" x14ac:dyDescent="0.3">
      <c r="A37" s="428"/>
      <c r="B37" s="532" t="s">
        <v>12</v>
      </c>
      <c r="C37" s="532"/>
      <c r="D37" s="552" t="s">
        <v>166</v>
      </c>
      <c r="E37" s="532"/>
      <c r="F37" s="552" t="s">
        <v>166</v>
      </c>
      <c r="G37" s="552"/>
      <c r="H37" s="552" t="s">
        <v>166</v>
      </c>
      <c r="I37" s="552"/>
      <c r="J37" s="552" t="s">
        <v>204</v>
      </c>
      <c r="K37" s="552"/>
      <c r="L37" s="552" t="s">
        <v>204</v>
      </c>
      <c r="M37" s="552"/>
      <c r="N37" s="552" t="s">
        <v>205</v>
      </c>
      <c r="O37" s="552"/>
      <c r="P37" s="552" t="s">
        <v>205</v>
      </c>
      <c r="Q37" s="552"/>
      <c r="R37" s="552"/>
      <c r="S37" s="532"/>
      <c r="T37" s="532"/>
      <c r="U37" s="562"/>
      <c r="V37" s="405"/>
    </row>
    <row r="38" spans="1:22" x14ac:dyDescent="0.3">
      <c r="A38" s="428"/>
      <c r="B38" s="532" t="s">
        <v>13</v>
      </c>
      <c r="C38" s="532"/>
      <c r="D38" s="574">
        <v>1.0003099999999999E-2</v>
      </c>
      <c r="E38" s="532"/>
      <c r="F38" s="574">
        <v>3.3E-4</v>
      </c>
      <c r="G38" s="558"/>
      <c r="H38" s="574">
        <v>2.7025E-2</v>
      </c>
      <c r="I38" s="558"/>
      <c r="J38" s="574">
        <v>1.22031E-2</v>
      </c>
      <c r="K38" s="558"/>
      <c r="L38" s="574">
        <v>2.5300000000000001E-3</v>
      </c>
      <c r="M38" s="558"/>
      <c r="N38" s="574">
        <v>1.6803100000000001E-2</v>
      </c>
      <c r="O38" s="558"/>
      <c r="P38" s="574">
        <v>7.1300000000000001E-3</v>
      </c>
      <c r="Q38" s="558"/>
      <c r="R38" s="574"/>
      <c r="S38" s="532"/>
      <c r="T38" s="558"/>
      <c r="U38" s="562"/>
      <c r="V38" s="405"/>
    </row>
    <row r="39" spans="1:22" x14ac:dyDescent="0.3">
      <c r="A39" s="428"/>
      <c r="B39" s="532" t="s">
        <v>14</v>
      </c>
      <c r="C39" s="532"/>
      <c r="D39" s="574">
        <v>9.0662999999999994E-3</v>
      </c>
      <c r="E39" s="532"/>
      <c r="F39" s="574">
        <v>3.1E-4</v>
      </c>
      <c r="G39" s="558"/>
      <c r="H39" s="574">
        <v>2.19875E-2</v>
      </c>
      <c r="I39" s="558"/>
      <c r="J39" s="574">
        <v>1.12663E-2</v>
      </c>
      <c r="K39" s="558"/>
      <c r="L39" s="574">
        <v>2.5100000000000001E-3</v>
      </c>
      <c r="M39" s="558"/>
      <c r="N39" s="574">
        <v>1.58663E-2</v>
      </c>
      <c r="O39" s="558"/>
      <c r="P39" s="574">
        <v>7.11E-3</v>
      </c>
      <c r="Q39" s="558"/>
      <c r="R39" s="574"/>
      <c r="S39" s="532"/>
      <c r="T39" s="532"/>
      <c r="U39" s="562"/>
      <c r="V39" s="405"/>
    </row>
    <row r="40" spans="1:22" x14ac:dyDescent="0.3">
      <c r="A40" s="428"/>
      <c r="B40" s="532" t="s">
        <v>292</v>
      </c>
      <c r="C40" s="532"/>
      <c r="D40" s="552" t="s">
        <v>166</v>
      </c>
      <c r="E40" s="532"/>
      <c r="F40" s="552" t="s">
        <v>209</v>
      </c>
      <c r="G40" s="552"/>
      <c r="H40" s="552" t="s">
        <v>210</v>
      </c>
      <c r="I40" s="552"/>
      <c r="J40" s="552" t="s">
        <v>204</v>
      </c>
      <c r="K40" s="552"/>
      <c r="L40" s="552" t="s">
        <v>211</v>
      </c>
      <c r="M40" s="552"/>
      <c r="N40" s="552" t="s">
        <v>205</v>
      </c>
      <c r="O40" s="552"/>
      <c r="P40" s="552" t="s">
        <v>212</v>
      </c>
      <c r="Q40" s="558"/>
      <c r="R40" s="574"/>
      <c r="S40" s="532"/>
      <c r="T40" s="558"/>
      <c r="U40" s="562"/>
      <c r="V40" s="405"/>
    </row>
    <row r="41" spans="1:22" x14ac:dyDescent="0.3">
      <c r="A41" s="428"/>
      <c r="B41" s="532" t="s">
        <v>293</v>
      </c>
      <c r="C41" s="532"/>
      <c r="D41" s="574">
        <f>+D38</f>
        <v>1.0003099999999999E-2</v>
      </c>
      <c r="E41" s="532"/>
      <c r="F41" s="574">
        <v>1.02031E-2</v>
      </c>
      <c r="G41" s="558"/>
      <c r="H41" s="574">
        <v>1.0463099999999999E-2</v>
      </c>
      <c r="I41" s="558"/>
      <c r="J41" s="574">
        <f>+J38</f>
        <v>1.22031E-2</v>
      </c>
      <c r="K41" s="558"/>
      <c r="L41" s="574">
        <v>1.27931E-2</v>
      </c>
      <c r="M41" s="558"/>
      <c r="N41" s="574">
        <f>+N38</f>
        <v>1.6803100000000001E-2</v>
      </c>
      <c r="O41" s="558"/>
      <c r="P41" s="574">
        <v>1.76831E-2</v>
      </c>
      <c r="Q41" s="558"/>
      <c r="R41" s="574"/>
      <c r="S41" s="532"/>
      <c r="T41" s="558">
        <f>SUMPRODUCT(D41:P41,D33:P33)/T33</f>
        <v>1.1342190048466119E-2</v>
      </c>
      <c r="U41" s="562"/>
      <c r="V41" s="405"/>
    </row>
    <row r="42" spans="1:22" x14ac:dyDescent="0.3">
      <c r="A42" s="428"/>
      <c r="B42" s="532" t="s">
        <v>294</v>
      </c>
      <c r="C42" s="532"/>
      <c r="D42" s="574">
        <f>+D39</f>
        <v>9.0662999999999994E-3</v>
      </c>
      <c r="E42" s="532"/>
      <c r="F42" s="574">
        <v>9.2662999999999999E-3</v>
      </c>
      <c r="G42" s="558"/>
      <c r="H42" s="574">
        <v>9.5262999999999997E-3</v>
      </c>
      <c r="I42" s="558"/>
      <c r="J42" s="574">
        <f>+J39</f>
        <v>1.12663E-2</v>
      </c>
      <c r="K42" s="558"/>
      <c r="L42" s="574">
        <v>1.18563E-2</v>
      </c>
      <c r="M42" s="558"/>
      <c r="N42" s="574">
        <f>+N39</f>
        <v>1.58663E-2</v>
      </c>
      <c r="O42" s="558"/>
      <c r="P42" s="574">
        <v>1.6746299999999999E-2</v>
      </c>
      <c r="Q42" s="558"/>
      <c r="R42" s="574"/>
      <c r="S42" s="532"/>
      <c r="T42" s="532"/>
      <c r="U42" s="562"/>
      <c r="V42" s="405"/>
    </row>
    <row r="43" spans="1:22" x14ac:dyDescent="0.3">
      <c r="A43" s="428"/>
      <c r="B43" s="532" t="s">
        <v>15</v>
      </c>
      <c r="C43" s="575"/>
      <c r="D43" s="575">
        <v>39948</v>
      </c>
      <c r="E43" s="575"/>
      <c r="F43" s="575">
        <v>39948</v>
      </c>
      <c r="G43" s="575"/>
      <c r="H43" s="575">
        <v>39948</v>
      </c>
      <c r="I43" s="575"/>
      <c r="J43" s="575">
        <v>39948</v>
      </c>
      <c r="K43" s="575"/>
      <c r="L43" s="575">
        <v>39948</v>
      </c>
      <c r="M43" s="575"/>
      <c r="N43" s="575">
        <v>39948</v>
      </c>
      <c r="O43" s="575"/>
      <c r="P43" s="575">
        <v>39948</v>
      </c>
      <c r="Q43" s="552"/>
      <c r="R43" s="552"/>
      <c r="S43" s="532"/>
      <c r="T43" s="532"/>
      <c r="U43" s="562"/>
      <c r="V43" s="405"/>
    </row>
    <row r="44" spans="1:22" x14ac:dyDescent="0.3">
      <c r="A44" s="428"/>
      <c r="B44" s="532" t="s">
        <v>16</v>
      </c>
      <c r="C44" s="575"/>
      <c r="D44" s="575">
        <v>40313</v>
      </c>
      <c r="E44" s="575"/>
      <c r="F44" s="575">
        <v>40313</v>
      </c>
      <c r="G44" s="575"/>
      <c r="H44" s="575">
        <v>40313</v>
      </c>
      <c r="I44" s="552"/>
      <c r="J44" s="575">
        <v>40313</v>
      </c>
      <c r="K44" s="552"/>
      <c r="L44" s="575">
        <v>40313</v>
      </c>
      <c r="M44" s="552"/>
      <c r="N44" s="575">
        <v>40313</v>
      </c>
      <c r="O44" s="552"/>
      <c r="P44" s="575">
        <v>40313</v>
      </c>
      <c r="Q44" s="552"/>
      <c r="R44" s="552"/>
      <c r="S44" s="532"/>
      <c r="T44" s="532"/>
      <c r="U44" s="562"/>
      <c r="V44" s="405"/>
    </row>
    <row r="45" spans="1:22" x14ac:dyDescent="0.3">
      <c r="A45" s="428"/>
      <c r="B45" s="532" t="s">
        <v>128</v>
      </c>
      <c r="C45" s="532"/>
      <c r="D45" s="552" t="s">
        <v>166</v>
      </c>
      <c r="E45" s="532"/>
      <c r="F45" s="552" t="s">
        <v>166</v>
      </c>
      <c r="G45" s="552"/>
      <c r="H45" s="552" t="s">
        <v>166</v>
      </c>
      <c r="I45" s="552"/>
      <c r="J45" s="552" t="s">
        <v>204</v>
      </c>
      <c r="K45" s="552"/>
      <c r="L45" s="552" t="s">
        <v>204</v>
      </c>
      <c r="M45" s="552"/>
      <c r="N45" s="552" t="s">
        <v>205</v>
      </c>
      <c r="O45" s="552"/>
      <c r="P45" s="552" t="s">
        <v>205</v>
      </c>
      <c r="Q45" s="552"/>
      <c r="R45" s="552"/>
      <c r="S45" s="532"/>
      <c r="T45" s="532"/>
      <c r="U45" s="562"/>
      <c r="V45" s="405"/>
    </row>
    <row r="46" spans="1:22" x14ac:dyDescent="0.3">
      <c r="A46" s="428"/>
      <c r="B46" s="532" t="s">
        <v>295</v>
      </c>
      <c r="C46" s="532"/>
      <c r="D46" s="552" t="s">
        <v>166</v>
      </c>
      <c r="E46" s="532"/>
      <c r="F46" s="552" t="s">
        <v>209</v>
      </c>
      <c r="G46" s="552"/>
      <c r="H46" s="552" t="s">
        <v>210</v>
      </c>
      <c r="I46" s="552"/>
      <c r="J46" s="552" t="s">
        <v>204</v>
      </c>
      <c r="K46" s="552"/>
      <c r="L46" s="552" t="s">
        <v>211</v>
      </c>
      <c r="M46" s="552"/>
      <c r="N46" s="552" t="s">
        <v>205</v>
      </c>
      <c r="O46" s="552"/>
      <c r="P46" s="552" t="s">
        <v>212</v>
      </c>
      <c r="Q46" s="552"/>
      <c r="R46" s="552"/>
      <c r="S46" s="532"/>
      <c r="T46" s="532"/>
      <c r="U46" s="562"/>
      <c r="V46" s="405"/>
    </row>
    <row r="47" spans="1:22" x14ac:dyDescent="0.3">
      <c r="A47" s="428"/>
      <c r="B47" s="532"/>
      <c r="C47" s="532"/>
      <c r="D47" s="532"/>
      <c r="E47" s="532"/>
      <c r="F47" s="552"/>
      <c r="G47" s="552"/>
      <c r="H47" s="550"/>
      <c r="I47" s="550"/>
      <c r="J47" s="550"/>
      <c r="K47" s="550"/>
      <c r="L47" s="550"/>
      <c r="M47" s="550"/>
      <c r="N47" s="550"/>
      <c r="O47" s="550"/>
      <c r="P47" s="550"/>
      <c r="Q47" s="550"/>
      <c r="R47" s="550"/>
      <c r="S47" s="550"/>
      <c r="T47" s="550"/>
      <c r="U47" s="562"/>
      <c r="V47" s="405"/>
    </row>
    <row r="48" spans="1:22" x14ac:dyDescent="0.3">
      <c r="A48" s="428"/>
      <c r="B48" s="532" t="s">
        <v>224</v>
      </c>
      <c r="C48" s="532"/>
      <c r="D48" s="532"/>
      <c r="E48" s="532"/>
      <c r="F48" s="576"/>
      <c r="G48" s="532"/>
      <c r="H48" s="532"/>
      <c r="I48" s="532"/>
      <c r="J48" s="532"/>
      <c r="K48" s="532"/>
      <c r="L48" s="532"/>
      <c r="M48" s="532"/>
      <c r="N48" s="532"/>
      <c r="O48" s="532"/>
      <c r="P48" s="532"/>
      <c r="Q48" s="532"/>
      <c r="R48" s="532"/>
      <c r="S48" s="532"/>
      <c r="T48" s="558">
        <f>SUM(J32:P32)/SUM(D32:H32)</f>
        <v>0.1210762331838565</v>
      </c>
      <c r="U48" s="562"/>
      <c r="V48" s="405"/>
    </row>
    <row r="49" spans="1:23" x14ac:dyDescent="0.3">
      <c r="A49" s="428"/>
      <c r="B49" s="532" t="s">
        <v>225</v>
      </c>
      <c r="C49" s="532"/>
      <c r="D49" s="532"/>
      <c r="E49" s="532"/>
      <c r="F49" s="576"/>
      <c r="G49" s="532"/>
      <c r="H49" s="532"/>
      <c r="I49" s="532"/>
      <c r="J49" s="532"/>
      <c r="K49" s="532"/>
      <c r="L49" s="532"/>
      <c r="M49" s="532"/>
      <c r="N49" s="532"/>
      <c r="O49" s="532"/>
      <c r="P49" s="532"/>
      <c r="Q49" s="532"/>
      <c r="R49" s="532"/>
      <c r="S49" s="532"/>
      <c r="T49" s="558">
        <f>SUM(J34:P34)/SUM(D34:H34)</f>
        <v>0.27550842824973665</v>
      </c>
      <c r="U49" s="562"/>
      <c r="V49" s="405"/>
    </row>
    <row r="50" spans="1:23" x14ac:dyDescent="0.3">
      <c r="A50" s="428"/>
      <c r="B50" s="532" t="s">
        <v>226</v>
      </c>
      <c r="C50" s="532"/>
      <c r="D50" s="532"/>
      <c r="E50" s="532"/>
      <c r="F50" s="532"/>
      <c r="G50" s="532"/>
      <c r="H50" s="532"/>
      <c r="I50" s="532"/>
      <c r="J50" s="532"/>
      <c r="K50" s="532"/>
      <c r="L50" s="532"/>
      <c r="M50" s="532"/>
      <c r="N50" s="532"/>
      <c r="O50" s="532"/>
      <c r="P50" s="532"/>
      <c r="Q50" s="532"/>
      <c r="R50" s="552" t="s">
        <v>112</v>
      </c>
      <c r="S50" s="552" t="s">
        <v>118</v>
      </c>
      <c r="T50" s="577">
        <f>+T32/2-SUM(J32:P32)</f>
        <v>274400</v>
      </c>
      <c r="U50" s="562"/>
      <c r="V50" s="405"/>
    </row>
    <row r="51" spans="1:23" x14ac:dyDescent="0.3">
      <c r="A51" s="428"/>
      <c r="B51" s="532"/>
      <c r="C51" s="532"/>
      <c r="D51" s="532"/>
      <c r="E51" s="532"/>
      <c r="F51" s="532"/>
      <c r="G51" s="532"/>
      <c r="H51" s="532"/>
      <c r="I51" s="532"/>
      <c r="J51" s="532"/>
      <c r="K51" s="532"/>
      <c r="L51" s="532"/>
      <c r="M51" s="532"/>
      <c r="N51" s="532"/>
      <c r="O51" s="532"/>
      <c r="P51" s="532"/>
      <c r="Q51" s="532"/>
      <c r="R51" s="532" t="s">
        <v>284</v>
      </c>
      <c r="S51" s="532"/>
      <c r="T51" s="560"/>
      <c r="U51" s="562"/>
      <c r="V51" s="405"/>
    </row>
    <row r="52" spans="1:23" x14ac:dyDescent="0.3">
      <c r="A52" s="428"/>
      <c r="B52" s="532" t="s">
        <v>154</v>
      </c>
      <c r="C52" s="532"/>
      <c r="D52" s="532"/>
      <c r="E52" s="532"/>
      <c r="F52" s="532"/>
      <c r="G52" s="532"/>
      <c r="H52" s="532"/>
      <c r="I52" s="532"/>
      <c r="J52" s="532"/>
      <c r="K52" s="532"/>
      <c r="L52" s="532"/>
      <c r="M52" s="532"/>
      <c r="N52" s="532"/>
      <c r="O52" s="532"/>
      <c r="P52" s="532"/>
      <c r="Q52" s="532"/>
      <c r="R52" s="552"/>
      <c r="S52" s="552"/>
      <c r="T52" s="552" t="s">
        <v>120</v>
      </c>
      <c r="U52" s="562"/>
      <c r="V52" s="405"/>
    </row>
    <row r="53" spans="1:23" x14ac:dyDescent="0.3">
      <c r="A53" s="428"/>
      <c r="B53" s="536" t="s">
        <v>155</v>
      </c>
      <c r="C53" s="536"/>
      <c r="D53" s="536"/>
      <c r="E53" s="536"/>
      <c r="F53" s="536"/>
      <c r="G53" s="536"/>
      <c r="H53" s="536"/>
      <c r="I53" s="536"/>
      <c r="J53" s="536"/>
      <c r="K53" s="536"/>
      <c r="L53" s="536"/>
      <c r="M53" s="536"/>
      <c r="N53" s="536"/>
      <c r="O53" s="536"/>
      <c r="P53" s="536"/>
      <c r="Q53" s="536"/>
      <c r="R53" s="557"/>
      <c r="S53" s="557"/>
      <c r="T53" s="578">
        <v>43327</v>
      </c>
      <c r="U53" s="562"/>
      <c r="V53" s="405"/>
    </row>
    <row r="54" spans="1:23" x14ac:dyDescent="0.3">
      <c r="A54" s="428"/>
      <c r="B54" s="532" t="s">
        <v>130</v>
      </c>
      <c r="C54" s="532"/>
      <c r="D54" s="532"/>
      <c r="E54" s="532"/>
      <c r="F54" s="532"/>
      <c r="G54" s="532"/>
      <c r="H54" s="579"/>
      <c r="I54" s="579"/>
      <c r="J54" s="579"/>
      <c r="K54" s="579"/>
      <c r="L54" s="579"/>
      <c r="M54" s="579"/>
      <c r="N54" s="579"/>
      <c r="O54" s="579"/>
      <c r="P54" s="532">
        <f>+T54-R54+1</f>
        <v>89</v>
      </c>
      <c r="Q54" s="532"/>
      <c r="R54" s="580">
        <v>43146</v>
      </c>
      <c r="S54" s="581"/>
      <c r="T54" s="580">
        <v>43234</v>
      </c>
      <c r="U54" s="562"/>
      <c r="V54" s="405"/>
    </row>
    <row r="55" spans="1:23" x14ac:dyDescent="0.3">
      <c r="A55" s="428"/>
      <c r="B55" s="532" t="s">
        <v>131</v>
      </c>
      <c r="C55" s="532"/>
      <c r="D55" s="532"/>
      <c r="E55" s="532"/>
      <c r="F55" s="532"/>
      <c r="G55" s="532"/>
      <c r="H55" s="532"/>
      <c r="I55" s="532"/>
      <c r="J55" s="532"/>
      <c r="K55" s="532"/>
      <c r="L55" s="532"/>
      <c r="M55" s="532"/>
      <c r="N55" s="532"/>
      <c r="O55" s="532"/>
      <c r="P55" s="532">
        <f>+T55-R55+1</f>
        <v>92</v>
      </c>
      <c r="Q55" s="532"/>
      <c r="R55" s="580">
        <v>43235</v>
      </c>
      <c r="S55" s="581"/>
      <c r="T55" s="580">
        <v>43326</v>
      </c>
      <c r="U55" s="562"/>
      <c r="V55" s="405"/>
    </row>
    <row r="56" spans="1:23" x14ac:dyDescent="0.3">
      <c r="A56" s="428"/>
      <c r="B56" s="532" t="s">
        <v>213</v>
      </c>
      <c r="C56" s="532"/>
      <c r="D56" s="532"/>
      <c r="E56" s="532"/>
      <c r="F56" s="532"/>
      <c r="G56" s="532"/>
      <c r="H56" s="532"/>
      <c r="I56" s="532"/>
      <c r="J56" s="532"/>
      <c r="K56" s="532"/>
      <c r="L56" s="532"/>
      <c r="M56" s="532"/>
      <c r="N56" s="532"/>
      <c r="O56" s="532"/>
      <c r="P56" s="532"/>
      <c r="Q56" s="532"/>
      <c r="R56" s="580"/>
      <c r="S56" s="581"/>
      <c r="T56" s="580" t="s">
        <v>129</v>
      </c>
      <c r="U56" s="562"/>
      <c r="V56" s="405"/>
    </row>
    <row r="57" spans="1:23" x14ac:dyDescent="0.3">
      <c r="A57" s="428"/>
      <c r="B57" s="532" t="s">
        <v>227</v>
      </c>
      <c r="C57" s="532"/>
      <c r="D57" s="532"/>
      <c r="E57" s="532"/>
      <c r="F57" s="532"/>
      <c r="G57" s="532"/>
      <c r="H57" s="532"/>
      <c r="I57" s="532"/>
      <c r="J57" s="532"/>
      <c r="K57" s="532"/>
      <c r="L57" s="532"/>
      <c r="M57" s="532"/>
      <c r="N57" s="532"/>
      <c r="O57" s="532"/>
      <c r="P57" s="532"/>
      <c r="Q57" s="532"/>
      <c r="R57" s="580"/>
      <c r="S57" s="581"/>
      <c r="T57" s="580" t="s">
        <v>169</v>
      </c>
      <c r="U57" s="562"/>
      <c r="V57" s="405"/>
      <c r="W57" s="429"/>
    </row>
    <row r="58" spans="1:23" x14ac:dyDescent="0.3">
      <c r="A58" s="428"/>
      <c r="B58" s="532" t="s">
        <v>17</v>
      </c>
      <c r="C58" s="532"/>
      <c r="D58" s="532"/>
      <c r="E58" s="532"/>
      <c r="F58" s="532"/>
      <c r="G58" s="532"/>
      <c r="H58" s="532"/>
      <c r="I58" s="532"/>
      <c r="J58" s="532"/>
      <c r="K58" s="532"/>
      <c r="L58" s="532"/>
      <c r="M58" s="532"/>
      <c r="N58" s="532"/>
      <c r="O58" s="532"/>
      <c r="P58" s="532"/>
      <c r="Q58" s="532"/>
      <c r="R58" s="580"/>
      <c r="S58" s="581"/>
      <c r="T58" s="580">
        <v>43313</v>
      </c>
      <c r="U58" s="562"/>
      <c r="V58" s="405"/>
    </row>
    <row r="59" spans="1:23" x14ac:dyDescent="0.3">
      <c r="A59" s="430"/>
      <c r="B59" s="431"/>
      <c r="C59" s="431"/>
      <c r="D59" s="431"/>
      <c r="E59" s="431"/>
      <c r="F59" s="431"/>
      <c r="G59" s="431"/>
      <c r="H59" s="431"/>
      <c r="I59" s="431"/>
      <c r="J59" s="431"/>
      <c r="K59" s="431"/>
      <c r="L59" s="431"/>
      <c r="M59" s="431"/>
      <c r="N59" s="431"/>
      <c r="O59" s="431"/>
      <c r="P59" s="431"/>
      <c r="Q59" s="431"/>
      <c r="R59" s="432"/>
      <c r="S59" s="433"/>
      <c r="T59" s="432"/>
      <c r="U59" s="431"/>
      <c r="V59" s="405"/>
    </row>
    <row r="60" spans="1:23" x14ac:dyDescent="0.3">
      <c r="A60" s="430"/>
      <c r="B60" s="434"/>
      <c r="C60" s="434"/>
      <c r="D60" s="434"/>
      <c r="E60" s="434"/>
      <c r="F60" s="434"/>
      <c r="G60" s="434"/>
      <c r="H60" s="434"/>
      <c r="I60" s="434"/>
      <c r="J60" s="434"/>
      <c r="K60" s="434"/>
      <c r="L60" s="434"/>
      <c r="M60" s="434"/>
      <c r="N60" s="434"/>
      <c r="O60" s="434"/>
      <c r="P60" s="434"/>
      <c r="Q60" s="434"/>
      <c r="R60" s="435"/>
      <c r="S60" s="436"/>
      <c r="T60" s="435"/>
      <c r="U60" s="434"/>
      <c r="V60" s="405"/>
    </row>
    <row r="61" spans="1:23" ht="18.600000000000001" thickBot="1" x14ac:dyDescent="0.4">
      <c r="A61" s="437"/>
      <c r="B61" s="565" t="s">
        <v>353</v>
      </c>
      <c r="C61" s="438"/>
      <c r="D61" s="438"/>
      <c r="E61" s="438"/>
      <c r="F61" s="438"/>
      <c r="G61" s="438"/>
      <c r="H61" s="438"/>
      <c r="I61" s="438"/>
      <c r="J61" s="438"/>
      <c r="K61" s="438"/>
      <c r="L61" s="438"/>
      <c r="M61" s="438"/>
      <c r="N61" s="438"/>
      <c r="O61" s="438"/>
      <c r="P61" s="438"/>
      <c r="Q61" s="438"/>
      <c r="R61" s="438"/>
      <c r="S61" s="438"/>
      <c r="T61" s="439"/>
      <c r="U61" s="440"/>
      <c r="V61" s="405"/>
    </row>
    <row r="62" spans="1:23" x14ac:dyDescent="0.3">
      <c r="A62" s="503"/>
      <c r="B62" s="505" t="s">
        <v>18</v>
      </c>
      <c r="C62" s="504"/>
      <c r="D62" s="504"/>
      <c r="E62" s="504"/>
      <c r="F62" s="504"/>
      <c r="G62" s="504"/>
      <c r="H62" s="504"/>
      <c r="I62" s="504"/>
      <c r="J62" s="504"/>
      <c r="K62" s="504"/>
      <c r="L62" s="504"/>
      <c r="M62" s="504"/>
      <c r="N62" s="504"/>
      <c r="O62" s="504"/>
      <c r="P62" s="504"/>
      <c r="Q62" s="504"/>
      <c r="R62" s="504"/>
      <c r="S62" s="504"/>
      <c r="T62" s="506"/>
      <c r="U62" s="504"/>
      <c r="V62" s="405"/>
    </row>
    <row r="63" spans="1:23" x14ac:dyDescent="0.3">
      <c r="A63" s="407"/>
      <c r="B63" s="415"/>
      <c r="C63" s="409"/>
      <c r="D63" s="409"/>
      <c r="E63" s="409"/>
      <c r="F63" s="409"/>
      <c r="G63" s="409"/>
      <c r="H63" s="409"/>
      <c r="I63" s="409"/>
      <c r="J63" s="409"/>
      <c r="K63" s="409"/>
      <c r="L63" s="409"/>
      <c r="M63" s="409"/>
      <c r="N63" s="409"/>
      <c r="O63" s="409"/>
      <c r="P63" s="409"/>
      <c r="Q63" s="409"/>
      <c r="R63" s="409"/>
      <c r="S63" s="409"/>
      <c r="T63" s="441"/>
      <c r="U63" s="409"/>
      <c r="V63" s="405"/>
    </row>
    <row r="64" spans="1:23" ht="46.8" x14ac:dyDescent="0.3">
      <c r="A64" s="407"/>
      <c r="B64" s="519" t="s">
        <v>19</v>
      </c>
      <c r="C64" s="520"/>
      <c r="D64" s="520"/>
      <c r="E64" s="520"/>
      <c r="F64" s="520"/>
      <c r="G64" s="520"/>
      <c r="H64" s="520"/>
      <c r="I64" s="520"/>
      <c r="J64" s="520" t="s">
        <v>100</v>
      </c>
      <c r="K64" s="520"/>
      <c r="L64" s="520" t="s">
        <v>102</v>
      </c>
      <c r="M64" s="520"/>
      <c r="N64" s="520" t="s">
        <v>104</v>
      </c>
      <c r="O64" s="520"/>
      <c r="P64" s="520" t="s">
        <v>106</v>
      </c>
      <c r="Q64" s="520"/>
      <c r="R64" s="520" t="s">
        <v>113</v>
      </c>
      <c r="S64" s="520"/>
      <c r="T64" s="521" t="s">
        <v>121</v>
      </c>
      <c r="U64" s="442"/>
      <c r="V64" s="405"/>
    </row>
    <row r="65" spans="1:22" x14ac:dyDescent="0.3">
      <c r="A65" s="418"/>
      <c r="B65" s="532" t="s">
        <v>20</v>
      </c>
      <c r="C65" s="531"/>
      <c r="D65" s="531"/>
      <c r="E65" s="531"/>
      <c r="F65" s="531"/>
      <c r="G65" s="531"/>
      <c r="H65" s="531"/>
      <c r="I65" s="531"/>
      <c r="J65" s="531">
        <v>699958</v>
      </c>
      <c r="K65" s="531"/>
      <c r="L65" s="535">
        <v>224793</v>
      </c>
      <c r="M65" s="531"/>
      <c r="N65" s="531">
        <f>3628+321</f>
        <v>3949</v>
      </c>
      <c r="O65" s="531"/>
      <c r="P65" s="531">
        <v>321</v>
      </c>
      <c r="Q65" s="531"/>
      <c r="R65" s="531">
        <v>0</v>
      </c>
      <c r="S65" s="531"/>
      <c r="T65" s="535">
        <f>+L65-N65+P65-R65</f>
        <v>221165</v>
      </c>
      <c r="U65" s="420"/>
      <c r="V65" s="405"/>
    </row>
    <row r="66" spans="1:22" x14ac:dyDescent="0.3">
      <c r="A66" s="418"/>
      <c r="B66" s="532" t="s">
        <v>21</v>
      </c>
      <c r="C66" s="531"/>
      <c r="D66" s="531"/>
      <c r="E66" s="531"/>
      <c r="F66" s="531"/>
      <c r="G66" s="531"/>
      <c r="H66" s="531"/>
      <c r="I66" s="531"/>
      <c r="J66" s="531">
        <v>42</v>
      </c>
      <c r="K66" s="531"/>
      <c r="L66" s="535">
        <v>0</v>
      </c>
      <c r="M66" s="531"/>
      <c r="N66" s="531">
        <v>0</v>
      </c>
      <c r="O66" s="531"/>
      <c r="P66" s="531">
        <v>0</v>
      </c>
      <c r="Q66" s="531"/>
      <c r="R66" s="531">
        <v>0</v>
      </c>
      <c r="S66" s="531"/>
      <c r="T66" s="535">
        <f>+L66-N66</f>
        <v>0</v>
      </c>
      <c r="U66" s="420"/>
      <c r="V66" s="405"/>
    </row>
    <row r="67" spans="1:22" x14ac:dyDescent="0.3">
      <c r="A67" s="418"/>
      <c r="B67" s="532"/>
      <c r="C67" s="531"/>
      <c r="D67" s="531"/>
      <c r="E67" s="531"/>
      <c r="F67" s="531"/>
      <c r="G67" s="531"/>
      <c r="H67" s="531"/>
      <c r="I67" s="531"/>
      <c r="J67" s="531"/>
      <c r="K67" s="531"/>
      <c r="L67" s="535"/>
      <c r="M67" s="531"/>
      <c r="N67" s="531"/>
      <c r="O67" s="531"/>
      <c r="P67" s="531"/>
      <c r="Q67" s="531"/>
      <c r="R67" s="531"/>
      <c r="S67" s="531"/>
      <c r="T67" s="535"/>
      <c r="U67" s="420"/>
      <c r="V67" s="405"/>
    </row>
    <row r="68" spans="1:22" x14ac:dyDescent="0.3">
      <c r="A68" s="418"/>
      <c r="B68" s="532" t="s">
        <v>22</v>
      </c>
      <c r="C68" s="531"/>
      <c r="D68" s="531"/>
      <c r="E68" s="531"/>
      <c r="F68" s="531"/>
      <c r="G68" s="531"/>
      <c r="H68" s="531"/>
      <c r="I68" s="531"/>
      <c r="J68" s="531">
        <f>SUM(J65:J67)</f>
        <v>700000</v>
      </c>
      <c r="K68" s="531"/>
      <c r="L68" s="531">
        <f>L65+L66</f>
        <v>224793</v>
      </c>
      <c r="M68" s="531"/>
      <c r="N68" s="531">
        <f>SUM(N65:N67)</f>
        <v>3949</v>
      </c>
      <c r="O68" s="531"/>
      <c r="P68" s="531">
        <f>SUM(P65:P67)</f>
        <v>321</v>
      </c>
      <c r="Q68" s="531"/>
      <c r="R68" s="531">
        <f>SUM(R65:R67)</f>
        <v>0</v>
      </c>
      <c r="S68" s="531"/>
      <c r="T68" s="531">
        <f>SUM(T65:T67)</f>
        <v>221165</v>
      </c>
      <c r="U68" s="420"/>
      <c r="V68" s="405"/>
    </row>
    <row r="69" spans="1:22" x14ac:dyDescent="0.3">
      <c r="A69" s="407"/>
      <c r="B69" s="539"/>
      <c r="C69" s="572"/>
      <c r="D69" s="572"/>
      <c r="E69" s="572"/>
      <c r="F69" s="572"/>
      <c r="G69" s="572"/>
      <c r="H69" s="572"/>
      <c r="I69" s="572"/>
      <c r="J69" s="572"/>
      <c r="K69" s="572"/>
      <c r="L69" s="572"/>
      <c r="M69" s="572"/>
      <c r="N69" s="572"/>
      <c r="O69" s="572"/>
      <c r="P69" s="572"/>
      <c r="Q69" s="572"/>
      <c r="R69" s="572"/>
      <c r="S69" s="572"/>
      <c r="T69" s="572"/>
      <c r="U69" s="444"/>
      <c r="V69" s="405"/>
    </row>
    <row r="70" spans="1:22" x14ac:dyDescent="0.3">
      <c r="A70" s="407"/>
      <c r="B70" s="545" t="s">
        <v>23</v>
      </c>
      <c r="C70" s="573"/>
      <c r="D70" s="573"/>
      <c r="E70" s="573"/>
      <c r="F70" s="573"/>
      <c r="G70" s="573"/>
      <c r="H70" s="573"/>
      <c r="I70" s="573"/>
      <c r="J70" s="573"/>
      <c r="K70" s="573"/>
      <c r="L70" s="573"/>
      <c r="M70" s="573"/>
      <c r="N70" s="573"/>
      <c r="O70" s="573"/>
      <c r="P70" s="573"/>
      <c r="Q70" s="573"/>
      <c r="R70" s="573"/>
      <c r="S70" s="573"/>
      <c r="T70" s="573"/>
      <c r="U70" s="409"/>
      <c r="V70" s="405"/>
    </row>
    <row r="71" spans="1:22" x14ac:dyDescent="0.3">
      <c r="A71" s="407"/>
      <c r="B71" s="542"/>
      <c r="C71" s="573"/>
      <c r="D71" s="573"/>
      <c r="E71" s="573"/>
      <c r="F71" s="573"/>
      <c r="G71" s="573"/>
      <c r="H71" s="573"/>
      <c r="I71" s="573"/>
      <c r="J71" s="573"/>
      <c r="K71" s="573"/>
      <c r="L71" s="573"/>
      <c r="M71" s="573"/>
      <c r="N71" s="573"/>
      <c r="O71" s="573"/>
      <c r="P71" s="573"/>
      <c r="Q71" s="573"/>
      <c r="R71" s="573"/>
      <c r="S71" s="573"/>
      <c r="T71" s="573"/>
      <c r="U71" s="409"/>
      <c r="V71" s="405"/>
    </row>
    <row r="72" spans="1:22" x14ac:dyDescent="0.3">
      <c r="A72" s="418"/>
      <c r="B72" s="532" t="s">
        <v>20</v>
      </c>
      <c r="C72" s="531"/>
      <c r="D72" s="531"/>
      <c r="E72" s="531"/>
      <c r="F72" s="531"/>
      <c r="G72" s="531"/>
      <c r="H72" s="531"/>
      <c r="I72" s="531"/>
      <c r="J72" s="531"/>
      <c r="K72" s="531"/>
      <c r="L72" s="531"/>
      <c r="M72" s="531"/>
      <c r="N72" s="531"/>
      <c r="O72" s="531"/>
      <c r="P72" s="531"/>
      <c r="Q72" s="531"/>
      <c r="R72" s="531"/>
      <c r="S72" s="531"/>
      <c r="T72" s="531"/>
      <c r="U72" s="420"/>
      <c r="V72" s="405"/>
    </row>
    <row r="73" spans="1:22" x14ac:dyDescent="0.3">
      <c r="A73" s="418"/>
      <c r="B73" s="532" t="s">
        <v>21</v>
      </c>
      <c r="C73" s="531"/>
      <c r="D73" s="531"/>
      <c r="E73" s="531"/>
      <c r="F73" s="531"/>
      <c r="G73" s="531"/>
      <c r="H73" s="531"/>
      <c r="I73" s="531"/>
      <c r="J73" s="531"/>
      <c r="K73" s="531"/>
      <c r="L73" s="531"/>
      <c r="M73" s="531"/>
      <c r="N73" s="531"/>
      <c r="O73" s="531"/>
      <c r="P73" s="531"/>
      <c r="Q73" s="531"/>
      <c r="R73" s="531"/>
      <c r="S73" s="531"/>
      <c r="T73" s="531"/>
      <c r="U73" s="420"/>
      <c r="V73" s="405"/>
    </row>
    <row r="74" spans="1:22" x14ac:dyDescent="0.3">
      <c r="A74" s="418"/>
      <c r="B74" s="532"/>
      <c r="C74" s="531"/>
      <c r="D74" s="531"/>
      <c r="E74" s="531"/>
      <c r="F74" s="531"/>
      <c r="G74" s="531"/>
      <c r="H74" s="531"/>
      <c r="I74" s="531"/>
      <c r="J74" s="531"/>
      <c r="K74" s="531"/>
      <c r="L74" s="531"/>
      <c r="M74" s="531"/>
      <c r="N74" s="531"/>
      <c r="O74" s="531"/>
      <c r="P74" s="531"/>
      <c r="Q74" s="531"/>
      <c r="R74" s="531"/>
      <c r="S74" s="531"/>
      <c r="T74" s="531"/>
      <c r="U74" s="420"/>
      <c r="V74" s="405"/>
    </row>
    <row r="75" spans="1:22" x14ac:dyDescent="0.3">
      <c r="A75" s="418"/>
      <c r="B75" s="532" t="s">
        <v>22</v>
      </c>
      <c r="C75" s="531"/>
      <c r="D75" s="531"/>
      <c r="E75" s="531"/>
      <c r="F75" s="531"/>
      <c r="G75" s="531"/>
      <c r="H75" s="531"/>
      <c r="I75" s="531"/>
      <c r="J75" s="531"/>
      <c r="K75" s="531"/>
      <c r="L75" s="531"/>
      <c r="M75" s="531"/>
      <c r="N75" s="531"/>
      <c r="O75" s="531"/>
      <c r="P75" s="531"/>
      <c r="Q75" s="531"/>
      <c r="R75" s="531"/>
      <c r="S75" s="531"/>
      <c r="T75" s="531"/>
      <c r="U75" s="420"/>
      <c r="V75" s="405"/>
    </row>
    <row r="76" spans="1:22" x14ac:dyDescent="0.3">
      <c r="A76" s="418"/>
      <c r="B76" s="532"/>
      <c r="C76" s="531"/>
      <c r="D76" s="531"/>
      <c r="E76" s="531"/>
      <c r="F76" s="531"/>
      <c r="G76" s="531"/>
      <c r="H76" s="531"/>
      <c r="I76" s="531"/>
      <c r="J76" s="531"/>
      <c r="K76" s="531"/>
      <c r="L76" s="531"/>
      <c r="M76" s="531"/>
      <c r="N76" s="531"/>
      <c r="O76" s="531"/>
      <c r="P76" s="531"/>
      <c r="Q76" s="531"/>
      <c r="R76" s="531"/>
      <c r="S76" s="531"/>
      <c r="T76" s="531"/>
      <c r="U76" s="420"/>
      <c r="V76" s="405"/>
    </row>
    <row r="77" spans="1:22" x14ac:dyDescent="0.3">
      <c r="A77" s="418"/>
      <c r="B77" s="532" t="s">
        <v>24</v>
      </c>
      <c r="C77" s="531"/>
      <c r="D77" s="531"/>
      <c r="E77" s="531"/>
      <c r="F77" s="531"/>
      <c r="G77" s="531"/>
      <c r="H77" s="531"/>
      <c r="I77" s="531"/>
      <c r="J77" s="531">
        <v>0</v>
      </c>
      <c r="K77" s="531"/>
      <c r="L77" s="531">
        <v>0</v>
      </c>
      <c r="M77" s="531"/>
      <c r="N77" s="531"/>
      <c r="O77" s="531"/>
      <c r="P77" s="531"/>
      <c r="Q77" s="531"/>
      <c r="R77" s="531"/>
      <c r="S77" s="531"/>
      <c r="T77" s="535">
        <v>0</v>
      </c>
      <c r="U77" s="420"/>
      <c r="V77" s="405"/>
    </row>
    <row r="78" spans="1:22" x14ac:dyDescent="0.3">
      <c r="A78" s="418"/>
      <c r="B78" s="532" t="s">
        <v>126</v>
      </c>
      <c r="C78" s="531"/>
      <c r="D78" s="531"/>
      <c r="E78" s="531"/>
      <c r="F78" s="531"/>
      <c r="G78" s="531"/>
      <c r="H78" s="531"/>
      <c r="I78" s="531"/>
      <c r="J78" s="531">
        <v>0</v>
      </c>
      <c r="K78" s="531"/>
      <c r="L78" s="531">
        <v>0</v>
      </c>
      <c r="M78" s="531"/>
      <c r="N78" s="531"/>
      <c r="O78" s="531"/>
      <c r="P78" s="531"/>
      <c r="Q78" s="531"/>
      <c r="R78" s="531"/>
      <c r="S78" s="531"/>
      <c r="T78" s="531">
        <f>SUM(J78:P78)</f>
        <v>0</v>
      </c>
      <c r="U78" s="420"/>
      <c r="V78" s="405"/>
    </row>
    <row r="79" spans="1:22" x14ac:dyDescent="0.3">
      <c r="A79" s="418"/>
      <c r="B79" s="532" t="s">
        <v>157</v>
      </c>
      <c r="C79" s="531"/>
      <c r="D79" s="531"/>
      <c r="E79" s="531"/>
      <c r="F79" s="531"/>
      <c r="G79" s="531"/>
      <c r="H79" s="531"/>
      <c r="I79" s="531"/>
      <c r="J79" s="531">
        <v>0</v>
      </c>
      <c r="K79" s="531"/>
      <c r="L79" s="531">
        <v>0</v>
      </c>
      <c r="M79" s="531"/>
      <c r="N79" s="531"/>
      <c r="O79" s="531"/>
      <c r="P79" s="531"/>
      <c r="Q79" s="531"/>
      <c r="R79" s="531"/>
      <c r="S79" s="531"/>
      <c r="T79" s="531">
        <v>0</v>
      </c>
      <c r="U79" s="420"/>
      <c r="V79" s="405"/>
    </row>
    <row r="80" spans="1:22" x14ac:dyDescent="0.3">
      <c r="A80" s="418"/>
      <c r="B80" s="532" t="s">
        <v>26</v>
      </c>
      <c r="C80" s="531"/>
      <c r="D80" s="531"/>
      <c r="E80" s="531"/>
      <c r="F80" s="531"/>
      <c r="G80" s="531"/>
      <c r="H80" s="531"/>
      <c r="I80" s="531"/>
      <c r="J80" s="531">
        <v>0</v>
      </c>
      <c r="K80" s="531"/>
      <c r="L80" s="531">
        <v>0</v>
      </c>
      <c r="M80" s="531"/>
      <c r="N80" s="531"/>
      <c r="O80" s="531"/>
      <c r="P80" s="531"/>
      <c r="Q80" s="531"/>
      <c r="R80" s="531"/>
      <c r="S80" s="531"/>
      <c r="T80" s="531">
        <v>0</v>
      </c>
      <c r="U80" s="420"/>
      <c r="V80" s="405"/>
    </row>
    <row r="81" spans="1:22" x14ac:dyDescent="0.3">
      <c r="A81" s="418"/>
      <c r="B81" s="532" t="s">
        <v>27</v>
      </c>
      <c r="C81" s="531"/>
      <c r="D81" s="531"/>
      <c r="E81" s="531"/>
      <c r="F81" s="531"/>
      <c r="G81" s="531"/>
      <c r="H81" s="531"/>
      <c r="I81" s="531"/>
      <c r="J81" s="531">
        <f>SUM(J68:J80)</f>
        <v>700000</v>
      </c>
      <c r="K81" s="531"/>
      <c r="L81" s="531">
        <f>SUM(L68:L80)</f>
        <v>224793</v>
      </c>
      <c r="M81" s="531"/>
      <c r="N81" s="531"/>
      <c r="O81" s="531"/>
      <c r="P81" s="531"/>
      <c r="Q81" s="531"/>
      <c r="R81" s="531"/>
      <c r="S81" s="531"/>
      <c r="T81" s="531">
        <f>SUM(T68:T80)</f>
        <v>221165</v>
      </c>
      <c r="U81" s="420"/>
      <c r="V81" s="405"/>
    </row>
    <row r="82" spans="1:22" x14ac:dyDescent="0.3">
      <c r="A82" s="407"/>
      <c r="B82" s="444"/>
      <c r="C82" s="445"/>
      <c r="D82" s="445"/>
      <c r="E82" s="445"/>
      <c r="F82" s="445"/>
      <c r="G82" s="445"/>
      <c r="H82" s="445"/>
      <c r="I82" s="445"/>
      <c r="J82" s="445"/>
      <c r="K82" s="445"/>
      <c r="L82" s="445"/>
      <c r="M82" s="445"/>
      <c r="N82" s="445"/>
      <c r="O82" s="445"/>
      <c r="P82" s="445"/>
      <c r="Q82" s="445"/>
      <c r="R82" s="445"/>
      <c r="S82" s="445"/>
      <c r="T82" s="446"/>
      <c r="U82" s="444"/>
      <c r="V82" s="405"/>
    </row>
    <row r="83" spans="1:22" x14ac:dyDescent="0.3">
      <c r="A83" s="407"/>
      <c r="B83" s="409"/>
      <c r="C83" s="409"/>
      <c r="D83" s="409"/>
      <c r="E83" s="409"/>
      <c r="F83" s="409"/>
      <c r="G83" s="409"/>
      <c r="H83" s="409"/>
      <c r="I83" s="409"/>
      <c r="J83" s="409"/>
      <c r="K83" s="409"/>
      <c r="L83" s="409"/>
      <c r="M83" s="409"/>
      <c r="N83" s="409"/>
      <c r="O83" s="409"/>
      <c r="P83" s="409"/>
      <c r="Q83" s="409"/>
      <c r="R83" s="409"/>
      <c r="S83" s="409"/>
      <c r="T83" s="409"/>
      <c r="U83" s="409"/>
      <c r="V83" s="405"/>
    </row>
    <row r="84" spans="1:22" x14ac:dyDescent="0.3">
      <c r="A84" s="503"/>
      <c r="B84" s="612" t="s">
        <v>28</v>
      </c>
      <c r="C84" s="612"/>
      <c r="D84" s="612"/>
      <c r="E84" s="612"/>
      <c r="F84" s="612"/>
      <c r="G84" s="612"/>
      <c r="H84" s="613"/>
      <c r="I84" s="613"/>
      <c r="J84" s="614" t="s">
        <v>101</v>
      </c>
      <c r="K84" s="613"/>
      <c r="L84" s="615">
        <f>+R196</f>
        <v>43312</v>
      </c>
      <c r="M84" s="613"/>
      <c r="N84" s="613"/>
      <c r="O84" s="613"/>
      <c r="P84" s="613"/>
      <c r="Q84" s="613"/>
      <c r="R84" s="613" t="s">
        <v>114</v>
      </c>
      <c r="S84" s="613"/>
      <c r="T84" s="613" t="s">
        <v>122</v>
      </c>
      <c r="U84" s="611"/>
      <c r="V84" s="405"/>
    </row>
    <row r="85" spans="1:22" x14ac:dyDescent="0.3">
      <c r="A85" s="430"/>
      <c r="B85" s="539" t="s">
        <v>29</v>
      </c>
      <c r="C85" s="539"/>
      <c r="D85" s="539"/>
      <c r="E85" s="539"/>
      <c r="F85" s="539"/>
      <c r="G85" s="539"/>
      <c r="H85" s="539"/>
      <c r="I85" s="539"/>
      <c r="J85" s="539"/>
      <c r="K85" s="539"/>
      <c r="L85" s="539"/>
      <c r="M85" s="539"/>
      <c r="N85" s="539"/>
      <c r="O85" s="539"/>
      <c r="P85" s="539"/>
      <c r="Q85" s="539"/>
      <c r="R85" s="572">
        <v>0</v>
      </c>
      <c r="S85" s="539"/>
      <c r="T85" s="541">
        <v>0</v>
      </c>
      <c r="U85" s="539"/>
      <c r="V85" s="405"/>
    </row>
    <row r="86" spans="1:22" x14ac:dyDescent="0.3">
      <c r="A86" s="428"/>
      <c r="B86" s="532" t="s">
        <v>30</v>
      </c>
      <c r="C86" s="532"/>
      <c r="D86" s="532"/>
      <c r="E86" s="532"/>
      <c r="F86" s="532"/>
      <c r="G86" s="532"/>
      <c r="H86" s="550"/>
      <c r="I86" s="570"/>
      <c r="J86" s="550"/>
      <c r="K86" s="532"/>
      <c r="L86" s="571"/>
      <c r="M86" s="532"/>
      <c r="N86" s="532"/>
      <c r="O86" s="532"/>
      <c r="P86" s="532"/>
      <c r="Q86" s="532"/>
      <c r="R86" s="531">
        <f>3949-52</f>
        <v>3897</v>
      </c>
      <c r="S86" s="532"/>
      <c r="T86" s="535"/>
      <c r="U86" s="562"/>
      <c r="V86" s="405"/>
    </row>
    <row r="87" spans="1:22" x14ac:dyDescent="0.3">
      <c r="A87" s="428"/>
      <c r="B87" s="532" t="s">
        <v>254</v>
      </c>
      <c r="C87" s="532"/>
      <c r="D87" s="532"/>
      <c r="E87" s="532"/>
      <c r="F87" s="532"/>
      <c r="G87" s="532"/>
      <c r="H87" s="550"/>
      <c r="I87" s="570"/>
      <c r="J87" s="550"/>
      <c r="K87" s="532"/>
      <c r="L87" s="571"/>
      <c r="M87" s="532"/>
      <c r="N87" s="532"/>
      <c r="O87" s="532"/>
      <c r="P87" s="532"/>
      <c r="Q87" s="532"/>
      <c r="R87" s="531"/>
      <c r="S87" s="532"/>
      <c r="T87" s="535">
        <f>1281+511-267-146</f>
        <v>1379</v>
      </c>
      <c r="U87" s="562"/>
      <c r="V87" s="405"/>
    </row>
    <row r="88" spans="1:22" x14ac:dyDescent="0.3">
      <c r="A88" s="428"/>
      <c r="B88" s="532" t="s">
        <v>255</v>
      </c>
      <c r="C88" s="532"/>
      <c r="D88" s="532"/>
      <c r="E88" s="532"/>
      <c r="F88" s="532"/>
      <c r="G88" s="532"/>
      <c r="H88" s="550"/>
      <c r="I88" s="570"/>
      <c r="J88" s="550"/>
      <c r="K88" s="532"/>
      <c r="L88" s="571"/>
      <c r="M88" s="532"/>
      <c r="N88" s="532"/>
      <c r="O88" s="532"/>
      <c r="P88" s="532"/>
      <c r="Q88" s="532"/>
      <c r="R88" s="531"/>
      <c r="S88" s="532"/>
      <c r="T88" s="535">
        <f>30+48</f>
        <v>78</v>
      </c>
      <c r="U88" s="562"/>
      <c r="V88" s="405"/>
    </row>
    <row r="89" spans="1:22" x14ac:dyDescent="0.3">
      <c r="A89" s="428"/>
      <c r="B89" s="532" t="s">
        <v>256</v>
      </c>
      <c r="C89" s="532"/>
      <c r="D89" s="532"/>
      <c r="E89" s="532"/>
      <c r="F89" s="532"/>
      <c r="G89" s="532"/>
      <c r="H89" s="550"/>
      <c r="I89" s="570"/>
      <c r="J89" s="550"/>
      <c r="K89" s="532"/>
      <c r="L89" s="571"/>
      <c r="M89" s="532"/>
      <c r="N89" s="532"/>
      <c r="O89" s="532"/>
      <c r="P89" s="532"/>
      <c r="Q89" s="532"/>
      <c r="R89" s="531"/>
      <c r="S89" s="532"/>
      <c r="T89" s="535">
        <v>16</v>
      </c>
      <c r="U89" s="562"/>
      <c r="V89" s="405"/>
    </row>
    <row r="90" spans="1:22" x14ac:dyDescent="0.3">
      <c r="A90" s="428"/>
      <c r="B90" s="532" t="s">
        <v>270</v>
      </c>
      <c r="C90" s="532"/>
      <c r="D90" s="532"/>
      <c r="E90" s="532"/>
      <c r="F90" s="532"/>
      <c r="G90" s="532"/>
      <c r="H90" s="550"/>
      <c r="I90" s="570"/>
      <c r="J90" s="550"/>
      <c r="K90" s="532"/>
      <c r="L90" s="571"/>
      <c r="M90" s="532"/>
      <c r="N90" s="532"/>
      <c r="O90" s="532"/>
      <c r="P90" s="532"/>
      <c r="Q90" s="532"/>
      <c r="R90" s="531"/>
      <c r="S90" s="532"/>
      <c r="T90" s="535">
        <v>0</v>
      </c>
      <c r="U90" s="562"/>
      <c r="V90" s="405"/>
    </row>
    <row r="91" spans="1:22" x14ac:dyDescent="0.3">
      <c r="A91" s="428"/>
      <c r="B91" s="532" t="s">
        <v>144</v>
      </c>
      <c r="C91" s="532"/>
      <c r="D91" s="532"/>
      <c r="E91" s="532"/>
      <c r="F91" s="532"/>
      <c r="G91" s="532"/>
      <c r="H91" s="532"/>
      <c r="I91" s="532"/>
      <c r="J91" s="532"/>
      <c r="K91" s="532"/>
      <c r="L91" s="532"/>
      <c r="M91" s="532"/>
      <c r="N91" s="532"/>
      <c r="O91" s="532"/>
      <c r="P91" s="532"/>
      <c r="Q91" s="532"/>
      <c r="R91" s="531"/>
      <c r="S91" s="532"/>
      <c r="T91" s="535">
        <v>0</v>
      </c>
      <c r="U91" s="562"/>
      <c r="V91" s="405"/>
    </row>
    <row r="92" spans="1:22" x14ac:dyDescent="0.3">
      <c r="A92" s="428"/>
      <c r="B92" s="532" t="s">
        <v>233</v>
      </c>
      <c r="C92" s="532"/>
      <c r="D92" s="532"/>
      <c r="E92" s="532"/>
      <c r="F92" s="532"/>
      <c r="G92" s="532"/>
      <c r="H92" s="532"/>
      <c r="I92" s="532"/>
      <c r="J92" s="532"/>
      <c r="K92" s="532"/>
      <c r="L92" s="532"/>
      <c r="M92" s="532"/>
      <c r="N92" s="532"/>
      <c r="O92" s="532"/>
      <c r="P92" s="532"/>
      <c r="Q92" s="532"/>
      <c r="R92" s="531"/>
      <c r="S92" s="532"/>
      <c r="T92" s="535">
        <v>0</v>
      </c>
      <c r="U92" s="562"/>
      <c r="V92" s="405"/>
    </row>
    <row r="93" spans="1:22" x14ac:dyDescent="0.3">
      <c r="A93" s="428"/>
      <c r="B93" s="532" t="s">
        <v>32</v>
      </c>
      <c r="C93" s="532"/>
      <c r="D93" s="532"/>
      <c r="E93" s="532"/>
      <c r="F93" s="532"/>
      <c r="G93" s="532"/>
      <c r="H93" s="532"/>
      <c r="I93" s="532"/>
      <c r="J93" s="532"/>
      <c r="K93" s="532"/>
      <c r="L93" s="532"/>
      <c r="M93" s="532"/>
      <c r="N93" s="532"/>
      <c r="O93" s="532"/>
      <c r="P93" s="532"/>
      <c r="Q93" s="532"/>
      <c r="R93" s="531">
        <f>SUM(R85:R92)</f>
        <v>3897</v>
      </c>
      <c r="S93" s="532"/>
      <c r="T93" s="531">
        <f>SUM(T85:T92)</f>
        <v>1473</v>
      </c>
      <c r="U93" s="562"/>
      <c r="V93" s="405"/>
    </row>
    <row r="94" spans="1:22" x14ac:dyDescent="0.3">
      <c r="A94" s="428"/>
      <c r="B94" s="532" t="s">
        <v>176</v>
      </c>
      <c r="C94" s="532"/>
      <c r="D94" s="532"/>
      <c r="E94" s="532"/>
      <c r="F94" s="532"/>
      <c r="G94" s="532"/>
      <c r="H94" s="532"/>
      <c r="I94" s="532"/>
      <c r="J94" s="532"/>
      <c r="K94" s="532"/>
      <c r="L94" s="532"/>
      <c r="M94" s="532"/>
      <c r="N94" s="532"/>
      <c r="O94" s="532"/>
      <c r="P94" s="532"/>
      <c r="Q94" s="532"/>
      <c r="R94" s="531">
        <v>0</v>
      </c>
      <c r="S94" s="532"/>
      <c r="T94" s="531">
        <f>-R94</f>
        <v>0</v>
      </c>
      <c r="U94" s="562"/>
      <c r="V94" s="405"/>
    </row>
    <row r="95" spans="1:22" x14ac:dyDescent="0.3">
      <c r="A95" s="428"/>
      <c r="B95" s="532" t="s">
        <v>33</v>
      </c>
      <c r="C95" s="532"/>
      <c r="D95" s="532"/>
      <c r="E95" s="532"/>
      <c r="F95" s="532"/>
      <c r="G95" s="532"/>
      <c r="H95" s="532"/>
      <c r="I95" s="532"/>
      <c r="J95" s="532"/>
      <c r="K95" s="532"/>
      <c r="L95" s="532"/>
      <c r="M95" s="532"/>
      <c r="N95" s="532"/>
      <c r="O95" s="532"/>
      <c r="P95" s="532"/>
      <c r="Q95" s="532"/>
      <c r="R95" s="531">
        <f>-T95</f>
        <v>0</v>
      </c>
      <c r="S95" s="532"/>
      <c r="T95" s="535">
        <v>0</v>
      </c>
      <c r="U95" s="562"/>
      <c r="V95" s="405"/>
    </row>
    <row r="96" spans="1:22" x14ac:dyDescent="0.3">
      <c r="A96" s="428"/>
      <c r="B96" s="532" t="s">
        <v>278</v>
      </c>
      <c r="C96" s="532"/>
      <c r="D96" s="532"/>
      <c r="E96" s="532"/>
      <c r="F96" s="532"/>
      <c r="G96" s="532"/>
      <c r="H96" s="532"/>
      <c r="I96" s="532"/>
      <c r="J96" s="532"/>
      <c r="K96" s="532"/>
      <c r="L96" s="532"/>
      <c r="M96" s="532"/>
      <c r="N96" s="532"/>
      <c r="O96" s="532"/>
      <c r="P96" s="532"/>
      <c r="Q96" s="532"/>
      <c r="R96" s="531"/>
      <c r="S96" s="532"/>
      <c r="T96" s="535">
        <v>-16</v>
      </c>
      <c r="U96" s="562"/>
      <c r="V96" s="405"/>
    </row>
    <row r="97" spans="1:23" x14ac:dyDescent="0.3">
      <c r="A97" s="428"/>
      <c r="B97" s="532" t="s">
        <v>34</v>
      </c>
      <c r="C97" s="532"/>
      <c r="D97" s="532"/>
      <c r="E97" s="532"/>
      <c r="F97" s="532"/>
      <c r="G97" s="532"/>
      <c r="H97" s="532"/>
      <c r="I97" s="532"/>
      <c r="J97" s="532"/>
      <c r="K97" s="532"/>
      <c r="L97" s="532"/>
      <c r="M97" s="532"/>
      <c r="N97" s="532"/>
      <c r="O97" s="532"/>
      <c r="P97" s="532"/>
      <c r="Q97" s="532"/>
      <c r="R97" s="531">
        <f>R93+R95+R94</f>
        <v>3897</v>
      </c>
      <c r="S97" s="532"/>
      <c r="T97" s="531">
        <f>T93+T95+T94+T96</f>
        <v>1457</v>
      </c>
      <c r="U97" s="562"/>
      <c r="V97" s="405"/>
      <c r="W97" s="447"/>
    </row>
    <row r="98" spans="1:23" x14ac:dyDescent="0.3">
      <c r="A98" s="418"/>
      <c r="B98" s="522" t="s">
        <v>35</v>
      </c>
      <c r="C98" s="448"/>
      <c r="D98" s="448"/>
      <c r="E98" s="448"/>
      <c r="F98" s="448"/>
      <c r="G98" s="448"/>
      <c r="H98" s="448"/>
      <c r="I98" s="448"/>
      <c r="J98" s="448"/>
      <c r="K98" s="448"/>
      <c r="L98" s="448"/>
      <c r="M98" s="448"/>
      <c r="N98" s="448"/>
      <c r="O98" s="448"/>
      <c r="P98" s="448"/>
      <c r="Q98" s="448"/>
      <c r="R98" s="449"/>
      <c r="S98" s="448"/>
      <c r="T98" s="450"/>
      <c r="U98" s="451"/>
      <c r="V98" s="405"/>
    </row>
    <row r="99" spans="1:23" x14ac:dyDescent="0.3">
      <c r="A99" s="569">
        <v>1</v>
      </c>
      <c r="B99" s="532" t="s">
        <v>36</v>
      </c>
      <c r="C99" s="532"/>
      <c r="D99" s="532"/>
      <c r="E99" s="532"/>
      <c r="F99" s="532"/>
      <c r="G99" s="532"/>
      <c r="H99" s="532"/>
      <c r="I99" s="532"/>
      <c r="J99" s="532"/>
      <c r="K99" s="532"/>
      <c r="L99" s="532"/>
      <c r="M99" s="532"/>
      <c r="N99" s="532"/>
      <c r="O99" s="532"/>
      <c r="P99" s="532"/>
      <c r="Q99" s="532"/>
      <c r="R99" s="532"/>
      <c r="S99" s="532"/>
      <c r="T99" s="535">
        <v>0</v>
      </c>
      <c r="U99" s="451"/>
      <c r="V99" s="405"/>
    </row>
    <row r="100" spans="1:23" x14ac:dyDescent="0.3">
      <c r="A100" s="569">
        <f>+A99+1</f>
        <v>2</v>
      </c>
      <c r="B100" s="532" t="s">
        <v>317</v>
      </c>
      <c r="C100" s="532"/>
      <c r="D100" s="532"/>
      <c r="E100" s="532"/>
      <c r="F100" s="532"/>
      <c r="G100" s="532"/>
      <c r="H100" s="532"/>
      <c r="I100" s="532"/>
      <c r="J100" s="532"/>
      <c r="K100" s="532"/>
      <c r="L100" s="532"/>
      <c r="M100" s="532"/>
      <c r="N100" s="532"/>
      <c r="O100" s="532"/>
      <c r="P100" s="532"/>
      <c r="Q100" s="532"/>
      <c r="R100" s="532"/>
      <c r="S100" s="532"/>
      <c r="T100" s="535">
        <v>-2</v>
      </c>
      <c r="U100" s="451"/>
      <c r="V100" s="405"/>
    </row>
    <row r="101" spans="1:23" x14ac:dyDescent="0.3">
      <c r="A101" s="569">
        <f>+A100+1</f>
        <v>3</v>
      </c>
      <c r="B101" s="532" t="s">
        <v>319</v>
      </c>
      <c r="C101" s="532"/>
      <c r="D101" s="532"/>
      <c r="E101" s="532"/>
      <c r="F101" s="532"/>
      <c r="G101" s="532"/>
      <c r="H101" s="532"/>
      <c r="I101" s="532"/>
      <c r="J101" s="532"/>
      <c r="K101" s="532"/>
      <c r="L101" s="532"/>
      <c r="M101" s="532"/>
      <c r="N101" s="532"/>
      <c r="O101" s="532"/>
      <c r="P101" s="532"/>
      <c r="Q101" s="532"/>
      <c r="R101" s="532"/>
      <c r="S101" s="532"/>
      <c r="T101" s="535">
        <f>-87-28-3</f>
        <v>-118</v>
      </c>
      <c r="U101" s="451"/>
      <c r="V101" s="405"/>
    </row>
    <row r="102" spans="1:23" x14ac:dyDescent="0.3">
      <c r="A102" s="569" t="s">
        <v>136</v>
      </c>
      <c r="B102" s="532" t="s">
        <v>125</v>
      </c>
      <c r="C102" s="532"/>
      <c r="D102" s="532"/>
      <c r="E102" s="532"/>
      <c r="F102" s="532"/>
      <c r="G102" s="532"/>
      <c r="H102" s="532"/>
      <c r="I102" s="532"/>
      <c r="J102" s="532"/>
      <c r="K102" s="532"/>
      <c r="L102" s="532"/>
      <c r="M102" s="532"/>
      <c r="N102" s="532"/>
      <c r="O102" s="532"/>
      <c r="P102" s="532"/>
      <c r="Q102" s="532"/>
      <c r="R102" s="532"/>
      <c r="S102" s="532"/>
      <c r="T102" s="535">
        <v>0</v>
      </c>
      <c r="U102" s="451"/>
      <c r="V102" s="405"/>
    </row>
    <row r="103" spans="1:23" x14ac:dyDescent="0.3">
      <c r="A103" s="569" t="s">
        <v>137</v>
      </c>
      <c r="B103" s="532" t="s">
        <v>267</v>
      </c>
      <c r="C103" s="532"/>
      <c r="D103" s="532"/>
      <c r="E103" s="532"/>
      <c r="F103" s="532"/>
      <c r="G103" s="532"/>
      <c r="H103" s="532"/>
      <c r="I103" s="532"/>
      <c r="J103" s="532"/>
      <c r="K103" s="532"/>
      <c r="L103" s="532"/>
      <c r="M103" s="532"/>
      <c r="N103" s="532"/>
      <c r="O103" s="532"/>
      <c r="P103" s="532"/>
      <c r="Q103" s="532"/>
      <c r="R103" s="532"/>
      <c r="S103" s="532"/>
      <c r="T103" s="535">
        <v>0</v>
      </c>
      <c r="U103" s="451"/>
      <c r="V103" s="405"/>
    </row>
    <row r="104" spans="1:23" x14ac:dyDescent="0.3">
      <c r="A104" s="569" t="s">
        <v>162</v>
      </c>
      <c r="B104" s="532" t="s">
        <v>218</v>
      </c>
      <c r="C104" s="532"/>
      <c r="D104" s="532"/>
      <c r="E104" s="532"/>
      <c r="F104" s="532"/>
      <c r="G104" s="532"/>
      <c r="H104" s="532"/>
      <c r="I104" s="532"/>
      <c r="J104" s="532"/>
      <c r="K104" s="532"/>
      <c r="L104" s="532"/>
      <c r="M104" s="532"/>
      <c r="N104" s="532"/>
      <c r="O104" s="532"/>
      <c r="P104" s="532"/>
      <c r="Q104" s="532"/>
      <c r="R104" s="532"/>
      <c r="S104" s="532"/>
      <c r="T104" s="535">
        <v>-246</v>
      </c>
      <c r="U104" s="451"/>
      <c r="V104" s="405"/>
      <c r="W104" s="452"/>
    </row>
    <row r="105" spans="1:23" x14ac:dyDescent="0.3">
      <c r="A105" s="569" t="s">
        <v>163</v>
      </c>
      <c r="B105" s="532" t="s">
        <v>219</v>
      </c>
      <c r="C105" s="532"/>
      <c r="D105" s="532"/>
      <c r="E105" s="532"/>
      <c r="F105" s="532"/>
      <c r="G105" s="532"/>
      <c r="H105" s="532"/>
      <c r="I105" s="532"/>
      <c r="J105" s="532"/>
      <c r="K105" s="532"/>
      <c r="L105" s="532"/>
      <c r="M105" s="532"/>
      <c r="N105" s="532"/>
      <c r="O105" s="532"/>
      <c r="P105" s="532"/>
      <c r="Q105" s="532"/>
      <c r="R105" s="532"/>
      <c r="S105" s="532"/>
      <c r="T105" s="535">
        <v>-178</v>
      </c>
      <c r="U105" s="451"/>
      <c r="V105" s="405"/>
      <c r="W105" s="452"/>
    </row>
    <row r="106" spans="1:23" x14ac:dyDescent="0.3">
      <c r="A106" s="569" t="s">
        <v>252</v>
      </c>
      <c r="B106" s="532" t="s">
        <v>242</v>
      </c>
      <c r="C106" s="532"/>
      <c r="D106" s="532"/>
      <c r="E106" s="532"/>
      <c r="F106" s="532"/>
      <c r="G106" s="532"/>
      <c r="H106" s="532"/>
      <c r="I106" s="532"/>
      <c r="J106" s="532"/>
      <c r="K106" s="532"/>
      <c r="L106" s="532"/>
      <c r="M106" s="532"/>
      <c r="N106" s="532"/>
      <c r="O106" s="532"/>
      <c r="P106" s="532"/>
      <c r="Q106" s="532"/>
      <c r="R106" s="532"/>
      <c r="S106" s="532"/>
      <c r="T106" s="535">
        <v>-25</v>
      </c>
      <c r="U106" s="451"/>
      <c r="V106" s="453"/>
      <c r="W106" s="452"/>
    </row>
    <row r="107" spans="1:23" x14ac:dyDescent="0.3">
      <c r="A107" s="569" t="s">
        <v>245</v>
      </c>
      <c r="B107" s="532" t="s">
        <v>220</v>
      </c>
      <c r="C107" s="532"/>
      <c r="D107" s="532"/>
      <c r="E107" s="532"/>
      <c r="F107" s="532"/>
      <c r="G107" s="532"/>
      <c r="H107" s="532"/>
      <c r="I107" s="532"/>
      <c r="J107" s="532"/>
      <c r="K107" s="532"/>
      <c r="L107" s="532"/>
      <c r="M107" s="532"/>
      <c r="N107" s="532"/>
      <c r="O107" s="532"/>
      <c r="P107" s="532"/>
      <c r="Q107" s="532"/>
      <c r="R107" s="532"/>
      <c r="S107" s="532"/>
      <c r="T107" s="535">
        <v>-14</v>
      </c>
      <c r="U107" s="451"/>
      <c r="V107" s="405"/>
      <c r="W107" s="452"/>
    </row>
    <row r="108" spans="1:23" x14ac:dyDescent="0.3">
      <c r="A108" s="569" t="s">
        <v>246</v>
      </c>
      <c r="B108" s="532" t="s">
        <v>221</v>
      </c>
      <c r="C108" s="532"/>
      <c r="D108" s="532"/>
      <c r="E108" s="532"/>
      <c r="F108" s="532"/>
      <c r="G108" s="532"/>
      <c r="H108" s="532"/>
      <c r="I108" s="532"/>
      <c r="J108" s="532"/>
      <c r="K108" s="532"/>
      <c r="L108" s="532"/>
      <c r="M108" s="532"/>
      <c r="N108" s="532"/>
      <c r="O108" s="532"/>
      <c r="P108" s="532"/>
      <c r="Q108" s="532"/>
      <c r="R108" s="532"/>
      <c r="S108" s="532"/>
      <c r="T108" s="535">
        <v>-42</v>
      </c>
      <c r="U108" s="451"/>
      <c r="V108" s="405"/>
      <c r="W108" s="452"/>
    </row>
    <row r="109" spans="1:23" x14ac:dyDescent="0.3">
      <c r="A109" s="569" t="s">
        <v>247</v>
      </c>
      <c r="B109" s="532" t="s">
        <v>222</v>
      </c>
      <c r="C109" s="532"/>
      <c r="D109" s="532"/>
      <c r="E109" s="532"/>
      <c r="F109" s="532"/>
      <c r="G109" s="532"/>
      <c r="H109" s="532"/>
      <c r="I109" s="532"/>
      <c r="J109" s="532"/>
      <c r="K109" s="532"/>
      <c r="L109" s="532"/>
      <c r="M109" s="532"/>
      <c r="N109" s="532"/>
      <c r="O109" s="532"/>
      <c r="P109" s="532"/>
      <c r="Q109" s="532"/>
      <c r="R109" s="532"/>
      <c r="S109" s="532"/>
      <c r="T109" s="535">
        <v>-8</v>
      </c>
      <c r="U109" s="451"/>
      <c r="V109" s="405"/>
      <c r="W109" s="452"/>
    </row>
    <row r="110" spans="1:23" x14ac:dyDescent="0.3">
      <c r="A110" s="569" t="s">
        <v>248</v>
      </c>
      <c r="B110" s="532" t="s">
        <v>223</v>
      </c>
      <c r="C110" s="532"/>
      <c r="D110" s="532"/>
      <c r="E110" s="532"/>
      <c r="F110" s="532"/>
      <c r="G110" s="532"/>
      <c r="H110" s="532"/>
      <c r="I110" s="532"/>
      <c r="J110" s="532"/>
      <c r="K110" s="532"/>
      <c r="L110" s="532"/>
      <c r="M110" s="532"/>
      <c r="N110" s="532"/>
      <c r="O110" s="532"/>
      <c r="P110" s="532"/>
      <c r="Q110" s="532"/>
      <c r="R110" s="532"/>
      <c r="S110" s="532"/>
      <c r="T110" s="535">
        <v>-130</v>
      </c>
      <c r="U110" s="451"/>
      <c r="V110" s="405"/>
      <c r="W110" s="452"/>
    </row>
    <row r="111" spans="1:23" x14ac:dyDescent="0.3">
      <c r="A111" s="569">
        <v>7</v>
      </c>
      <c r="B111" s="532" t="s">
        <v>318</v>
      </c>
      <c r="C111" s="532"/>
      <c r="D111" s="532"/>
      <c r="E111" s="532"/>
      <c r="F111" s="532"/>
      <c r="G111" s="532"/>
      <c r="H111" s="532"/>
      <c r="I111" s="532"/>
      <c r="J111" s="532"/>
      <c r="K111" s="532"/>
      <c r="L111" s="532"/>
      <c r="M111" s="532"/>
      <c r="N111" s="532"/>
      <c r="O111" s="532"/>
      <c r="P111" s="532"/>
      <c r="Q111" s="532"/>
      <c r="R111" s="532"/>
      <c r="S111" s="532"/>
      <c r="T111" s="535">
        <v>0</v>
      </c>
      <c r="U111" s="451"/>
      <c r="V111" s="405"/>
      <c r="W111" s="452"/>
    </row>
    <row r="112" spans="1:23" x14ac:dyDescent="0.3">
      <c r="A112" s="569">
        <v>8</v>
      </c>
      <c r="B112" s="532" t="s">
        <v>38</v>
      </c>
      <c r="C112" s="532"/>
      <c r="D112" s="532"/>
      <c r="E112" s="532"/>
      <c r="F112" s="532"/>
      <c r="G112" s="532"/>
      <c r="H112" s="532"/>
      <c r="I112" s="532"/>
      <c r="J112" s="532"/>
      <c r="K112" s="532"/>
      <c r="L112" s="532"/>
      <c r="M112" s="532"/>
      <c r="N112" s="532"/>
      <c r="O112" s="532"/>
      <c r="P112" s="532"/>
      <c r="Q112" s="532"/>
      <c r="R112" s="532"/>
      <c r="S112" s="532"/>
      <c r="T112" s="535">
        <v>-6</v>
      </c>
      <c r="U112" s="451"/>
      <c r="V112" s="405"/>
    </row>
    <row r="113" spans="1:22" x14ac:dyDescent="0.3">
      <c r="A113" s="569">
        <f t="shared" ref="A113:A118" si="0">+A112+1</f>
        <v>9</v>
      </c>
      <c r="B113" s="532" t="s">
        <v>49</v>
      </c>
      <c r="C113" s="532"/>
      <c r="D113" s="532"/>
      <c r="E113" s="532"/>
      <c r="F113" s="532"/>
      <c r="G113" s="532"/>
      <c r="H113" s="532"/>
      <c r="I113" s="532"/>
      <c r="J113" s="532"/>
      <c r="K113" s="532"/>
      <c r="L113" s="532"/>
      <c r="M113" s="532"/>
      <c r="N113" s="532"/>
      <c r="O113" s="532"/>
      <c r="P113" s="532"/>
      <c r="Q113" s="532"/>
      <c r="R113" s="531">
        <f>-T113</f>
        <v>52</v>
      </c>
      <c r="S113" s="532"/>
      <c r="T113" s="535">
        <v>-52</v>
      </c>
      <c r="U113" s="451"/>
      <c r="V113" s="405"/>
    </row>
    <row r="114" spans="1:22" x14ac:dyDescent="0.3">
      <c r="A114" s="569">
        <f t="shared" si="0"/>
        <v>10</v>
      </c>
      <c r="B114" s="532" t="s">
        <v>134</v>
      </c>
      <c r="C114" s="532"/>
      <c r="D114" s="532"/>
      <c r="E114" s="532"/>
      <c r="F114" s="532"/>
      <c r="G114" s="532"/>
      <c r="H114" s="532"/>
      <c r="I114" s="532"/>
      <c r="J114" s="532"/>
      <c r="K114" s="532"/>
      <c r="L114" s="532"/>
      <c r="M114" s="532"/>
      <c r="N114" s="532"/>
      <c r="O114" s="532"/>
      <c r="P114" s="532"/>
      <c r="Q114" s="532"/>
      <c r="R114" s="532"/>
      <c r="S114" s="532"/>
      <c r="T114" s="535">
        <v>0</v>
      </c>
      <c r="U114" s="451"/>
      <c r="V114" s="405"/>
    </row>
    <row r="115" spans="1:22" x14ac:dyDescent="0.3">
      <c r="A115" s="569">
        <f t="shared" si="0"/>
        <v>11</v>
      </c>
      <c r="B115" s="532" t="s">
        <v>39</v>
      </c>
      <c r="C115" s="532"/>
      <c r="D115" s="532"/>
      <c r="E115" s="532"/>
      <c r="F115" s="532"/>
      <c r="G115" s="532"/>
      <c r="H115" s="532"/>
      <c r="I115" s="532"/>
      <c r="J115" s="532"/>
      <c r="K115" s="532"/>
      <c r="L115" s="532"/>
      <c r="M115" s="532"/>
      <c r="N115" s="532"/>
      <c r="O115" s="532"/>
      <c r="P115" s="532"/>
      <c r="Q115" s="532"/>
      <c r="R115" s="532"/>
      <c r="S115" s="532"/>
      <c r="T115" s="535">
        <v>0</v>
      </c>
      <c r="U115" s="451"/>
      <c r="V115" s="405"/>
    </row>
    <row r="116" spans="1:22" x14ac:dyDescent="0.3">
      <c r="A116" s="569">
        <f t="shared" si="0"/>
        <v>12</v>
      </c>
      <c r="B116" s="532" t="s">
        <v>40</v>
      </c>
      <c r="C116" s="532"/>
      <c r="D116" s="532"/>
      <c r="E116" s="532"/>
      <c r="F116" s="532"/>
      <c r="G116" s="532"/>
      <c r="H116" s="532"/>
      <c r="I116" s="532"/>
      <c r="J116" s="532"/>
      <c r="K116" s="532"/>
      <c r="L116" s="532"/>
      <c r="M116" s="532"/>
      <c r="N116" s="532"/>
      <c r="O116" s="532"/>
      <c r="P116" s="532"/>
      <c r="Q116" s="532"/>
      <c r="R116" s="532"/>
      <c r="S116" s="532"/>
      <c r="T116" s="535">
        <v>0</v>
      </c>
      <c r="U116" s="451"/>
      <c r="V116" s="405"/>
    </row>
    <row r="117" spans="1:22" x14ac:dyDescent="0.3">
      <c r="A117" s="569">
        <f t="shared" si="0"/>
        <v>13</v>
      </c>
      <c r="B117" s="532" t="s">
        <v>161</v>
      </c>
      <c r="C117" s="532"/>
      <c r="D117" s="532"/>
      <c r="E117" s="532"/>
      <c r="F117" s="532"/>
      <c r="G117" s="532"/>
      <c r="H117" s="532"/>
      <c r="I117" s="532"/>
      <c r="J117" s="532"/>
      <c r="K117" s="532"/>
      <c r="L117" s="532"/>
      <c r="M117" s="532"/>
      <c r="N117" s="532"/>
      <c r="O117" s="532"/>
      <c r="P117" s="532"/>
      <c r="Q117" s="532"/>
      <c r="R117" s="532"/>
      <c r="S117" s="532"/>
      <c r="T117" s="535">
        <v>-87</v>
      </c>
      <c r="U117" s="451"/>
      <c r="V117" s="405"/>
    </row>
    <row r="118" spans="1:22" x14ac:dyDescent="0.3">
      <c r="A118" s="569">
        <f t="shared" si="0"/>
        <v>14</v>
      </c>
      <c r="B118" s="532" t="s">
        <v>135</v>
      </c>
      <c r="C118" s="532"/>
      <c r="D118" s="532"/>
      <c r="E118" s="532"/>
      <c r="F118" s="532"/>
      <c r="G118" s="532"/>
      <c r="H118" s="532"/>
      <c r="I118" s="532"/>
      <c r="J118" s="532"/>
      <c r="K118" s="532"/>
      <c r="L118" s="532"/>
      <c r="M118" s="532"/>
      <c r="N118" s="532"/>
      <c r="O118" s="532"/>
      <c r="P118" s="532"/>
      <c r="Q118" s="532"/>
      <c r="R118" s="532"/>
      <c r="S118" s="532"/>
      <c r="T118" s="535">
        <f>-T97-SUM(T99:T117)</f>
        <v>-549</v>
      </c>
      <c r="U118" s="451"/>
      <c r="V118" s="405"/>
    </row>
    <row r="119" spans="1:22" x14ac:dyDescent="0.3">
      <c r="A119" s="418"/>
      <c r="B119" s="522" t="s">
        <v>41</v>
      </c>
      <c r="C119" s="448"/>
      <c r="D119" s="448"/>
      <c r="E119" s="448"/>
      <c r="F119" s="448"/>
      <c r="G119" s="448"/>
      <c r="H119" s="448"/>
      <c r="I119" s="448"/>
      <c r="J119" s="448"/>
      <c r="K119" s="448"/>
      <c r="L119" s="448"/>
      <c r="M119" s="448"/>
      <c r="N119" s="448"/>
      <c r="O119" s="448"/>
      <c r="P119" s="448"/>
      <c r="Q119" s="448"/>
      <c r="R119" s="448"/>
      <c r="S119" s="448"/>
      <c r="T119" s="454"/>
      <c r="U119" s="451"/>
      <c r="V119" s="405"/>
    </row>
    <row r="120" spans="1:22" x14ac:dyDescent="0.3">
      <c r="A120" s="428"/>
      <c r="B120" s="532" t="s">
        <v>229</v>
      </c>
      <c r="C120" s="532"/>
      <c r="D120" s="532"/>
      <c r="E120" s="532"/>
      <c r="F120" s="532"/>
      <c r="G120" s="532"/>
      <c r="H120" s="532"/>
      <c r="I120" s="532"/>
      <c r="J120" s="532"/>
      <c r="K120" s="532"/>
      <c r="L120" s="532"/>
      <c r="M120" s="532"/>
      <c r="N120" s="532"/>
      <c r="O120" s="532"/>
      <c r="P120" s="532"/>
      <c r="Q120" s="532"/>
      <c r="R120" s="531">
        <f>-R180</f>
        <v>0</v>
      </c>
      <c r="S120" s="531"/>
      <c r="T120" s="535"/>
      <c r="U120" s="562"/>
      <c r="V120" s="405"/>
    </row>
    <row r="121" spans="1:22" x14ac:dyDescent="0.3">
      <c r="A121" s="428"/>
      <c r="B121" s="532" t="s">
        <v>230</v>
      </c>
      <c r="C121" s="532"/>
      <c r="D121" s="532"/>
      <c r="E121" s="532"/>
      <c r="F121" s="532"/>
      <c r="G121" s="532"/>
      <c r="H121" s="532"/>
      <c r="I121" s="532"/>
      <c r="J121" s="532"/>
      <c r="K121" s="532"/>
      <c r="L121" s="532"/>
      <c r="M121" s="532"/>
      <c r="N121" s="532"/>
      <c r="O121" s="532"/>
      <c r="P121" s="532"/>
      <c r="Q121" s="532"/>
      <c r="R121" s="531">
        <v>0</v>
      </c>
      <c r="S121" s="531"/>
      <c r="T121" s="535"/>
      <c r="U121" s="562"/>
      <c r="V121" s="405"/>
    </row>
    <row r="122" spans="1:22" x14ac:dyDescent="0.3">
      <c r="A122" s="428"/>
      <c r="B122" s="532" t="s">
        <v>42</v>
      </c>
      <c r="C122" s="532"/>
      <c r="D122" s="532"/>
      <c r="E122" s="532"/>
      <c r="F122" s="532"/>
      <c r="G122" s="532"/>
      <c r="H122" s="532"/>
      <c r="I122" s="532"/>
      <c r="J122" s="532"/>
      <c r="K122" s="532"/>
      <c r="L122" s="532"/>
      <c r="M122" s="532"/>
      <c r="N122" s="532"/>
      <c r="O122" s="532"/>
      <c r="P122" s="532"/>
      <c r="Q122" s="532"/>
      <c r="R122" s="531">
        <f>-Q180</f>
        <v>-321</v>
      </c>
      <c r="S122" s="531"/>
      <c r="T122" s="535"/>
      <c r="U122" s="562"/>
      <c r="V122" s="405"/>
    </row>
    <row r="123" spans="1:22" x14ac:dyDescent="0.3">
      <c r="A123" s="428"/>
      <c r="B123" s="532" t="s">
        <v>235</v>
      </c>
      <c r="C123" s="532"/>
      <c r="D123" s="532"/>
      <c r="E123" s="532"/>
      <c r="F123" s="532"/>
      <c r="G123" s="532"/>
      <c r="H123" s="532"/>
      <c r="I123" s="532"/>
      <c r="J123" s="532"/>
      <c r="K123" s="532"/>
      <c r="L123" s="532"/>
      <c r="M123" s="532"/>
      <c r="N123" s="532"/>
      <c r="O123" s="532"/>
      <c r="P123" s="532"/>
      <c r="Q123" s="532"/>
      <c r="R123" s="531">
        <v>-1576</v>
      </c>
      <c r="S123" s="531"/>
      <c r="T123" s="535"/>
      <c r="U123" s="562"/>
      <c r="V123" s="405"/>
    </row>
    <row r="124" spans="1:22" x14ac:dyDescent="0.3">
      <c r="A124" s="428"/>
      <c r="B124" s="532" t="s">
        <v>236</v>
      </c>
      <c r="C124" s="532"/>
      <c r="D124" s="532"/>
      <c r="E124" s="532"/>
      <c r="F124" s="532"/>
      <c r="G124" s="532"/>
      <c r="H124" s="532"/>
      <c r="I124" s="532"/>
      <c r="J124" s="532"/>
      <c r="K124" s="532"/>
      <c r="L124" s="532"/>
      <c r="M124" s="532"/>
      <c r="N124" s="532"/>
      <c r="O124" s="532"/>
      <c r="P124" s="532"/>
      <c r="Q124" s="532"/>
      <c r="R124" s="531">
        <v>-1114</v>
      </c>
      <c r="S124" s="531"/>
      <c r="T124" s="535"/>
      <c r="U124" s="562"/>
      <c r="V124" s="405"/>
    </row>
    <row r="125" spans="1:22" x14ac:dyDescent="0.3">
      <c r="A125" s="428"/>
      <c r="B125" s="532" t="s">
        <v>241</v>
      </c>
      <c r="C125" s="532"/>
      <c r="D125" s="532"/>
      <c r="E125" s="532"/>
      <c r="F125" s="532"/>
      <c r="G125" s="532"/>
      <c r="H125" s="532"/>
      <c r="I125" s="532"/>
      <c r="J125" s="532"/>
      <c r="K125" s="532"/>
      <c r="L125" s="532"/>
      <c r="M125" s="532"/>
      <c r="N125" s="532"/>
      <c r="O125" s="532"/>
      <c r="P125" s="532"/>
      <c r="Q125" s="532"/>
      <c r="R125" s="531">
        <v>-154</v>
      </c>
      <c r="S125" s="531"/>
      <c r="T125" s="535"/>
      <c r="U125" s="562"/>
      <c r="V125" s="405"/>
    </row>
    <row r="126" spans="1:22" x14ac:dyDescent="0.3">
      <c r="A126" s="428"/>
      <c r="B126" s="532" t="s">
        <v>237</v>
      </c>
      <c r="C126" s="532"/>
      <c r="D126" s="532"/>
      <c r="E126" s="532"/>
      <c r="F126" s="532"/>
      <c r="G126" s="532"/>
      <c r="H126" s="532"/>
      <c r="I126" s="532"/>
      <c r="J126" s="532"/>
      <c r="K126" s="532"/>
      <c r="L126" s="532"/>
      <c r="M126" s="532"/>
      <c r="N126" s="532"/>
      <c r="O126" s="532"/>
      <c r="P126" s="532"/>
      <c r="Q126" s="532"/>
      <c r="R126" s="531">
        <v>-73</v>
      </c>
      <c r="S126" s="531"/>
      <c r="T126" s="535"/>
      <c r="U126" s="562"/>
      <c r="V126" s="405"/>
    </row>
    <row r="127" spans="1:22" x14ac:dyDescent="0.3">
      <c r="A127" s="428"/>
      <c r="B127" s="532" t="s">
        <v>238</v>
      </c>
      <c r="C127" s="532"/>
      <c r="D127" s="532"/>
      <c r="E127" s="532"/>
      <c r="F127" s="532"/>
      <c r="G127" s="532"/>
      <c r="H127" s="532"/>
      <c r="I127" s="532"/>
      <c r="J127" s="532"/>
      <c r="K127" s="532"/>
      <c r="L127" s="532"/>
      <c r="M127" s="532"/>
      <c r="N127" s="532"/>
      <c r="O127" s="532"/>
      <c r="P127" s="532"/>
      <c r="Q127" s="532"/>
      <c r="R127" s="531">
        <v>-210</v>
      </c>
      <c r="S127" s="531"/>
      <c r="T127" s="535"/>
      <c r="U127" s="562"/>
      <c r="V127" s="405"/>
    </row>
    <row r="128" spans="1:22" x14ac:dyDescent="0.3">
      <c r="A128" s="428"/>
      <c r="B128" s="532" t="s">
        <v>239</v>
      </c>
      <c r="C128" s="532"/>
      <c r="D128" s="532"/>
      <c r="E128" s="532"/>
      <c r="F128" s="532"/>
      <c r="G128" s="532"/>
      <c r="H128" s="532"/>
      <c r="I128" s="532"/>
      <c r="J128" s="532"/>
      <c r="K128" s="532"/>
      <c r="L128" s="532"/>
      <c r="M128" s="532"/>
      <c r="N128" s="532"/>
      <c r="O128" s="532"/>
      <c r="P128" s="532"/>
      <c r="Q128" s="532"/>
      <c r="R128" s="531">
        <v>-31</v>
      </c>
      <c r="S128" s="531"/>
      <c r="T128" s="535"/>
      <c r="U128" s="562"/>
      <c r="V128" s="405"/>
    </row>
    <row r="129" spans="1:22" x14ac:dyDescent="0.3">
      <c r="A129" s="428"/>
      <c r="B129" s="532" t="s">
        <v>240</v>
      </c>
      <c r="C129" s="532"/>
      <c r="D129" s="532"/>
      <c r="E129" s="532"/>
      <c r="F129" s="532"/>
      <c r="G129" s="532"/>
      <c r="H129" s="532"/>
      <c r="I129" s="532"/>
      <c r="J129" s="532"/>
      <c r="K129" s="532"/>
      <c r="L129" s="532"/>
      <c r="M129" s="532"/>
      <c r="N129" s="532"/>
      <c r="O129" s="532"/>
      <c r="P129" s="532"/>
      <c r="Q129" s="532"/>
      <c r="R129" s="531">
        <v>-470</v>
      </c>
      <c r="S129" s="531"/>
      <c r="T129" s="535"/>
      <c r="U129" s="562"/>
      <c r="V129" s="405"/>
    </row>
    <row r="130" spans="1:22" x14ac:dyDescent="0.3">
      <c r="A130" s="428"/>
      <c r="B130" s="532" t="s">
        <v>43</v>
      </c>
      <c r="C130" s="532"/>
      <c r="D130" s="532"/>
      <c r="E130" s="532"/>
      <c r="F130" s="532"/>
      <c r="G130" s="532"/>
      <c r="H130" s="532"/>
      <c r="I130" s="532"/>
      <c r="J130" s="532"/>
      <c r="K130" s="532"/>
      <c r="L130" s="532"/>
      <c r="M130" s="532"/>
      <c r="N130" s="532"/>
      <c r="O130" s="532"/>
      <c r="P130" s="532"/>
      <c r="Q130" s="532"/>
      <c r="R130" s="531">
        <f>SUM(R120:R129)</f>
        <v>-3949</v>
      </c>
      <c r="S130" s="531"/>
      <c r="T130" s="531">
        <f>SUM(T98:T128)</f>
        <v>-1457</v>
      </c>
      <c r="U130" s="562"/>
      <c r="V130" s="405"/>
    </row>
    <row r="131" spans="1:22" x14ac:dyDescent="0.3">
      <c r="A131" s="428"/>
      <c r="B131" s="532" t="s">
        <v>44</v>
      </c>
      <c r="C131" s="532"/>
      <c r="D131" s="532"/>
      <c r="E131" s="532"/>
      <c r="F131" s="532"/>
      <c r="G131" s="532"/>
      <c r="H131" s="532"/>
      <c r="I131" s="532"/>
      <c r="J131" s="532"/>
      <c r="K131" s="532"/>
      <c r="L131" s="532"/>
      <c r="M131" s="532"/>
      <c r="N131" s="532"/>
      <c r="O131" s="532"/>
      <c r="P131" s="532"/>
      <c r="Q131" s="532"/>
      <c r="R131" s="531">
        <f>R97+R130+R113</f>
        <v>0</v>
      </c>
      <c r="S131" s="531"/>
      <c r="T131" s="531">
        <f>T97+T130</f>
        <v>0</v>
      </c>
      <c r="U131" s="562"/>
      <c r="V131" s="405"/>
    </row>
    <row r="132" spans="1:22" x14ac:dyDescent="0.3">
      <c r="A132" s="430"/>
      <c r="B132" s="431"/>
      <c r="C132" s="431"/>
      <c r="D132" s="431"/>
      <c r="E132" s="431"/>
      <c r="F132" s="431"/>
      <c r="G132" s="431"/>
      <c r="H132" s="431"/>
      <c r="I132" s="431"/>
      <c r="J132" s="431"/>
      <c r="K132" s="431"/>
      <c r="L132" s="431"/>
      <c r="M132" s="431"/>
      <c r="N132" s="431"/>
      <c r="O132" s="431"/>
      <c r="P132" s="431"/>
      <c r="Q132" s="431"/>
      <c r="R132" s="455"/>
      <c r="S132" s="455"/>
      <c r="T132" s="455"/>
      <c r="U132" s="431"/>
      <c r="V132" s="405"/>
    </row>
    <row r="133" spans="1:22" x14ac:dyDescent="0.3">
      <c r="A133" s="430"/>
      <c r="B133" s="434"/>
      <c r="C133" s="434"/>
      <c r="D133" s="434"/>
      <c r="E133" s="434"/>
      <c r="F133" s="434"/>
      <c r="G133" s="434"/>
      <c r="H133" s="434"/>
      <c r="I133" s="434"/>
      <c r="J133" s="434"/>
      <c r="K133" s="434"/>
      <c r="L133" s="434"/>
      <c r="M133" s="434"/>
      <c r="N133" s="434"/>
      <c r="O133" s="434"/>
      <c r="P133" s="434"/>
      <c r="Q133" s="434"/>
      <c r="R133" s="434"/>
      <c r="S133" s="434"/>
      <c r="T133" s="456"/>
      <c r="U133" s="434"/>
      <c r="V133" s="405"/>
    </row>
    <row r="134" spans="1:22" ht="18.600000000000001" thickBot="1" x14ac:dyDescent="0.4">
      <c r="A134" s="437"/>
      <c r="B134" s="565" t="str">
        <f>B61</f>
        <v>PM9 INVESTOR REPORT QUARTER ENDING JULY 2018</v>
      </c>
      <c r="C134" s="438"/>
      <c r="D134" s="438"/>
      <c r="E134" s="438"/>
      <c r="F134" s="438"/>
      <c r="G134" s="438"/>
      <c r="H134" s="438"/>
      <c r="I134" s="438"/>
      <c r="J134" s="438"/>
      <c r="K134" s="438"/>
      <c r="L134" s="438"/>
      <c r="M134" s="438"/>
      <c r="N134" s="438"/>
      <c r="O134" s="438"/>
      <c r="P134" s="438"/>
      <c r="Q134" s="438"/>
      <c r="R134" s="438"/>
      <c r="S134" s="438"/>
      <c r="T134" s="457"/>
      <c r="U134" s="440"/>
      <c r="V134" s="405"/>
    </row>
    <row r="135" spans="1:22" x14ac:dyDescent="0.3">
      <c r="A135" s="507"/>
      <c r="B135" s="508" t="s">
        <v>45</v>
      </c>
      <c r="C135" s="509"/>
      <c r="D135" s="509"/>
      <c r="E135" s="509"/>
      <c r="F135" s="509"/>
      <c r="G135" s="509"/>
      <c r="H135" s="509"/>
      <c r="I135" s="509"/>
      <c r="J135" s="509"/>
      <c r="K135" s="509"/>
      <c r="L135" s="509"/>
      <c r="M135" s="509"/>
      <c r="N135" s="509"/>
      <c r="O135" s="509"/>
      <c r="P135" s="509"/>
      <c r="Q135" s="509"/>
      <c r="R135" s="509"/>
      <c r="S135" s="509"/>
      <c r="T135" s="510"/>
      <c r="U135" s="509"/>
      <c r="V135" s="405"/>
    </row>
    <row r="136" spans="1:22" x14ac:dyDescent="0.3">
      <c r="A136" s="407"/>
      <c r="B136" s="458"/>
      <c r="C136" s="409"/>
      <c r="D136" s="409"/>
      <c r="E136" s="409"/>
      <c r="F136" s="409"/>
      <c r="G136" s="409"/>
      <c r="H136" s="409"/>
      <c r="I136" s="409"/>
      <c r="J136" s="409"/>
      <c r="K136" s="409"/>
      <c r="L136" s="409"/>
      <c r="M136" s="409"/>
      <c r="N136" s="409"/>
      <c r="O136" s="409"/>
      <c r="P136" s="409"/>
      <c r="Q136" s="409"/>
      <c r="R136" s="409"/>
      <c r="S136" s="409"/>
      <c r="T136" s="441"/>
      <c r="U136" s="409"/>
      <c r="V136" s="405"/>
    </row>
    <row r="137" spans="1:22" x14ac:dyDescent="0.3">
      <c r="A137" s="407"/>
      <c r="B137" s="523" t="s">
        <v>46</v>
      </c>
      <c r="C137" s="409"/>
      <c r="D137" s="409"/>
      <c r="E137" s="409"/>
      <c r="F137" s="409"/>
      <c r="G137" s="409"/>
      <c r="H137" s="409"/>
      <c r="I137" s="409"/>
      <c r="J137" s="409"/>
      <c r="K137" s="409"/>
      <c r="L137" s="409"/>
      <c r="M137" s="409"/>
      <c r="N137" s="409"/>
      <c r="O137" s="409"/>
      <c r="P137" s="409"/>
      <c r="Q137" s="409"/>
      <c r="R137" s="409"/>
      <c r="S137" s="409"/>
      <c r="T137" s="441"/>
      <c r="U137" s="409"/>
      <c r="V137" s="405"/>
    </row>
    <row r="138" spans="1:22" x14ac:dyDescent="0.3">
      <c r="A138" s="418"/>
      <c r="B138" s="532" t="s">
        <v>47</v>
      </c>
      <c r="C138" s="532"/>
      <c r="D138" s="532"/>
      <c r="E138" s="532"/>
      <c r="F138" s="532"/>
      <c r="G138" s="532"/>
      <c r="H138" s="532"/>
      <c r="I138" s="532"/>
      <c r="J138" s="532"/>
      <c r="K138" s="532"/>
      <c r="L138" s="532"/>
      <c r="M138" s="532"/>
      <c r="N138" s="532"/>
      <c r="O138" s="532"/>
      <c r="P138" s="532"/>
      <c r="Q138" s="532"/>
      <c r="R138" s="532"/>
      <c r="S138" s="532"/>
      <c r="T138" s="535">
        <f>+T32*0.0176</f>
        <v>12320</v>
      </c>
      <c r="U138" s="420"/>
      <c r="V138" s="405"/>
    </row>
    <row r="139" spans="1:22" x14ac:dyDescent="0.3">
      <c r="A139" s="418"/>
      <c r="B139" s="532" t="s">
        <v>48</v>
      </c>
      <c r="C139" s="532"/>
      <c r="D139" s="532"/>
      <c r="E139" s="532"/>
      <c r="F139" s="532"/>
      <c r="G139" s="532"/>
      <c r="H139" s="532"/>
      <c r="I139" s="532"/>
      <c r="J139" s="532"/>
      <c r="K139" s="532"/>
      <c r="L139" s="532"/>
      <c r="M139" s="532"/>
      <c r="N139" s="532"/>
      <c r="O139" s="532"/>
      <c r="P139" s="532"/>
      <c r="Q139" s="532"/>
      <c r="R139" s="532"/>
      <c r="S139" s="532"/>
      <c r="T139" s="535">
        <v>12320</v>
      </c>
      <c r="U139" s="420"/>
      <c r="V139" s="405"/>
    </row>
    <row r="140" spans="1:22" x14ac:dyDescent="0.3">
      <c r="A140" s="418"/>
      <c r="B140" s="532" t="s">
        <v>145</v>
      </c>
      <c r="C140" s="532"/>
      <c r="D140" s="532"/>
      <c r="E140" s="532"/>
      <c r="F140" s="532"/>
      <c r="G140" s="532"/>
      <c r="H140" s="532"/>
      <c r="I140" s="532"/>
      <c r="J140" s="532"/>
      <c r="K140" s="532"/>
      <c r="L140" s="532"/>
      <c r="M140" s="532"/>
      <c r="N140" s="532"/>
      <c r="O140" s="532"/>
      <c r="P140" s="532"/>
      <c r="Q140" s="532"/>
      <c r="R140" s="532"/>
      <c r="S140" s="532"/>
      <c r="T140" s="535">
        <v>0</v>
      </c>
      <c r="U140" s="420"/>
      <c r="V140" s="405"/>
    </row>
    <row r="141" spans="1:22" x14ac:dyDescent="0.3">
      <c r="A141" s="418"/>
      <c r="B141" s="532" t="s">
        <v>132</v>
      </c>
      <c r="C141" s="532"/>
      <c r="D141" s="532"/>
      <c r="E141" s="532"/>
      <c r="F141" s="532"/>
      <c r="G141" s="532"/>
      <c r="H141" s="532"/>
      <c r="I141" s="532"/>
      <c r="J141" s="532"/>
      <c r="K141" s="532"/>
      <c r="L141" s="532"/>
      <c r="M141" s="532"/>
      <c r="N141" s="532"/>
      <c r="O141" s="532"/>
      <c r="P141" s="532"/>
      <c r="Q141" s="532"/>
      <c r="R141" s="532"/>
      <c r="S141" s="532"/>
      <c r="T141" s="535">
        <v>0</v>
      </c>
      <c r="U141" s="420"/>
      <c r="V141" s="405"/>
    </row>
    <row r="142" spans="1:22" x14ac:dyDescent="0.3">
      <c r="A142" s="418"/>
      <c r="B142" s="532" t="s">
        <v>133</v>
      </c>
      <c r="C142" s="532"/>
      <c r="D142" s="532"/>
      <c r="E142" s="532"/>
      <c r="F142" s="532"/>
      <c r="G142" s="532"/>
      <c r="H142" s="532"/>
      <c r="I142" s="532"/>
      <c r="J142" s="532"/>
      <c r="K142" s="532"/>
      <c r="L142" s="532"/>
      <c r="M142" s="532"/>
      <c r="N142" s="532"/>
      <c r="O142" s="532"/>
      <c r="P142" s="532"/>
      <c r="Q142" s="532"/>
      <c r="R142" s="532"/>
      <c r="S142" s="532"/>
      <c r="T142" s="535">
        <v>0</v>
      </c>
      <c r="U142" s="420"/>
      <c r="V142" s="405"/>
    </row>
    <row r="143" spans="1:22" x14ac:dyDescent="0.3">
      <c r="A143" s="418"/>
      <c r="B143" s="532" t="s">
        <v>232</v>
      </c>
      <c r="C143" s="532"/>
      <c r="D143" s="532"/>
      <c r="E143" s="532"/>
      <c r="F143" s="532"/>
      <c r="G143" s="532"/>
      <c r="H143" s="532"/>
      <c r="I143" s="532"/>
      <c r="J143" s="532"/>
      <c r="K143" s="532"/>
      <c r="L143" s="532"/>
      <c r="M143" s="532"/>
      <c r="N143" s="532"/>
      <c r="O143" s="532"/>
      <c r="P143" s="532"/>
      <c r="Q143" s="532"/>
      <c r="R143" s="532"/>
      <c r="S143" s="532"/>
      <c r="T143" s="535">
        <v>0</v>
      </c>
      <c r="U143" s="420"/>
      <c r="V143" s="405"/>
    </row>
    <row r="144" spans="1:22" x14ac:dyDescent="0.3">
      <c r="A144" s="418"/>
      <c r="B144" s="532" t="s">
        <v>49</v>
      </c>
      <c r="C144" s="532"/>
      <c r="D144" s="532"/>
      <c r="E144" s="532"/>
      <c r="F144" s="532"/>
      <c r="G144" s="532"/>
      <c r="H144" s="532"/>
      <c r="I144" s="532"/>
      <c r="J144" s="532"/>
      <c r="K144" s="532"/>
      <c r="L144" s="532"/>
      <c r="M144" s="532"/>
      <c r="N144" s="532"/>
      <c r="O144" s="532"/>
      <c r="P144" s="532"/>
      <c r="Q144" s="532"/>
      <c r="R144" s="532"/>
      <c r="S144" s="532"/>
      <c r="T144" s="535">
        <v>0</v>
      </c>
      <c r="U144" s="420"/>
      <c r="V144" s="405"/>
    </row>
    <row r="145" spans="1:23" x14ac:dyDescent="0.3">
      <c r="A145" s="418"/>
      <c r="B145" s="532" t="s">
        <v>138</v>
      </c>
      <c r="C145" s="532"/>
      <c r="D145" s="532"/>
      <c r="E145" s="532"/>
      <c r="F145" s="532"/>
      <c r="G145" s="532"/>
      <c r="H145" s="532"/>
      <c r="I145" s="532"/>
      <c r="J145" s="532"/>
      <c r="K145" s="532"/>
      <c r="L145" s="532"/>
      <c r="M145" s="532"/>
      <c r="N145" s="532"/>
      <c r="O145" s="532"/>
      <c r="P145" s="532"/>
      <c r="Q145" s="532"/>
      <c r="R145" s="532"/>
      <c r="S145" s="532"/>
      <c r="T145" s="535">
        <v>0</v>
      </c>
      <c r="U145" s="420"/>
      <c r="V145" s="405"/>
    </row>
    <row r="146" spans="1:23" x14ac:dyDescent="0.3">
      <c r="A146" s="418"/>
      <c r="B146" s="532" t="s">
        <v>231</v>
      </c>
      <c r="C146" s="532"/>
      <c r="D146" s="532"/>
      <c r="E146" s="532"/>
      <c r="F146" s="532"/>
      <c r="G146" s="532"/>
      <c r="H146" s="532"/>
      <c r="I146" s="532"/>
      <c r="J146" s="532"/>
      <c r="K146" s="532"/>
      <c r="L146" s="532"/>
      <c r="M146" s="532"/>
      <c r="N146" s="532"/>
      <c r="O146" s="532"/>
      <c r="P146" s="532"/>
      <c r="Q146" s="532"/>
      <c r="R146" s="532"/>
      <c r="S146" s="532"/>
      <c r="T146" s="535">
        <v>0</v>
      </c>
      <c r="U146" s="420"/>
      <c r="V146" s="405"/>
      <c r="W146" s="452"/>
    </row>
    <row r="147" spans="1:23" x14ac:dyDescent="0.3">
      <c r="A147" s="418"/>
      <c r="B147" s="532" t="s">
        <v>50</v>
      </c>
      <c r="C147" s="532"/>
      <c r="D147" s="532"/>
      <c r="E147" s="532"/>
      <c r="F147" s="532"/>
      <c r="G147" s="532"/>
      <c r="H147" s="532"/>
      <c r="I147" s="532"/>
      <c r="J147" s="532"/>
      <c r="K147" s="532"/>
      <c r="L147" s="532"/>
      <c r="M147" s="532"/>
      <c r="N147" s="532"/>
      <c r="O147" s="532"/>
      <c r="P147" s="532"/>
      <c r="Q147" s="532"/>
      <c r="R147" s="532"/>
      <c r="S147" s="532"/>
      <c r="T147" s="535">
        <f>SUM(T139:T146)</f>
        <v>12320</v>
      </c>
      <c r="U147" s="420"/>
      <c r="V147" s="405"/>
    </row>
    <row r="148" spans="1:23" x14ac:dyDescent="0.3">
      <c r="A148" s="418"/>
      <c r="B148" s="448"/>
      <c r="C148" s="448"/>
      <c r="D148" s="448"/>
      <c r="E148" s="448"/>
      <c r="F148" s="448"/>
      <c r="G148" s="448"/>
      <c r="H148" s="448"/>
      <c r="I148" s="448"/>
      <c r="J148" s="448"/>
      <c r="K148" s="448"/>
      <c r="L148" s="448"/>
      <c r="M148" s="448"/>
      <c r="N148" s="448"/>
      <c r="O148" s="448"/>
      <c r="P148" s="448"/>
      <c r="Q148" s="448"/>
      <c r="R148" s="448"/>
      <c r="S148" s="448"/>
      <c r="T148" s="450"/>
      <c r="U148" s="451"/>
      <c r="V148" s="405"/>
    </row>
    <row r="149" spans="1:23" x14ac:dyDescent="0.3">
      <c r="A149" s="418"/>
      <c r="B149" s="522" t="s">
        <v>264</v>
      </c>
      <c r="C149" s="448"/>
      <c r="D149" s="448"/>
      <c r="E149" s="448"/>
      <c r="F149" s="448"/>
      <c r="G149" s="448"/>
      <c r="H149" s="448"/>
      <c r="I149" s="448"/>
      <c r="J149" s="448"/>
      <c r="K149" s="448"/>
      <c r="L149" s="448"/>
      <c r="M149" s="448"/>
      <c r="N149" s="448"/>
      <c r="O149" s="448"/>
      <c r="P149" s="448"/>
      <c r="Q149" s="448"/>
      <c r="R149" s="448"/>
      <c r="S149" s="448"/>
      <c r="T149" s="450"/>
      <c r="U149" s="451"/>
      <c r="V149" s="405"/>
    </row>
    <row r="150" spans="1:23" x14ac:dyDescent="0.3">
      <c r="A150" s="418"/>
      <c r="B150" s="532" t="s">
        <v>170</v>
      </c>
      <c r="C150" s="532"/>
      <c r="D150" s="532"/>
      <c r="E150" s="532"/>
      <c r="F150" s="532"/>
      <c r="G150" s="532"/>
      <c r="H150" s="532"/>
      <c r="I150" s="532"/>
      <c r="J150" s="532"/>
      <c r="K150" s="532"/>
      <c r="L150" s="532"/>
      <c r="M150" s="532"/>
      <c r="N150" s="532"/>
      <c r="O150" s="532"/>
      <c r="P150" s="532"/>
      <c r="Q150" s="532"/>
      <c r="R150" s="532"/>
      <c r="S150" s="532"/>
      <c r="T150" s="535">
        <v>10000</v>
      </c>
      <c r="U150" s="420"/>
      <c r="V150" s="405"/>
    </row>
    <row r="151" spans="1:23" x14ac:dyDescent="0.3">
      <c r="A151" s="418"/>
      <c r="B151" s="532" t="s">
        <v>260</v>
      </c>
      <c r="C151" s="532"/>
      <c r="D151" s="532"/>
      <c r="E151" s="532"/>
      <c r="F151" s="532"/>
      <c r="G151" s="532"/>
      <c r="H151" s="532"/>
      <c r="I151" s="532"/>
      <c r="J151" s="532"/>
      <c r="K151" s="532"/>
      <c r="L151" s="532"/>
      <c r="M151" s="532"/>
      <c r="N151" s="532"/>
      <c r="O151" s="532"/>
      <c r="P151" s="532"/>
      <c r="Q151" s="532"/>
      <c r="R151" s="532"/>
      <c r="S151" s="532"/>
      <c r="T151" s="535">
        <v>0</v>
      </c>
      <c r="U151" s="420"/>
      <c r="V151" s="405"/>
    </row>
    <row r="152" spans="1:23" x14ac:dyDescent="0.3">
      <c r="A152" s="418"/>
      <c r="B152" s="532" t="s">
        <v>228</v>
      </c>
      <c r="C152" s="532"/>
      <c r="D152" s="532"/>
      <c r="E152" s="532"/>
      <c r="F152" s="532"/>
      <c r="G152" s="532"/>
      <c r="H152" s="532"/>
      <c r="I152" s="532"/>
      <c r="J152" s="532"/>
      <c r="K152" s="532"/>
      <c r="L152" s="532"/>
      <c r="M152" s="532"/>
      <c r="N152" s="532"/>
      <c r="O152" s="532"/>
      <c r="P152" s="532"/>
      <c r="Q152" s="532"/>
      <c r="R152" s="532"/>
      <c r="S152" s="532"/>
      <c r="T152" s="535">
        <v>0</v>
      </c>
      <c r="U152" s="420"/>
      <c r="V152" s="405"/>
    </row>
    <row r="153" spans="1:23" x14ac:dyDescent="0.3">
      <c r="A153" s="418"/>
      <c r="B153" s="568" t="s">
        <v>327</v>
      </c>
      <c r="C153" s="532"/>
      <c r="D153" s="532"/>
      <c r="E153" s="532"/>
      <c r="F153" s="532"/>
      <c r="G153" s="532"/>
      <c r="H153" s="532"/>
      <c r="I153" s="532"/>
      <c r="J153" s="532"/>
      <c r="K153" s="532"/>
      <c r="L153" s="532"/>
      <c r="M153" s="532"/>
      <c r="N153" s="532"/>
      <c r="O153" s="532"/>
      <c r="P153" s="532"/>
      <c r="Q153" s="532"/>
      <c r="R153" s="532"/>
      <c r="S153" s="532"/>
      <c r="T153" s="535">
        <v>0</v>
      </c>
      <c r="U153" s="420"/>
      <c r="V153" s="405"/>
    </row>
    <row r="154" spans="1:23" x14ac:dyDescent="0.3">
      <c r="A154" s="418"/>
      <c r="B154" s="448"/>
      <c r="C154" s="448"/>
      <c r="D154" s="448"/>
      <c r="E154" s="448"/>
      <c r="F154" s="448"/>
      <c r="G154" s="448"/>
      <c r="H154" s="448"/>
      <c r="I154" s="448"/>
      <c r="J154" s="448"/>
      <c r="K154" s="448"/>
      <c r="L154" s="448"/>
      <c r="M154" s="448"/>
      <c r="N154" s="448"/>
      <c r="O154" s="448"/>
      <c r="P154" s="448"/>
      <c r="Q154" s="448"/>
      <c r="R154" s="448"/>
      <c r="S154" s="448"/>
      <c r="T154" s="450"/>
      <c r="U154" s="451"/>
      <c r="V154" s="405"/>
    </row>
    <row r="155" spans="1:23" x14ac:dyDescent="0.3">
      <c r="A155" s="407"/>
      <c r="B155" s="444"/>
      <c r="C155" s="444"/>
      <c r="D155" s="444"/>
      <c r="E155" s="444"/>
      <c r="F155" s="444"/>
      <c r="G155" s="444"/>
      <c r="H155" s="444"/>
      <c r="I155" s="444"/>
      <c r="J155" s="444"/>
      <c r="K155" s="444"/>
      <c r="L155" s="444"/>
      <c r="M155" s="444"/>
      <c r="N155" s="444"/>
      <c r="O155" s="444"/>
      <c r="P155" s="444"/>
      <c r="Q155" s="444"/>
      <c r="R155" s="444"/>
      <c r="S155" s="444"/>
      <c r="T155" s="459"/>
      <c r="U155" s="444"/>
      <c r="V155" s="405"/>
    </row>
    <row r="156" spans="1:23" x14ac:dyDescent="0.3">
      <c r="A156" s="407"/>
      <c r="B156" s="523" t="s">
        <v>25</v>
      </c>
      <c r="C156" s="409"/>
      <c r="D156" s="409"/>
      <c r="E156" s="409"/>
      <c r="F156" s="409"/>
      <c r="G156" s="409"/>
      <c r="H156" s="409"/>
      <c r="I156" s="409"/>
      <c r="J156" s="409"/>
      <c r="K156" s="409"/>
      <c r="L156" s="409"/>
      <c r="M156" s="409"/>
      <c r="N156" s="409"/>
      <c r="O156" s="409"/>
      <c r="P156" s="409"/>
      <c r="Q156" s="409"/>
      <c r="R156" s="409"/>
      <c r="S156" s="409"/>
      <c r="T156" s="441"/>
      <c r="U156" s="409"/>
      <c r="V156" s="405"/>
    </row>
    <row r="157" spans="1:23" x14ac:dyDescent="0.3">
      <c r="A157" s="418"/>
      <c r="B157" s="532" t="s">
        <v>51</v>
      </c>
      <c r="C157" s="532"/>
      <c r="D157" s="532"/>
      <c r="E157" s="532"/>
      <c r="F157" s="532"/>
      <c r="G157" s="532"/>
      <c r="H157" s="532"/>
      <c r="I157" s="532"/>
      <c r="J157" s="532"/>
      <c r="K157" s="532"/>
      <c r="L157" s="532"/>
      <c r="M157" s="532"/>
      <c r="N157" s="532"/>
      <c r="O157" s="532"/>
      <c r="P157" s="532"/>
      <c r="Q157" s="532"/>
      <c r="R157" s="532"/>
      <c r="S157" s="532"/>
      <c r="T157" s="561" t="s">
        <v>127</v>
      </c>
      <c r="U157" s="451"/>
      <c r="V157" s="405"/>
    </row>
    <row r="158" spans="1:23" x14ac:dyDescent="0.3">
      <c r="A158" s="418"/>
      <c r="B158" s="532" t="s">
        <v>52</v>
      </c>
      <c r="C158" s="532"/>
      <c r="D158" s="532"/>
      <c r="E158" s="532"/>
      <c r="F158" s="532"/>
      <c r="G158" s="532"/>
      <c r="H158" s="532"/>
      <c r="I158" s="532"/>
      <c r="J158" s="532"/>
      <c r="K158" s="532"/>
      <c r="L158" s="532"/>
      <c r="M158" s="532"/>
      <c r="N158" s="532"/>
      <c r="O158" s="532"/>
      <c r="P158" s="532"/>
      <c r="Q158" s="532"/>
      <c r="R158" s="532"/>
      <c r="S158" s="532"/>
      <c r="T158" s="561" t="s">
        <v>127</v>
      </c>
      <c r="U158" s="451"/>
      <c r="V158" s="405"/>
    </row>
    <row r="159" spans="1:23" x14ac:dyDescent="0.3">
      <c r="A159" s="418"/>
      <c r="B159" s="532" t="s">
        <v>53</v>
      </c>
      <c r="C159" s="532"/>
      <c r="D159" s="532"/>
      <c r="E159" s="532"/>
      <c r="F159" s="532"/>
      <c r="G159" s="532"/>
      <c r="H159" s="532"/>
      <c r="I159" s="532"/>
      <c r="J159" s="532"/>
      <c r="K159" s="532"/>
      <c r="L159" s="532"/>
      <c r="M159" s="532"/>
      <c r="N159" s="532"/>
      <c r="O159" s="532"/>
      <c r="P159" s="532"/>
      <c r="Q159" s="532"/>
      <c r="R159" s="532"/>
      <c r="S159" s="532"/>
      <c r="T159" s="561" t="s">
        <v>127</v>
      </c>
      <c r="U159" s="451"/>
      <c r="V159" s="405"/>
    </row>
    <row r="160" spans="1:23" x14ac:dyDescent="0.3">
      <c r="A160" s="418"/>
      <c r="B160" s="532" t="s">
        <v>54</v>
      </c>
      <c r="C160" s="532"/>
      <c r="D160" s="532"/>
      <c r="E160" s="532"/>
      <c r="F160" s="532"/>
      <c r="G160" s="532"/>
      <c r="H160" s="532"/>
      <c r="I160" s="532"/>
      <c r="J160" s="532"/>
      <c r="K160" s="532"/>
      <c r="L160" s="532"/>
      <c r="M160" s="532"/>
      <c r="N160" s="532"/>
      <c r="O160" s="532"/>
      <c r="P160" s="532"/>
      <c r="Q160" s="532"/>
      <c r="R160" s="532"/>
      <c r="S160" s="532"/>
      <c r="T160" s="561" t="s">
        <v>127</v>
      </c>
      <c r="U160" s="451"/>
      <c r="V160" s="405"/>
    </row>
    <row r="161" spans="1:22" x14ac:dyDescent="0.3">
      <c r="A161" s="407"/>
      <c r="B161" s="444"/>
      <c r="C161" s="444"/>
      <c r="D161" s="444"/>
      <c r="E161" s="444"/>
      <c r="F161" s="444"/>
      <c r="G161" s="444"/>
      <c r="H161" s="444"/>
      <c r="I161" s="444"/>
      <c r="J161" s="444"/>
      <c r="K161" s="444"/>
      <c r="L161" s="444"/>
      <c r="M161" s="444"/>
      <c r="N161" s="444"/>
      <c r="O161" s="444"/>
      <c r="P161" s="444"/>
      <c r="Q161" s="444"/>
      <c r="R161" s="444"/>
      <c r="S161" s="444"/>
      <c r="T161" s="459"/>
      <c r="U161" s="444"/>
      <c r="V161" s="405"/>
    </row>
    <row r="162" spans="1:22" x14ac:dyDescent="0.3">
      <c r="A162" s="407"/>
      <c r="B162" s="523" t="s">
        <v>55</v>
      </c>
      <c r="C162" s="409"/>
      <c r="D162" s="409"/>
      <c r="E162" s="409"/>
      <c r="F162" s="409"/>
      <c r="G162" s="409"/>
      <c r="H162" s="409"/>
      <c r="I162" s="409"/>
      <c r="J162" s="409"/>
      <c r="K162" s="409"/>
      <c r="L162" s="409"/>
      <c r="M162" s="409"/>
      <c r="N162" s="409"/>
      <c r="O162" s="409"/>
      <c r="P162" s="409"/>
      <c r="Q162" s="409"/>
      <c r="R162" s="409"/>
      <c r="S162" s="409"/>
      <c r="T162" s="460"/>
      <c r="U162" s="409"/>
      <c r="V162" s="405"/>
    </row>
    <row r="163" spans="1:22" x14ac:dyDescent="0.3">
      <c r="A163" s="418"/>
      <c r="B163" s="532" t="s">
        <v>56</v>
      </c>
      <c r="C163" s="532"/>
      <c r="D163" s="532"/>
      <c r="E163" s="532"/>
      <c r="F163" s="532"/>
      <c r="G163" s="532"/>
      <c r="H163" s="532"/>
      <c r="I163" s="532"/>
      <c r="J163" s="532"/>
      <c r="K163" s="532"/>
      <c r="L163" s="532"/>
      <c r="M163" s="532"/>
      <c r="N163" s="532"/>
      <c r="O163" s="532"/>
      <c r="P163" s="532"/>
      <c r="Q163" s="532"/>
      <c r="R163" s="532"/>
      <c r="S163" s="532"/>
      <c r="T163" s="535">
        <v>0</v>
      </c>
      <c r="U163" s="451"/>
      <c r="V163" s="405"/>
    </row>
    <row r="164" spans="1:22" x14ac:dyDescent="0.3">
      <c r="A164" s="418"/>
      <c r="B164" s="532" t="s">
        <v>57</v>
      </c>
      <c r="C164" s="532"/>
      <c r="D164" s="532"/>
      <c r="E164" s="532"/>
      <c r="F164" s="532"/>
      <c r="G164" s="532"/>
      <c r="H164" s="532"/>
      <c r="I164" s="532"/>
      <c r="J164" s="532"/>
      <c r="K164" s="532"/>
      <c r="L164" s="532"/>
      <c r="M164" s="532"/>
      <c r="N164" s="532"/>
      <c r="O164" s="532"/>
      <c r="P164" s="532"/>
      <c r="Q164" s="532"/>
      <c r="R164" s="532"/>
      <c r="S164" s="532"/>
      <c r="T164" s="535">
        <f>-T113</f>
        <v>52</v>
      </c>
      <c r="U164" s="451"/>
      <c r="V164" s="405"/>
    </row>
    <row r="165" spans="1:22" x14ac:dyDescent="0.3">
      <c r="A165" s="418"/>
      <c r="B165" s="532" t="s">
        <v>58</v>
      </c>
      <c r="C165" s="532"/>
      <c r="D165" s="532"/>
      <c r="E165" s="532"/>
      <c r="F165" s="532"/>
      <c r="G165" s="532"/>
      <c r="H165" s="532"/>
      <c r="I165" s="532"/>
      <c r="J165" s="532"/>
      <c r="K165" s="532"/>
      <c r="L165" s="532"/>
      <c r="M165" s="532"/>
      <c r="N165" s="532"/>
      <c r="O165" s="532"/>
      <c r="P165" s="532"/>
      <c r="Q165" s="532"/>
      <c r="R165" s="532"/>
      <c r="S165" s="532"/>
      <c r="T165" s="535">
        <f>T164+T163</f>
        <v>52</v>
      </c>
      <c r="U165" s="451"/>
      <c r="V165" s="405"/>
    </row>
    <row r="166" spans="1:22" x14ac:dyDescent="0.3">
      <c r="A166" s="418"/>
      <c r="B166" s="568" t="s">
        <v>309</v>
      </c>
      <c r="C166" s="532"/>
      <c r="D166" s="532"/>
      <c r="E166" s="532"/>
      <c r="F166" s="532"/>
      <c r="G166" s="532"/>
      <c r="H166" s="532"/>
      <c r="I166" s="532"/>
      <c r="J166" s="532"/>
      <c r="K166" s="532"/>
      <c r="L166" s="532"/>
      <c r="M166" s="532"/>
      <c r="N166" s="532"/>
      <c r="O166" s="532"/>
      <c r="P166" s="532"/>
      <c r="Q166" s="532"/>
      <c r="R166" s="532"/>
      <c r="S166" s="532"/>
      <c r="T166" s="535">
        <f>T113</f>
        <v>-52</v>
      </c>
      <c r="U166" s="451"/>
      <c r="V166" s="405"/>
    </row>
    <row r="167" spans="1:22" x14ac:dyDescent="0.3">
      <c r="A167" s="418"/>
      <c r="B167" s="532" t="s">
        <v>59</v>
      </c>
      <c r="C167" s="532"/>
      <c r="D167" s="532"/>
      <c r="E167" s="532"/>
      <c r="F167" s="532"/>
      <c r="G167" s="532"/>
      <c r="H167" s="532"/>
      <c r="I167" s="532"/>
      <c r="J167" s="532"/>
      <c r="K167" s="532"/>
      <c r="L167" s="532"/>
      <c r="M167" s="532"/>
      <c r="N167" s="532"/>
      <c r="O167" s="532"/>
      <c r="P167" s="532"/>
      <c r="Q167" s="532"/>
      <c r="R167" s="532"/>
      <c r="S167" s="532"/>
      <c r="T167" s="535">
        <f>T165+T166</f>
        <v>0</v>
      </c>
      <c r="U167" s="451"/>
      <c r="V167" s="405"/>
    </row>
    <row r="168" spans="1:22" x14ac:dyDescent="0.3">
      <c r="A168" s="418"/>
      <c r="B168" s="532" t="s">
        <v>278</v>
      </c>
      <c r="C168" s="532"/>
      <c r="D168" s="532"/>
      <c r="E168" s="532"/>
      <c r="F168" s="532"/>
      <c r="G168" s="532"/>
      <c r="H168" s="532"/>
      <c r="I168" s="532"/>
      <c r="J168" s="532"/>
      <c r="K168" s="532"/>
      <c r="L168" s="532"/>
      <c r="M168" s="532"/>
      <c r="N168" s="532"/>
      <c r="O168" s="532"/>
      <c r="P168" s="532"/>
      <c r="Q168" s="532"/>
      <c r="R168" s="532"/>
      <c r="S168" s="532"/>
      <c r="T168" s="535">
        <f>-T96</f>
        <v>16</v>
      </c>
      <c r="U168" s="451"/>
      <c r="V168" s="405"/>
    </row>
    <row r="169" spans="1:22" ht="16.2" thickBot="1" x14ac:dyDescent="0.35">
      <c r="A169" s="407"/>
      <c r="B169" s="431"/>
      <c r="C169" s="431"/>
      <c r="D169" s="431"/>
      <c r="E169" s="431"/>
      <c r="F169" s="431"/>
      <c r="G169" s="431"/>
      <c r="H169" s="431"/>
      <c r="I169" s="431"/>
      <c r="J169" s="431"/>
      <c r="K169" s="431"/>
      <c r="L169" s="431"/>
      <c r="M169" s="431"/>
      <c r="N169" s="431"/>
      <c r="O169" s="431"/>
      <c r="P169" s="431"/>
      <c r="Q169" s="431"/>
      <c r="R169" s="431"/>
      <c r="S169" s="431"/>
      <c r="T169" s="461"/>
      <c r="U169" s="444"/>
      <c r="V169" s="405"/>
    </row>
    <row r="170" spans="1:22" x14ac:dyDescent="0.3">
      <c r="A170" s="403"/>
      <c r="B170" s="404"/>
      <c r="C170" s="404"/>
      <c r="D170" s="404"/>
      <c r="E170" s="404"/>
      <c r="F170" s="404"/>
      <c r="G170" s="404"/>
      <c r="H170" s="404"/>
      <c r="I170" s="404"/>
      <c r="J170" s="404"/>
      <c r="K170" s="404"/>
      <c r="L170" s="404"/>
      <c r="M170" s="404"/>
      <c r="N170" s="404"/>
      <c r="O170" s="404"/>
      <c r="P170" s="404"/>
      <c r="Q170" s="404"/>
      <c r="R170" s="404"/>
      <c r="S170" s="404"/>
      <c r="T170" s="462"/>
      <c r="U170" s="404"/>
      <c r="V170" s="405"/>
    </row>
    <row r="171" spans="1:22" x14ac:dyDescent="0.3">
      <c r="A171" s="407"/>
      <c r="B171" s="523" t="s">
        <v>60</v>
      </c>
      <c r="C171" s="409"/>
      <c r="D171" s="409"/>
      <c r="E171" s="409"/>
      <c r="F171" s="409"/>
      <c r="G171" s="409"/>
      <c r="H171" s="409"/>
      <c r="I171" s="409"/>
      <c r="J171" s="409"/>
      <c r="K171" s="409"/>
      <c r="L171" s="409"/>
      <c r="M171" s="409"/>
      <c r="N171" s="409"/>
      <c r="O171" s="409"/>
      <c r="P171" s="409"/>
      <c r="Q171" s="409"/>
      <c r="R171" s="409"/>
      <c r="S171" s="409"/>
      <c r="T171" s="441"/>
      <c r="U171" s="409"/>
      <c r="V171" s="405"/>
    </row>
    <row r="172" spans="1:22" x14ac:dyDescent="0.3">
      <c r="A172" s="407"/>
      <c r="B172" s="458"/>
      <c r="C172" s="409"/>
      <c r="D172" s="409"/>
      <c r="E172" s="409"/>
      <c r="F172" s="409"/>
      <c r="G172" s="409"/>
      <c r="H172" s="409"/>
      <c r="I172" s="409"/>
      <c r="J172" s="409"/>
      <c r="K172" s="409"/>
      <c r="L172" s="409"/>
      <c r="M172" s="409"/>
      <c r="N172" s="409"/>
      <c r="O172" s="409"/>
      <c r="P172" s="409"/>
      <c r="Q172" s="409"/>
      <c r="R172" s="409"/>
      <c r="S172" s="409"/>
      <c r="T172" s="441"/>
      <c r="U172" s="409"/>
      <c r="V172" s="405"/>
    </row>
    <row r="173" spans="1:22" x14ac:dyDescent="0.3">
      <c r="A173" s="418"/>
      <c r="B173" s="532" t="s">
        <v>61</v>
      </c>
      <c r="C173" s="532"/>
      <c r="D173" s="532"/>
      <c r="E173" s="532"/>
      <c r="F173" s="532"/>
      <c r="G173" s="532"/>
      <c r="H173" s="532"/>
      <c r="I173" s="532"/>
      <c r="J173" s="532"/>
      <c r="K173" s="532"/>
      <c r="L173" s="532"/>
      <c r="M173" s="532"/>
      <c r="N173" s="532"/>
      <c r="O173" s="532"/>
      <c r="P173" s="532"/>
      <c r="Q173" s="532"/>
      <c r="R173" s="532"/>
      <c r="S173" s="532"/>
      <c r="T173" s="535">
        <f>T68</f>
        <v>221165</v>
      </c>
      <c r="U173" s="451"/>
      <c r="V173" s="405"/>
    </row>
    <row r="174" spans="1:22" x14ac:dyDescent="0.3">
      <c r="A174" s="418"/>
      <c r="B174" s="532" t="s">
        <v>62</v>
      </c>
      <c r="C174" s="532"/>
      <c r="D174" s="532"/>
      <c r="E174" s="532"/>
      <c r="F174" s="532"/>
      <c r="G174" s="532"/>
      <c r="H174" s="532"/>
      <c r="I174" s="532"/>
      <c r="J174" s="532"/>
      <c r="K174" s="532"/>
      <c r="L174" s="532"/>
      <c r="M174" s="532"/>
      <c r="N174" s="532"/>
      <c r="O174" s="532"/>
      <c r="P174" s="532"/>
      <c r="Q174" s="532"/>
      <c r="R174" s="532"/>
      <c r="S174" s="532"/>
      <c r="T174" s="535">
        <f>T81</f>
        <v>221165</v>
      </c>
      <c r="U174" s="451"/>
      <c r="V174" s="405"/>
    </row>
    <row r="175" spans="1:22" ht="16.2" thickBot="1" x14ac:dyDescent="0.35">
      <c r="A175" s="407"/>
      <c r="B175" s="444"/>
      <c r="C175" s="444"/>
      <c r="D175" s="444"/>
      <c r="E175" s="444"/>
      <c r="F175" s="444"/>
      <c r="G175" s="444"/>
      <c r="H175" s="444"/>
      <c r="I175" s="444"/>
      <c r="J175" s="444"/>
      <c r="K175" s="444"/>
      <c r="L175" s="444"/>
      <c r="M175" s="444"/>
      <c r="N175" s="444"/>
      <c r="O175" s="444"/>
      <c r="P175" s="444"/>
      <c r="Q175" s="444"/>
      <c r="R175" s="444"/>
      <c r="S175" s="444"/>
      <c r="T175" s="459"/>
      <c r="U175" s="444"/>
      <c r="V175" s="405"/>
    </row>
    <row r="176" spans="1:22" x14ac:dyDescent="0.3">
      <c r="A176" s="403"/>
      <c r="B176" s="404"/>
      <c r="C176" s="404"/>
      <c r="D176" s="404"/>
      <c r="E176" s="404"/>
      <c r="F176" s="404"/>
      <c r="G176" s="404"/>
      <c r="H176" s="404"/>
      <c r="I176" s="404"/>
      <c r="J176" s="404"/>
      <c r="K176" s="404"/>
      <c r="L176" s="404"/>
      <c r="M176" s="404"/>
      <c r="N176" s="404"/>
      <c r="O176" s="404"/>
      <c r="P176" s="404"/>
      <c r="Q176" s="404"/>
      <c r="R176" s="404"/>
      <c r="S176" s="404"/>
      <c r="T176" s="462"/>
      <c r="U176" s="404"/>
      <c r="V176" s="405"/>
    </row>
    <row r="177" spans="1:22" s="529" customFormat="1" x14ac:dyDescent="0.3">
      <c r="A177" s="524"/>
      <c r="B177" s="523" t="s">
        <v>63</v>
      </c>
      <c r="C177" s="525"/>
      <c r="D177" s="525"/>
      <c r="E177" s="525"/>
      <c r="F177" s="525"/>
      <c r="G177" s="525"/>
      <c r="H177" s="526"/>
      <c r="I177" s="526"/>
      <c r="J177" s="526"/>
      <c r="K177" s="526"/>
      <c r="L177" s="526"/>
      <c r="M177" s="526"/>
      <c r="N177" s="526"/>
      <c r="O177" s="526"/>
      <c r="P177" s="526"/>
      <c r="Q177" s="526" t="s">
        <v>107</v>
      </c>
      <c r="R177" s="526" t="s">
        <v>234</v>
      </c>
      <c r="S177" s="411"/>
      <c r="T177" s="527" t="s">
        <v>123</v>
      </c>
      <c r="U177" s="411"/>
      <c r="V177" s="528"/>
    </row>
    <row r="178" spans="1:22" x14ac:dyDescent="0.3">
      <c r="A178" s="418"/>
      <c r="B178" s="532" t="s">
        <v>64</v>
      </c>
      <c r="C178" s="532"/>
      <c r="D178" s="532"/>
      <c r="E178" s="532"/>
      <c r="F178" s="532"/>
      <c r="G178" s="532"/>
      <c r="H178" s="532"/>
      <c r="I178" s="532"/>
      <c r="J178" s="532"/>
      <c r="K178" s="532"/>
      <c r="L178" s="532"/>
      <c r="M178" s="532"/>
      <c r="N178" s="532"/>
      <c r="O178" s="532"/>
      <c r="P178" s="532"/>
      <c r="Q178" s="535">
        <v>112000</v>
      </c>
      <c r="R178" s="550"/>
      <c r="S178" s="532"/>
      <c r="T178" s="535"/>
      <c r="U178" s="420"/>
      <c r="V178" s="405"/>
    </row>
    <row r="179" spans="1:22" x14ac:dyDescent="0.3">
      <c r="A179" s="418"/>
      <c r="B179" s="532" t="s">
        <v>65</v>
      </c>
      <c r="C179" s="532"/>
      <c r="D179" s="532"/>
      <c r="E179" s="532"/>
      <c r="F179" s="532"/>
      <c r="G179" s="532"/>
      <c r="H179" s="532"/>
      <c r="I179" s="532"/>
      <c r="J179" s="532"/>
      <c r="K179" s="532"/>
      <c r="L179" s="532"/>
      <c r="M179" s="532"/>
      <c r="N179" s="532"/>
      <c r="O179" s="532"/>
      <c r="P179" s="532"/>
      <c r="Q179" s="535">
        <f>+'April 18'!Q181</f>
        <v>50070</v>
      </c>
      <c r="R179" s="535">
        <f>+'April 18'!R181</f>
        <v>2435</v>
      </c>
      <c r="S179" s="532"/>
      <c r="T179" s="535">
        <f>Q179+R179</f>
        <v>52505</v>
      </c>
      <c r="U179" s="420"/>
      <c r="V179" s="405"/>
    </row>
    <row r="180" spans="1:22" x14ac:dyDescent="0.3">
      <c r="A180" s="418"/>
      <c r="B180" s="532" t="s">
        <v>66</v>
      </c>
      <c r="C180" s="532"/>
      <c r="D180" s="532"/>
      <c r="E180" s="532"/>
      <c r="F180" s="532"/>
      <c r="G180" s="532"/>
      <c r="H180" s="532"/>
      <c r="I180" s="532"/>
      <c r="J180" s="532"/>
      <c r="K180" s="532"/>
      <c r="L180" s="532"/>
      <c r="M180" s="532"/>
      <c r="N180" s="532"/>
      <c r="O180" s="532"/>
      <c r="P180" s="532"/>
      <c r="Q180" s="531">
        <v>321</v>
      </c>
      <c r="R180" s="531">
        <v>0</v>
      </c>
      <c r="S180" s="532"/>
      <c r="T180" s="535">
        <f>Q180+R180</f>
        <v>321</v>
      </c>
      <c r="U180" s="420"/>
      <c r="V180" s="405"/>
    </row>
    <row r="181" spans="1:22" x14ac:dyDescent="0.3">
      <c r="A181" s="418"/>
      <c r="B181" s="532" t="s">
        <v>67</v>
      </c>
      <c r="C181" s="532"/>
      <c r="D181" s="532"/>
      <c r="E181" s="532"/>
      <c r="F181" s="532"/>
      <c r="G181" s="532"/>
      <c r="H181" s="532"/>
      <c r="I181" s="532"/>
      <c r="J181" s="532"/>
      <c r="K181" s="532"/>
      <c r="L181" s="532"/>
      <c r="M181" s="532"/>
      <c r="N181" s="532"/>
      <c r="O181" s="532"/>
      <c r="P181" s="532"/>
      <c r="Q181" s="535">
        <f>Q179+Q180</f>
        <v>50391</v>
      </c>
      <c r="R181" s="535">
        <f>R180+R179</f>
        <v>2435</v>
      </c>
      <c r="S181" s="532"/>
      <c r="T181" s="535">
        <f>Q181+R181</f>
        <v>52826</v>
      </c>
      <c r="U181" s="420"/>
      <c r="V181" s="405"/>
    </row>
    <row r="182" spans="1:22" x14ac:dyDescent="0.3">
      <c r="A182" s="418"/>
      <c r="B182" s="532" t="s">
        <v>68</v>
      </c>
      <c r="C182" s="532"/>
      <c r="D182" s="532"/>
      <c r="E182" s="532"/>
      <c r="F182" s="532"/>
      <c r="G182" s="532"/>
      <c r="H182" s="532"/>
      <c r="I182" s="532"/>
      <c r="J182" s="532"/>
      <c r="K182" s="532"/>
      <c r="L182" s="532"/>
      <c r="M182" s="532"/>
      <c r="N182" s="532"/>
      <c r="O182" s="532"/>
      <c r="P182" s="532"/>
      <c r="Q182" s="535">
        <f>Q178-Q181-R181</f>
        <v>59174</v>
      </c>
      <c r="R182" s="550"/>
      <c r="S182" s="532"/>
      <c r="T182" s="535"/>
      <c r="U182" s="420"/>
      <c r="V182" s="405"/>
    </row>
    <row r="183" spans="1:22" ht="16.2" thickBot="1" x14ac:dyDescent="0.35">
      <c r="A183" s="407"/>
      <c r="B183" s="444"/>
      <c r="C183" s="444"/>
      <c r="D183" s="444"/>
      <c r="E183" s="444"/>
      <c r="F183" s="444"/>
      <c r="G183" s="444"/>
      <c r="H183" s="444"/>
      <c r="I183" s="444"/>
      <c r="J183" s="444"/>
      <c r="K183" s="444"/>
      <c r="L183" s="444"/>
      <c r="M183" s="444"/>
      <c r="N183" s="444"/>
      <c r="O183" s="444"/>
      <c r="P183" s="444"/>
      <c r="Q183" s="444"/>
      <c r="R183" s="444"/>
      <c r="S183" s="444"/>
      <c r="T183" s="459"/>
      <c r="U183" s="444"/>
      <c r="V183" s="405"/>
    </row>
    <row r="184" spans="1:22" x14ac:dyDescent="0.3">
      <c r="A184" s="403"/>
      <c r="B184" s="404"/>
      <c r="C184" s="404"/>
      <c r="D184" s="404"/>
      <c r="E184" s="404"/>
      <c r="F184" s="404"/>
      <c r="G184" s="404"/>
      <c r="H184" s="404"/>
      <c r="I184" s="404"/>
      <c r="J184" s="404"/>
      <c r="K184" s="404"/>
      <c r="L184" s="404"/>
      <c r="M184" s="404"/>
      <c r="N184" s="404"/>
      <c r="O184" s="404"/>
      <c r="P184" s="404"/>
      <c r="Q184" s="404"/>
      <c r="R184" s="404"/>
      <c r="S184" s="404"/>
      <c r="T184" s="462"/>
      <c r="U184" s="404"/>
      <c r="V184" s="405"/>
    </row>
    <row r="185" spans="1:22" x14ac:dyDescent="0.3">
      <c r="A185" s="407"/>
      <c r="B185" s="523" t="s">
        <v>69</v>
      </c>
      <c r="C185" s="409"/>
      <c r="D185" s="409"/>
      <c r="E185" s="409"/>
      <c r="F185" s="409"/>
      <c r="G185" s="409"/>
      <c r="H185" s="409"/>
      <c r="I185" s="409"/>
      <c r="J185" s="409"/>
      <c r="K185" s="409"/>
      <c r="L185" s="409"/>
      <c r="M185" s="409"/>
      <c r="N185" s="409"/>
      <c r="O185" s="409"/>
      <c r="P185" s="409"/>
      <c r="Q185" s="409"/>
      <c r="R185" s="409"/>
      <c r="S185" s="409"/>
      <c r="T185" s="463"/>
      <c r="U185" s="409"/>
      <c r="V185" s="405"/>
    </row>
    <row r="186" spans="1:22" x14ac:dyDescent="0.3">
      <c r="A186" s="418"/>
      <c r="B186" s="532" t="s">
        <v>70</v>
      </c>
      <c r="C186" s="532"/>
      <c r="D186" s="532"/>
      <c r="E186" s="532"/>
      <c r="F186" s="532"/>
      <c r="G186" s="532"/>
      <c r="H186" s="532"/>
      <c r="I186" s="532"/>
      <c r="J186" s="532"/>
      <c r="K186" s="532"/>
      <c r="L186" s="532"/>
      <c r="M186" s="532"/>
      <c r="N186" s="532"/>
      <c r="O186" s="532"/>
      <c r="P186" s="532"/>
      <c r="Q186" s="532"/>
      <c r="R186" s="532"/>
      <c r="S186" s="532"/>
      <c r="T186" s="561">
        <f>(T97+T99+T100+T101+T102+T103)/-(T104+T105+T106)</f>
        <v>2.977728285077951</v>
      </c>
      <c r="U186" s="562" t="s">
        <v>124</v>
      </c>
      <c r="V186" s="405"/>
    </row>
    <row r="187" spans="1:22" x14ac:dyDescent="0.3">
      <c r="A187" s="418"/>
      <c r="B187" s="532" t="s">
        <v>71</v>
      </c>
      <c r="C187" s="532"/>
      <c r="D187" s="532"/>
      <c r="E187" s="532"/>
      <c r="F187" s="532"/>
      <c r="G187" s="532"/>
      <c r="H187" s="532"/>
      <c r="I187" s="532"/>
      <c r="J187" s="532"/>
      <c r="K187" s="532"/>
      <c r="L187" s="532"/>
      <c r="M187" s="532"/>
      <c r="N187" s="532"/>
      <c r="O187" s="532"/>
      <c r="P187" s="532"/>
      <c r="Q187" s="532"/>
      <c r="R187" s="532"/>
      <c r="S187" s="532"/>
      <c r="T187" s="563">
        <v>1.72</v>
      </c>
      <c r="U187" s="562" t="s">
        <v>124</v>
      </c>
      <c r="V187" s="405"/>
    </row>
    <row r="188" spans="1:22" x14ac:dyDescent="0.3">
      <c r="A188" s="418"/>
      <c r="B188" s="532" t="s">
        <v>72</v>
      </c>
      <c r="C188" s="532"/>
      <c r="D188" s="532"/>
      <c r="E188" s="532"/>
      <c r="F188" s="532"/>
      <c r="G188" s="532"/>
      <c r="H188" s="532"/>
      <c r="I188" s="532"/>
      <c r="J188" s="532"/>
      <c r="K188" s="532"/>
      <c r="L188" s="532"/>
      <c r="M188" s="532"/>
      <c r="N188" s="532"/>
      <c r="O188" s="532"/>
      <c r="P188" s="532"/>
      <c r="Q188" s="532"/>
      <c r="R188" s="532"/>
      <c r="S188" s="532"/>
      <c r="T188" s="561">
        <f>(T97+T99+T100+T101+T102+T103+T104+T105+T106)/-(T107+T108)</f>
        <v>15.857142857142858</v>
      </c>
      <c r="U188" s="562" t="s">
        <v>124</v>
      </c>
      <c r="V188" s="405"/>
    </row>
    <row r="189" spans="1:22" x14ac:dyDescent="0.3">
      <c r="A189" s="418"/>
      <c r="B189" s="532" t="s">
        <v>73</v>
      </c>
      <c r="C189" s="532"/>
      <c r="D189" s="532"/>
      <c r="E189" s="532"/>
      <c r="F189" s="532"/>
      <c r="G189" s="532"/>
      <c r="H189" s="532"/>
      <c r="I189" s="532"/>
      <c r="J189" s="532"/>
      <c r="K189" s="532"/>
      <c r="L189" s="532"/>
      <c r="M189" s="532"/>
      <c r="N189" s="532"/>
      <c r="O189" s="532"/>
      <c r="P189" s="532"/>
      <c r="Q189" s="532"/>
      <c r="R189" s="532"/>
      <c r="S189" s="532"/>
      <c r="T189" s="564">
        <v>9.86</v>
      </c>
      <c r="U189" s="562" t="s">
        <v>124</v>
      </c>
      <c r="V189" s="405"/>
    </row>
    <row r="190" spans="1:22" x14ac:dyDescent="0.3">
      <c r="A190" s="418"/>
      <c r="B190" s="532" t="s">
        <v>243</v>
      </c>
      <c r="C190" s="532"/>
      <c r="D190" s="532"/>
      <c r="E190" s="532"/>
      <c r="F190" s="532"/>
      <c r="G190" s="532"/>
      <c r="H190" s="532"/>
      <c r="I190" s="532"/>
      <c r="J190" s="532"/>
      <c r="K190" s="532"/>
      <c r="L190" s="532"/>
      <c r="M190" s="532"/>
      <c r="N190" s="532"/>
      <c r="O190" s="532"/>
      <c r="P190" s="532"/>
      <c r="Q190" s="532"/>
      <c r="R190" s="532"/>
      <c r="S190" s="532"/>
      <c r="T190" s="561">
        <f>(T97+T99+T100+T101+T102+T103+T104+T105+T106+T107+T108)/-(T109+T110)</f>
        <v>6.0289855072463769</v>
      </c>
      <c r="U190" s="562" t="s">
        <v>124</v>
      </c>
      <c r="V190" s="405"/>
    </row>
    <row r="191" spans="1:22" x14ac:dyDescent="0.3">
      <c r="A191" s="418"/>
      <c r="B191" s="532" t="s">
        <v>244</v>
      </c>
      <c r="C191" s="532"/>
      <c r="D191" s="532"/>
      <c r="E191" s="532"/>
      <c r="F191" s="532"/>
      <c r="G191" s="532"/>
      <c r="H191" s="532"/>
      <c r="I191" s="532"/>
      <c r="J191" s="532"/>
      <c r="K191" s="532"/>
      <c r="L191" s="532"/>
      <c r="M191" s="532"/>
      <c r="N191" s="532"/>
      <c r="O191" s="532"/>
      <c r="P191" s="532"/>
      <c r="Q191" s="532"/>
      <c r="R191" s="532"/>
      <c r="S191" s="532"/>
      <c r="T191" s="564">
        <v>4.3499999999999996</v>
      </c>
      <c r="U191" s="562" t="s">
        <v>124</v>
      </c>
      <c r="V191" s="405"/>
    </row>
    <row r="192" spans="1:22" x14ac:dyDescent="0.3">
      <c r="A192" s="418"/>
      <c r="B192" s="532"/>
      <c r="C192" s="532"/>
      <c r="D192" s="532"/>
      <c r="E192" s="532"/>
      <c r="F192" s="532"/>
      <c r="G192" s="532"/>
      <c r="H192" s="532"/>
      <c r="I192" s="532"/>
      <c r="J192" s="532"/>
      <c r="K192" s="532"/>
      <c r="L192" s="532"/>
      <c r="M192" s="532"/>
      <c r="N192" s="532"/>
      <c r="O192" s="532"/>
      <c r="P192" s="532"/>
      <c r="Q192" s="532"/>
      <c r="R192" s="532"/>
      <c r="S192" s="532"/>
      <c r="T192" s="532"/>
      <c r="U192" s="562"/>
      <c r="V192" s="405"/>
    </row>
    <row r="193" spans="1:22" x14ac:dyDescent="0.3">
      <c r="A193" s="407"/>
      <c r="B193" s="539"/>
      <c r="C193" s="539"/>
      <c r="D193" s="539"/>
      <c r="E193" s="539"/>
      <c r="F193" s="539"/>
      <c r="G193" s="539"/>
      <c r="H193" s="539"/>
      <c r="I193" s="539"/>
      <c r="J193" s="539"/>
      <c r="K193" s="539"/>
      <c r="L193" s="539"/>
      <c r="M193" s="539"/>
      <c r="N193" s="539"/>
      <c r="O193" s="539"/>
      <c r="P193" s="539"/>
      <c r="Q193" s="539"/>
      <c r="R193" s="539"/>
      <c r="S193" s="539"/>
      <c r="T193" s="539"/>
      <c r="U193" s="539"/>
      <c r="V193" s="405"/>
    </row>
    <row r="194" spans="1:22" x14ac:dyDescent="0.3">
      <c r="A194" s="407"/>
      <c r="B194" s="542"/>
      <c r="C194" s="542"/>
      <c r="D194" s="542"/>
      <c r="E194" s="542"/>
      <c r="F194" s="542"/>
      <c r="G194" s="542"/>
      <c r="H194" s="542"/>
      <c r="I194" s="542"/>
      <c r="J194" s="542"/>
      <c r="K194" s="542"/>
      <c r="L194" s="542"/>
      <c r="M194" s="542"/>
      <c r="N194" s="542"/>
      <c r="O194" s="542"/>
      <c r="P194" s="542"/>
      <c r="Q194" s="542"/>
      <c r="R194" s="542"/>
      <c r="S194" s="542"/>
      <c r="T194" s="542"/>
      <c r="U194" s="542"/>
      <c r="V194" s="405"/>
    </row>
    <row r="195" spans="1:22" ht="18.600000000000001" thickBot="1" x14ac:dyDescent="0.4">
      <c r="A195" s="464"/>
      <c r="B195" s="565" t="str">
        <f>B134</f>
        <v>PM9 INVESTOR REPORT QUARTER ENDING JULY 2018</v>
      </c>
      <c r="C195" s="566"/>
      <c r="D195" s="566"/>
      <c r="E195" s="566"/>
      <c r="F195" s="566"/>
      <c r="G195" s="566"/>
      <c r="H195" s="566"/>
      <c r="I195" s="566"/>
      <c r="J195" s="566"/>
      <c r="K195" s="566"/>
      <c r="L195" s="566"/>
      <c r="M195" s="566"/>
      <c r="N195" s="566"/>
      <c r="O195" s="566"/>
      <c r="P195" s="566"/>
      <c r="Q195" s="566"/>
      <c r="R195" s="566"/>
      <c r="S195" s="566"/>
      <c r="T195" s="566"/>
      <c r="U195" s="567"/>
      <c r="V195" s="405"/>
    </row>
    <row r="196" spans="1:22" x14ac:dyDescent="0.3">
      <c r="A196" s="507"/>
      <c r="B196" s="508" t="s">
        <v>74</v>
      </c>
      <c r="C196" s="511"/>
      <c r="D196" s="511"/>
      <c r="E196" s="511"/>
      <c r="F196" s="511"/>
      <c r="G196" s="512"/>
      <c r="H196" s="512"/>
      <c r="I196" s="512"/>
      <c r="J196" s="512"/>
      <c r="K196" s="512"/>
      <c r="L196" s="512"/>
      <c r="M196" s="512"/>
      <c r="N196" s="512"/>
      <c r="O196" s="512"/>
      <c r="P196" s="512"/>
      <c r="Q196" s="512"/>
      <c r="R196" s="512">
        <v>43312</v>
      </c>
      <c r="S196" s="509"/>
      <c r="T196" s="509"/>
      <c r="U196" s="509"/>
      <c r="V196" s="405"/>
    </row>
    <row r="197" spans="1:22" x14ac:dyDescent="0.3">
      <c r="A197" s="465"/>
      <c r="B197" s="466"/>
      <c r="C197" s="467"/>
      <c r="D197" s="467"/>
      <c r="E197" s="467"/>
      <c r="F197" s="467"/>
      <c r="G197" s="468"/>
      <c r="H197" s="468"/>
      <c r="I197" s="468"/>
      <c r="J197" s="468"/>
      <c r="K197" s="468"/>
      <c r="L197" s="468"/>
      <c r="M197" s="468"/>
      <c r="N197" s="468"/>
      <c r="O197" s="468"/>
      <c r="P197" s="468"/>
      <c r="Q197" s="468"/>
      <c r="R197" s="468"/>
      <c r="S197" s="409"/>
      <c r="T197" s="409"/>
      <c r="U197" s="409"/>
      <c r="V197" s="405"/>
    </row>
    <row r="198" spans="1:22" x14ac:dyDescent="0.3">
      <c r="A198" s="469"/>
      <c r="B198" s="532" t="s">
        <v>75</v>
      </c>
      <c r="C198" s="556"/>
      <c r="D198" s="556"/>
      <c r="E198" s="556"/>
      <c r="F198" s="556"/>
      <c r="G198" s="557"/>
      <c r="H198" s="557"/>
      <c r="I198" s="557"/>
      <c r="J198" s="557"/>
      <c r="K198" s="557"/>
      <c r="L198" s="557"/>
      <c r="M198" s="557"/>
      <c r="N198" s="557"/>
      <c r="O198" s="557"/>
      <c r="P198" s="557"/>
      <c r="Q198" s="557"/>
      <c r="R198" s="558">
        <v>5.8209999999999998E-2</v>
      </c>
      <c r="S198" s="532"/>
      <c r="T198" s="419"/>
      <c r="U198" s="451"/>
      <c r="V198" s="405"/>
    </row>
    <row r="199" spans="1:22" x14ac:dyDescent="0.3">
      <c r="A199" s="469"/>
      <c r="B199" s="532" t="s">
        <v>164</v>
      </c>
      <c r="C199" s="556"/>
      <c r="D199" s="556"/>
      <c r="E199" s="556"/>
      <c r="F199" s="556"/>
      <c r="G199" s="557"/>
      <c r="H199" s="557"/>
      <c r="I199" s="557"/>
      <c r="J199" s="557"/>
      <c r="K199" s="557"/>
      <c r="L199" s="557"/>
      <c r="M199" s="557"/>
      <c r="N199" s="557"/>
      <c r="O199" s="557"/>
      <c r="P199" s="557"/>
      <c r="Q199" s="557"/>
      <c r="R199" s="558">
        <f>'Oct 05'!R193</f>
        <v>4.8438496428571419E-2</v>
      </c>
      <c r="S199" s="532"/>
      <c r="T199" s="419"/>
      <c r="U199" s="451"/>
      <c r="V199" s="405"/>
    </row>
    <row r="200" spans="1:22" x14ac:dyDescent="0.3">
      <c r="A200" s="469"/>
      <c r="B200" s="532" t="s">
        <v>76</v>
      </c>
      <c r="C200" s="556"/>
      <c r="D200" s="556"/>
      <c r="E200" s="556"/>
      <c r="F200" s="556"/>
      <c r="G200" s="557"/>
      <c r="H200" s="557"/>
      <c r="I200" s="557"/>
      <c r="J200" s="557"/>
      <c r="K200" s="557"/>
      <c r="L200" s="557"/>
      <c r="M200" s="557"/>
      <c r="N200" s="557"/>
      <c r="O200" s="557"/>
      <c r="P200" s="557"/>
      <c r="Q200" s="557"/>
      <c r="R200" s="558">
        <f>R198-R199</f>
        <v>9.7715035714285789E-3</v>
      </c>
      <c r="S200" s="532"/>
      <c r="T200" s="419"/>
      <c r="U200" s="451"/>
      <c r="V200" s="405"/>
    </row>
    <row r="201" spans="1:22" x14ac:dyDescent="0.3">
      <c r="A201" s="469"/>
      <c r="B201" s="532" t="s">
        <v>77</v>
      </c>
      <c r="C201" s="556"/>
      <c r="D201" s="556"/>
      <c r="E201" s="556"/>
      <c r="F201" s="556"/>
      <c r="G201" s="557"/>
      <c r="H201" s="557"/>
      <c r="I201" s="557"/>
      <c r="J201" s="557"/>
      <c r="K201" s="557"/>
      <c r="L201" s="557"/>
      <c r="M201" s="557"/>
      <c r="N201" s="557"/>
      <c r="O201" s="557"/>
      <c r="P201" s="557"/>
      <c r="Q201" s="557"/>
      <c r="R201" s="558">
        <v>2.4389999999999998E-2</v>
      </c>
      <c r="S201" s="532"/>
      <c r="T201" s="419"/>
      <c r="U201" s="451"/>
      <c r="V201" s="405"/>
    </row>
    <row r="202" spans="1:22" x14ac:dyDescent="0.3">
      <c r="A202" s="469"/>
      <c r="B202" s="532" t="s">
        <v>257</v>
      </c>
      <c r="C202" s="556"/>
      <c r="D202" s="556"/>
      <c r="E202" s="556"/>
      <c r="F202" s="556"/>
      <c r="G202" s="557"/>
      <c r="H202" s="557"/>
      <c r="I202" s="557"/>
      <c r="J202" s="557"/>
      <c r="K202" s="557"/>
      <c r="L202" s="557"/>
      <c r="M202" s="557"/>
      <c r="N202" s="557"/>
      <c r="O202" s="557"/>
      <c r="P202" s="557"/>
      <c r="Q202" s="557"/>
      <c r="R202" s="558">
        <f>+T41</f>
        <v>1.1342190048466119E-2</v>
      </c>
      <c r="S202" s="532"/>
      <c r="T202" s="419"/>
      <c r="U202" s="451"/>
      <c r="V202" s="405"/>
    </row>
    <row r="203" spans="1:22" x14ac:dyDescent="0.3">
      <c r="A203" s="469"/>
      <c r="B203" s="532" t="s">
        <v>78</v>
      </c>
      <c r="C203" s="556"/>
      <c r="D203" s="556"/>
      <c r="E203" s="556"/>
      <c r="F203" s="556"/>
      <c r="G203" s="557"/>
      <c r="H203" s="557"/>
      <c r="I203" s="557"/>
      <c r="J203" s="557"/>
      <c r="K203" s="557"/>
      <c r="L203" s="557"/>
      <c r="M203" s="557"/>
      <c r="N203" s="557"/>
      <c r="O203" s="557"/>
      <c r="P203" s="557"/>
      <c r="Q203" s="557"/>
      <c r="R203" s="558">
        <f>R201-R202</f>
        <v>1.304780995153388E-2</v>
      </c>
      <c r="S203" s="532"/>
      <c r="T203" s="419"/>
      <c r="U203" s="451"/>
      <c r="V203" s="405"/>
    </row>
    <row r="204" spans="1:22" x14ac:dyDescent="0.3">
      <c r="A204" s="469"/>
      <c r="B204" s="532" t="s">
        <v>268</v>
      </c>
      <c r="C204" s="556"/>
      <c r="D204" s="556"/>
      <c r="E204" s="556"/>
      <c r="F204" s="556"/>
      <c r="G204" s="557"/>
      <c r="H204" s="557"/>
      <c r="I204" s="557"/>
      <c r="J204" s="557"/>
      <c r="K204" s="557"/>
      <c r="L204" s="557"/>
      <c r="M204" s="557"/>
      <c r="N204" s="557"/>
      <c r="O204" s="557"/>
      <c r="P204" s="557"/>
      <c r="Q204" s="557"/>
      <c r="R204" s="558">
        <f>+T97/L68</f>
        <v>6.4815185526239695E-3</v>
      </c>
      <c r="S204" s="532"/>
      <c r="T204" s="419"/>
      <c r="U204" s="451"/>
      <c r="V204" s="405"/>
    </row>
    <row r="205" spans="1:22" x14ac:dyDescent="0.3">
      <c r="A205" s="469"/>
      <c r="B205" s="532" t="s">
        <v>249</v>
      </c>
      <c r="C205" s="556"/>
      <c r="D205" s="556"/>
      <c r="E205" s="556"/>
      <c r="F205" s="556"/>
      <c r="G205" s="557"/>
      <c r="H205" s="557"/>
      <c r="I205" s="557"/>
      <c r="J205" s="557"/>
      <c r="K205" s="557"/>
      <c r="L205" s="557"/>
      <c r="M205" s="557"/>
      <c r="N205" s="557"/>
      <c r="O205" s="557"/>
      <c r="P205" s="557"/>
      <c r="Q205" s="557"/>
      <c r="R205" s="559">
        <v>51622</v>
      </c>
      <c r="S205" s="532"/>
      <c r="T205" s="419"/>
      <c r="U205" s="451"/>
      <c r="V205" s="405"/>
    </row>
    <row r="206" spans="1:22" x14ac:dyDescent="0.3">
      <c r="A206" s="469"/>
      <c r="B206" s="532" t="s">
        <v>250</v>
      </c>
      <c r="C206" s="556"/>
      <c r="D206" s="556"/>
      <c r="E206" s="556"/>
      <c r="F206" s="556"/>
      <c r="G206" s="557"/>
      <c r="H206" s="557"/>
      <c r="I206" s="557"/>
      <c r="J206" s="557"/>
      <c r="K206" s="557"/>
      <c r="L206" s="557"/>
      <c r="M206" s="557"/>
      <c r="N206" s="557"/>
      <c r="O206" s="557"/>
      <c r="P206" s="557"/>
      <c r="Q206" s="557"/>
      <c r="R206" s="559">
        <v>51622</v>
      </c>
      <c r="S206" s="532"/>
      <c r="T206" s="419"/>
      <c r="U206" s="451"/>
      <c r="V206" s="405"/>
    </row>
    <row r="207" spans="1:22" x14ac:dyDescent="0.3">
      <c r="A207" s="469"/>
      <c r="B207" s="532" t="s">
        <v>251</v>
      </c>
      <c r="C207" s="556"/>
      <c r="D207" s="556"/>
      <c r="E207" s="556"/>
      <c r="F207" s="556"/>
      <c r="G207" s="557"/>
      <c r="H207" s="557"/>
      <c r="I207" s="557"/>
      <c r="J207" s="557"/>
      <c r="K207" s="557"/>
      <c r="L207" s="557"/>
      <c r="M207" s="557"/>
      <c r="N207" s="557"/>
      <c r="O207" s="557"/>
      <c r="P207" s="557"/>
      <c r="Q207" s="557"/>
      <c r="R207" s="559">
        <v>51622</v>
      </c>
      <c r="S207" s="532"/>
      <c r="T207" s="419"/>
      <c r="U207" s="451"/>
      <c r="V207" s="405"/>
    </row>
    <row r="208" spans="1:22" x14ac:dyDescent="0.3">
      <c r="A208" s="469"/>
      <c r="B208" s="532" t="s">
        <v>79</v>
      </c>
      <c r="C208" s="556"/>
      <c r="D208" s="556"/>
      <c r="E208" s="556"/>
      <c r="F208" s="556"/>
      <c r="G208" s="557"/>
      <c r="H208" s="557"/>
      <c r="I208" s="557"/>
      <c r="J208" s="557"/>
      <c r="K208" s="557"/>
      <c r="L208" s="557"/>
      <c r="M208" s="557"/>
      <c r="N208" s="557"/>
      <c r="O208" s="557"/>
      <c r="P208" s="557"/>
      <c r="Q208" s="557"/>
      <c r="R208" s="560">
        <v>20.95</v>
      </c>
      <c r="S208" s="532" t="s">
        <v>119</v>
      </c>
      <c r="T208" s="419"/>
      <c r="U208" s="451"/>
      <c r="V208" s="405"/>
    </row>
    <row r="209" spans="1:22" x14ac:dyDescent="0.3">
      <c r="A209" s="469"/>
      <c r="B209" s="532" t="s">
        <v>80</v>
      </c>
      <c r="C209" s="556"/>
      <c r="D209" s="556"/>
      <c r="E209" s="556"/>
      <c r="F209" s="556"/>
      <c r="G209" s="557"/>
      <c r="H209" s="557"/>
      <c r="I209" s="557"/>
      <c r="J209" s="557"/>
      <c r="K209" s="557"/>
      <c r="L209" s="557"/>
      <c r="M209" s="557"/>
      <c r="N209" s="557"/>
      <c r="O209" s="557"/>
      <c r="P209" s="557"/>
      <c r="Q209" s="557"/>
      <c r="R209" s="560">
        <v>9.24</v>
      </c>
      <c r="S209" s="532" t="s">
        <v>119</v>
      </c>
      <c r="T209" s="419"/>
      <c r="U209" s="451"/>
      <c r="V209" s="405"/>
    </row>
    <row r="210" spans="1:22" x14ac:dyDescent="0.3">
      <c r="A210" s="469"/>
      <c r="B210" s="532" t="s">
        <v>81</v>
      </c>
      <c r="C210" s="556"/>
      <c r="D210" s="556"/>
      <c r="E210" s="556"/>
      <c r="F210" s="556"/>
      <c r="G210" s="557"/>
      <c r="H210" s="557"/>
      <c r="I210" s="557"/>
      <c r="J210" s="557"/>
      <c r="K210" s="557"/>
      <c r="L210" s="557"/>
      <c r="M210" s="557"/>
      <c r="N210" s="557"/>
      <c r="O210" s="557"/>
      <c r="P210" s="557"/>
      <c r="Q210" s="557"/>
      <c r="R210" s="558">
        <f>N65/L65</f>
        <v>1.7567273002273204E-2</v>
      </c>
      <c r="S210" s="532"/>
      <c r="T210" s="419"/>
      <c r="U210" s="451"/>
      <c r="V210" s="405"/>
    </row>
    <row r="211" spans="1:22" x14ac:dyDescent="0.3">
      <c r="A211" s="469"/>
      <c r="B211" s="532" t="s">
        <v>82</v>
      </c>
      <c r="C211" s="556"/>
      <c r="D211" s="556"/>
      <c r="E211" s="556"/>
      <c r="F211" s="556"/>
      <c r="G211" s="557"/>
      <c r="H211" s="557"/>
      <c r="I211" s="557"/>
      <c r="J211" s="557"/>
      <c r="K211" s="557"/>
      <c r="L211" s="557"/>
      <c r="M211" s="557"/>
      <c r="N211" s="557"/>
      <c r="O211" s="557"/>
      <c r="P211" s="557"/>
      <c r="Q211" s="557"/>
      <c r="R211" s="558">
        <v>9.2200000000000004E-2</v>
      </c>
      <c r="S211" s="532"/>
      <c r="T211" s="419"/>
      <c r="U211" s="451"/>
      <c r="V211" s="405"/>
    </row>
    <row r="212" spans="1:22" x14ac:dyDescent="0.3">
      <c r="A212" s="465"/>
      <c r="B212" s="431"/>
      <c r="C212" s="431"/>
      <c r="D212" s="431"/>
      <c r="E212" s="431"/>
      <c r="F212" s="431"/>
      <c r="G212" s="431"/>
      <c r="H212" s="431"/>
      <c r="I212" s="431"/>
      <c r="J212" s="431"/>
      <c r="K212" s="431"/>
      <c r="L212" s="431"/>
      <c r="M212" s="431"/>
      <c r="N212" s="431"/>
      <c r="O212" s="431"/>
      <c r="P212" s="431"/>
      <c r="Q212" s="431"/>
      <c r="R212" s="461"/>
      <c r="S212" s="431"/>
      <c r="T212" s="470"/>
      <c r="U212" s="444"/>
      <c r="V212" s="405"/>
    </row>
    <row r="213" spans="1:22" x14ac:dyDescent="0.3">
      <c r="A213" s="513"/>
      <c r="B213" s="612" t="s">
        <v>83</v>
      </c>
      <c r="C213" s="613"/>
      <c r="D213" s="613"/>
      <c r="E213" s="613"/>
      <c r="F213" s="620"/>
      <c r="G213" s="613"/>
      <c r="H213" s="613"/>
      <c r="I213" s="613"/>
      <c r="J213" s="613"/>
      <c r="K213" s="613"/>
      <c r="L213" s="613"/>
      <c r="M213" s="613"/>
      <c r="N213" s="613"/>
      <c r="O213" s="613"/>
      <c r="P213" s="613"/>
      <c r="Q213" s="613" t="s">
        <v>108</v>
      </c>
      <c r="R213" s="620" t="s">
        <v>115</v>
      </c>
      <c r="S213" s="608"/>
      <c r="T213" s="608"/>
      <c r="U213" s="611"/>
      <c r="V213" s="405"/>
    </row>
    <row r="214" spans="1:22" x14ac:dyDescent="0.3">
      <c r="A214" s="487"/>
      <c r="B214" s="539" t="s">
        <v>84</v>
      </c>
      <c r="C214" s="455"/>
      <c r="D214" s="455"/>
      <c r="E214" s="455"/>
      <c r="F214" s="431"/>
      <c r="G214" s="431"/>
      <c r="H214" s="616"/>
      <c r="I214" s="616"/>
      <c r="J214" s="616"/>
      <c r="K214" s="616"/>
      <c r="L214" s="616"/>
      <c r="M214" s="616"/>
      <c r="N214" s="616"/>
      <c r="O214" s="616"/>
      <c r="P214" s="616"/>
      <c r="Q214" s="617">
        <v>0</v>
      </c>
      <c r="R214" s="618">
        <v>0</v>
      </c>
      <c r="S214" s="431"/>
      <c r="T214" s="470"/>
      <c r="U214" s="619"/>
      <c r="V214" s="405"/>
    </row>
    <row r="215" spans="1:22" x14ac:dyDescent="0.3">
      <c r="A215" s="471"/>
      <c r="B215" s="532" t="s">
        <v>156</v>
      </c>
      <c r="C215" s="443"/>
      <c r="D215" s="443"/>
      <c r="E215" s="443"/>
      <c r="F215" s="419"/>
      <c r="G215" s="419"/>
      <c r="H215" s="422"/>
      <c r="I215" s="422"/>
      <c r="J215" s="422"/>
      <c r="K215" s="422"/>
      <c r="L215" s="422"/>
      <c r="M215" s="422"/>
      <c r="N215" s="422"/>
      <c r="O215" s="422"/>
      <c r="P215" s="422"/>
      <c r="Q215" s="555">
        <f>+P266</f>
        <v>27</v>
      </c>
      <c r="R215" s="553">
        <f>+R266</f>
        <v>3509</v>
      </c>
      <c r="S215" s="419"/>
      <c r="T215" s="472"/>
      <c r="U215" s="473"/>
      <c r="V215" s="405"/>
    </row>
    <row r="216" spans="1:22" x14ac:dyDescent="0.3">
      <c r="A216" s="471"/>
      <c r="B216" s="532" t="s">
        <v>85</v>
      </c>
      <c r="C216" s="443"/>
      <c r="D216" s="443"/>
      <c r="E216" s="443"/>
      <c r="F216" s="419"/>
      <c r="G216" s="419"/>
      <c r="H216" s="422"/>
      <c r="I216" s="422"/>
      <c r="J216" s="422"/>
      <c r="K216" s="422"/>
      <c r="L216" s="422"/>
      <c r="M216" s="422"/>
      <c r="N216" s="422"/>
      <c r="O216" s="422"/>
      <c r="P216" s="422"/>
      <c r="Q216" s="555">
        <f>+P278</f>
        <v>0</v>
      </c>
      <c r="R216" s="553">
        <f>+R278</f>
        <v>0</v>
      </c>
      <c r="S216" s="419"/>
      <c r="T216" s="472"/>
      <c r="U216" s="473"/>
      <c r="V216" s="405"/>
    </row>
    <row r="217" spans="1:22" x14ac:dyDescent="0.3">
      <c r="A217" s="471"/>
      <c r="B217" s="514" t="s">
        <v>86</v>
      </c>
      <c r="C217" s="474"/>
      <c r="D217" s="474"/>
      <c r="E217" s="474"/>
      <c r="F217" s="448"/>
      <c r="G217" s="448"/>
      <c r="H217" s="448"/>
      <c r="I217" s="448"/>
      <c r="J217" s="448"/>
      <c r="K217" s="448"/>
      <c r="L217" s="448"/>
      <c r="M217" s="448"/>
      <c r="N217" s="448"/>
      <c r="O217" s="448"/>
      <c r="P217" s="448"/>
      <c r="Q217" s="532"/>
      <c r="R217" s="553">
        <v>0</v>
      </c>
      <c r="S217" s="448"/>
      <c r="T217" s="475"/>
      <c r="U217" s="473"/>
      <c r="V217" s="405"/>
    </row>
    <row r="218" spans="1:22" x14ac:dyDescent="0.3">
      <c r="A218" s="471"/>
      <c r="B218" s="514" t="s">
        <v>87</v>
      </c>
      <c r="C218" s="474"/>
      <c r="D218" s="474"/>
      <c r="E218" s="474"/>
      <c r="F218" s="448"/>
      <c r="G218" s="448"/>
      <c r="H218" s="448"/>
      <c r="I218" s="448"/>
      <c r="J218" s="448"/>
      <c r="K218" s="448"/>
      <c r="L218" s="448"/>
      <c r="M218" s="448"/>
      <c r="N218" s="448"/>
      <c r="O218" s="448"/>
      <c r="P218" s="448"/>
      <c r="Q218" s="532"/>
      <c r="R218" s="554" t="s">
        <v>116</v>
      </c>
      <c r="S218" s="448"/>
      <c r="T218" s="475"/>
      <c r="U218" s="473"/>
      <c r="V218" s="405"/>
    </row>
    <row r="219" spans="1:22" x14ac:dyDescent="0.3">
      <c r="A219" s="476"/>
      <c r="B219" s="514" t="s">
        <v>88</v>
      </c>
      <c r="C219" s="477"/>
      <c r="D219" s="477"/>
      <c r="E219" s="477"/>
      <c r="F219" s="477"/>
      <c r="G219" s="448"/>
      <c r="H219" s="448"/>
      <c r="I219" s="448"/>
      <c r="J219" s="448"/>
      <c r="K219" s="448"/>
      <c r="L219" s="448"/>
      <c r="M219" s="448"/>
      <c r="N219" s="448"/>
      <c r="O219" s="448"/>
      <c r="P219" s="448"/>
      <c r="Q219" s="448"/>
      <c r="R219" s="478"/>
      <c r="S219" s="448"/>
      <c r="T219" s="475"/>
      <c r="U219" s="479"/>
      <c r="V219" s="405"/>
    </row>
    <row r="220" spans="1:22" x14ac:dyDescent="0.3">
      <c r="A220" s="476"/>
      <c r="B220" s="532" t="s">
        <v>89</v>
      </c>
      <c r="C220" s="532"/>
      <c r="D220" s="532"/>
      <c r="E220" s="532"/>
      <c r="F220" s="532"/>
      <c r="G220" s="532"/>
      <c r="H220" s="532"/>
      <c r="I220" s="532"/>
      <c r="J220" s="532"/>
      <c r="K220" s="532"/>
      <c r="L220" s="532"/>
      <c r="M220" s="532"/>
      <c r="N220" s="532"/>
      <c r="O220" s="532"/>
      <c r="P220" s="532"/>
      <c r="Q220" s="552"/>
      <c r="R220" s="553">
        <f>T164</f>
        <v>52</v>
      </c>
      <c r="S220" s="419"/>
      <c r="T220" s="475"/>
      <c r="U220" s="479"/>
      <c r="V220" s="405"/>
    </row>
    <row r="221" spans="1:22" x14ac:dyDescent="0.3">
      <c r="A221" s="471"/>
      <c r="B221" s="532" t="s">
        <v>90</v>
      </c>
      <c r="C221" s="531"/>
      <c r="D221" s="531"/>
      <c r="E221" s="531"/>
      <c r="F221" s="531"/>
      <c r="G221" s="532"/>
      <c r="H221" s="532"/>
      <c r="I221" s="532"/>
      <c r="J221" s="532"/>
      <c r="K221" s="532"/>
      <c r="L221" s="532"/>
      <c r="M221" s="532"/>
      <c r="N221" s="532"/>
      <c r="O221" s="532"/>
      <c r="P221" s="532"/>
      <c r="Q221" s="552"/>
      <c r="R221" s="553">
        <f>'April 18'!R221+'July 18'!R220</f>
        <v>4393</v>
      </c>
      <c r="S221" s="419"/>
      <c r="T221" s="475"/>
      <c r="U221" s="479"/>
      <c r="V221" s="405"/>
    </row>
    <row r="222" spans="1:22" x14ac:dyDescent="0.3">
      <c r="A222" s="476"/>
      <c r="B222" s="514" t="s">
        <v>288</v>
      </c>
      <c r="C222" s="477"/>
      <c r="D222" s="477"/>
      <c r="E222" s="477"/>
      <c r="F222" s="477"/>
      <c r="G222" s="448"/>
      <c r="H222" s="448"/>
      <c r="I222" s="448"/>
      <c r="J222" s="448"/>
      <c r="K222" s="448"/>
      <c r="L222" s="448"/>
      <c r="M222" s="448"/>
      <c r="N222" s="448"/>
      <c r="O222" s="448"/>
      <c r="P222" s="448"/>
      <c r="Q222" s="480"/>
      <c r="R222" s="478"/>
      <c r="S222" s="448"/>
      <c r="T222" s="475"/>
      <c r="U222" s="479"/>
      <c r="V222" s="405"/>
    </row>
    <row r="223" spans="1:22" x14ac:dyDescent="0.3">
      <c r="A223" s="481"/>
      <c r="B223" s="532" t="s">
        <v>286</v>
      </c>
      <c r="C223" s="532"/>
      <c r="D223" s="532"/>
      <c r="E223" s="532"/>
      <c r="F223" s="532"/>
      <c r="G223" s="532"/>
      <c r="H223" s="532"/>
      <c r="I223" s="532"/>
      <c r="J223" s="532"/>
      <c r="K223" s="532"/>
      <c r="L223" s="532"/>
      <c r="M223" s="532"/>
      <c r="N223" s="532"/>
      <c r="O223" s="532"/>
      <c r="P223" s="532"/>
      <c r="Q223" s="552">
        <v>0</v>
      </c>
      <c r="R223" s="553">
        <v>0</v>
      </c>
      <c r="S223" s="419"/>
      <c r="T223" s="472"/>
      <c r="U223" s="479"/>
      <c r="V223" s="405"/>
    </row>
    <row r="224" spans="1:22" x14ac:dyDescent="0.3">
      <c r="A224" s="482"/>
      <c r="B224" s="532" t="s">
        <v>92</v>
      </c>
      <c r="C224" s="550"/>
      <c r="D224" s="550"/>
      <c r="E224" s="550"/>
      <c r="F224" s="551"/>
      <c r="G224" s="532"/>
      <c r="H224" s="532"/>
      <c r="I224" s="532"/>
      <c r="J224" s="532"/>
      <c r="K224" s="532"/>
      <c r="L224" s="532"/>
      <c r="M224" s="532"/>
      <c r="N224" s="532"/>
      <c r="O224" s="532"/>
      <c r="P224" s="532"/>
      <c r="Q224" s="552"/>
      <c r="R224" s="554">
        <v>0</v>
      </c>
      <c r="S224" s="419"/>
      <c r="T224" s="472"/>
      <c r="U224" s="479"/>
      <c r="V224" s="405"/>
    </row>
    <row r="225" spans="1:23" x14ac:dyDescent="0.3">
      <c r="A225" s="482"/>
      <c r="B225" s="532" t="s">
        <v>93</v>
      </c>
      <c r="C225" s="550"/>
      <c r="D225" s="550"/>
      <c r="E225" s="550"/>
      <c r="F225" s="551"/>
      <c r="G225" s="532"/>
      <c r="H225" s="532"/>
      <c r="I225" s="532"/>
      <c r="J225" s="532"/>
      <c r="K225" s="532"/>
      <c r="L225" s="532"/>
      <c r="M225" s="532"/>
      <c r="N225" s="532"/>
      <c r="O225" s="532"/>
      <c r="P225" s="532"/>
      <c r="Q225" s="552"/>
      <c r="R225" s="554">
        <v>0</v>
      </c>
      <c r="S225" s="419"/>
      <c r="T225" s="472"/>
      <c r="U225" s="479"/>
      <c r="V225" s="405"/>
    </row>
    <row r="226" spans="1:23" x14ac:dyDescent="0.3">
      <c r="A226" s="471"/>
      <c r="B226" s="514" t="s">
        <v>258</v>
      </c>
      <c r="C226" s="483"/>
      <c r="D226" s="483"/>
      <c r="E226" s="483"/>
      <c r="F226" s="484"/>
      <c r="G226" s="448"/>
      <c r="H226" s="448"/>
      <c r="I226" s="448"/>
      <c r="J226" s="448"/>
      <c r="K226" s="448"/>
      <c r="L226" s="448"/>
      <c r="M226" s="448"/>
      <c r="N226" s="448"/>
      <c r="O226" s="448"/>
      <c r="P226" s="448"/>
      <c r="Q226" s="480"/>
      <c r="R226" s="485"/>
      <c r="S226" s="448"/>
      <c r="T226" s="475"/>
      <c r="U226" s="479"/>
      <c r="V226" s="405"/>
    </row>
    <row r="227" spans="1:23" x14ac:dyDescent="0.3">
      <c r="A227" s="482"/>
      <c r="B227" s="532" t="s">
        <v>286</v>
      </c>
      <c r="C227" s="550"/>
      <c r="D227" s="550"/>
      <c r="E227" s="550"/>
      <c r="F227" s="551"/>
      <c r="G227" s="532"/>
      <c r="H227" s="532"/>
      <c r="I227" s="532"/>
      <c r="J227" s="532"/>
      <c r="K227" s="532"/>
      <c r="L227" s="532"/>
      <c r="M227" s="532"/>
      <c r="N227" s="532"/>
      <c r="O227" s="532"/>
      <c r="P227" s="532"/>
      <c r="Q227" s="552">
        <v>2</v>
      </c>
      <c r="R227" s="553">
        <v>174</v>
      </c>
      <c r="S227" s="419"/>
      <c r="T227" s="475"/>
      <c r="U227" s="479"/>
      <c r="V227" s="405"/>
    </row>
    <row r="228" spans="1:23" x14ac:dyDescent="0.3">
      <c r="A228" s="482"/>
      <c r="B228" s="532" t="s">
        <v>259</v>
      </c>
      <c r="C228" s="550"/>
      <c r="D228" s="550"/>
      <c r="E228" s="550"/>
      <c r="F228" s="551"/>
      <c r="G228" s="532"/>
      <c r="H228" s="532"/>
      <c r="I228" s="532"/>
      <c r="J228" s="532"/>
      <c r="K228" s="532"/>
      <c r="L228" s="532"/>
      <c r="M228" s="532"/>
      <c r="N228" s="532"/>
      <c r="O228" s="532"/>
      <c r="P228" s="532"/>
      <c r="Q228" s="532"/>
      <c r="R228" s="554">
        <v>2.74</v>
      </c>
      <c r="S228" s="419"/>
      <c r="T228" s="475"/>
      <c r="U228" s="479"/>
      <c r="V228" s="405"/>
    </row>
    <row r="229" spans="1:23" x14ac:dyDescent="0.3">
      <c r="A229" s="471"/>
      <c r="B229" s="477"/>
      <c r="C229" s="483"/>
      <c r="D229" s="483"/>
      <c r="E229" s="483"/>
      <c r="F229" s="484"/>
      <c r="G229" s="448"/>
      <c r="H229" s="448"/>
      <c r="I229" s="448"/>
      <c r="J229" s="448"/>
      <c r="K229" s="448"/>
      <c r="L229" s="448"/>
      <c r="M229" s="448"/>
      <c r="N229" s="448"/>
      <c r="O229" s="448"/>
      <c r="P229" s="448"/>
      <c r="Q229" s="448"/>
      <c r="R229" s="486"/>
      <c r="S229" s="448"/>
      <c r="T229" s="475"/>
      <c r="U229" s="479"/>
      <c r="V229" s="405"/>
    </row>
    <row r="230" spans="1:23" ht="18" x14ac:dyDescent="0.35">
      <c r="A230" s="471"/>
      <c r="B230" s="530" t="s">
        <v>208</v>
      </c>
      <c r="C230" s="483"/>
      <c r="D230" s="483"/>
      <c r="E230" s="483"/>
      <c r="F230" s="484"/>
      <c r="G230" s="448"/>
      <c r="H230" s="448"/>
      <c r="I230" s="448"/>
      <c r="J230" s="448"/>
      <c r="K230" s="448"/>
      <c r="L230" s="448"/>
      <c r="M230" s="448"/>
      <c r="N230" s="603" t="s">
        <v>347</v>
      </c>
      <c r="O230" s="448"/>
      <c r="P230" s="448"/>
      <c r="Q230" s="448"/>
      <c r="R230" s="486"/>
      <c r="S230" s="448"/>
      <c r="T230" s="475"/>
      <c r="U230" s="479"/>
      <c r="V230" s="405"/>
    </row>
    <row r="231" spans="1:23" x14ac:dyDescent="0.3">
      <c r="A231" s="487"/>
      <c r="B231" s="488"/>
      <c r="C231" s="489"/>
      <c r="D231" s="489"/>
      <c r="E231" s="489"/>
      <c r="F231" s="490"/>
      <c r="G231" s="444"/>
      <c r="H231" s="444"/>
      <c r="I231" s="444"/>
      <c r="J231" s="444"/>
      <c r="K231" s="444"/>
      <c r="L231" s="444"/>
      <c r="M231" s="444"/>
      <c r="N231" s="444"/>
      <c r="O231" s="444"/>
      <c r="P231" s="444"/>
      <c r="Q231" s="444"/>
      <c r="R231" s="491"/>
      <c r="S231" s="444"/>
      <c r="T231" s="492"/>
      <c r="U231" s="493"/>
      <c r="V231" s="405"/>
    </row>
    <row r="232" spans="1:23" x14ac:dyDescent="0.3">
      <c r="A232" s="503"/>
      <c r="B232" s="612" t="s">
        <v>302</v>
      </c>
      <c r="C232" s="613"/>
      <c r="D232" s="613"/>
      <c r="E232" s="613"/>
      <c r="F232" s="620"/>
      <c r="G232" s="613"/>
      <c r="H232" s="613"/>
      <c r="I232" s="613"/>
      <c r="J232" s="613"/>
      <c r="K232" s="613"/>
      <c r="L232" s="613"/>
      <c r="M232" s="613"/>
      <c r="N232" s="613"/>
      <c r="O232" s="613"/>
      <c r="P232" s="620" t="s">
        <v>108</v>
      </c>
      <c r="Q232" s="613" t="s">
        <v>109</v>
      </c>
      <c r="R232" s="620" t="s">
        <v>117</v>
      </c>
      <c r="S232" s="613" t="s">
        <v>109</v>
      </c>
      <c r="T232" s="608"/>
      <c r="U232" s="626"/>
      <c r="V232" s="405"/>
    </row>
    <row r="233" spans="1:23" x14ac:dyDescent="0.3">
      <c r="A233" s="430"/>
      <c r="B233" s="572" t="s">
        <v>94</v>
      </c>
      <c r="C233" s="621"/>
      <c r="D233" s="621"/>
      <c r="E233" s="621"/>
      <c r="F233" s="539"/>
      <c r="G233" s="621"/>
      <c r="H233" s="621"/>
      <c r="I233" s="621"/>
      <c r="J233" s="621"/>
      <c r="K233" s="621"/>
      <c r="L233" s="621"/>
      <c r="M233" s="621"/>
      <c r="N233" s="621"/>
      <c r="O233" s="621"/>
      <c r="P233" s="622">
        <f t="shared" ref="P233:P240" si="1">+P245+P257+P269</f>
        <v>1801</v>
      </c>
      <c r="Q233" s="623">
        <f t="shared" ref="Q233:Q240" si="2">P233/$P$242</f>
        <v>0.99228650137741048</v>
      </c>
      <c r="R233" s="624">
        <f t="shared" ref="R233:R240" si="3">+R245+R257+R269</f>
        <v>219440</v>
      </c>
      <c r="S233" s="623">
        <f t="shared" ref="S233:S240" si="4">R233/$R$242</f>
        <v>0.99220039337146471</v>
      </c>
      <c r="T233" s="470"/>
      <c r="U233" s="625"/>
      <c r="V233" s="405"/>
    </row>
    <row r="234" spans="1:23" x14ac:dyDescent="0.3">
      <c r="A234" s="428"/>
      <c r="B234" s="531" t="s">
        <v>95</v>
      </c>
      <c r="C234" s="549"/>
      <c r="D234" s="549"/>
      <c r="E234" s="549"/>
      <c r="F234" s="532"/>
      <c r="G234" s="534"/>
      <c r="H234" s="549"/>
      <c r="I234" s="549"/>
      <c r="J234" s="549"/>
      <c r="K234" s="549"/>
      <c r="L234" s="549"/>
      <c r="M234" s="549"/>
      <c r="N234" s="549"/>
      <c r="O234" s="549"/>
      <c r="P234" s="531">
        <f t="shared" si="1"/>
        <v>7</v>
      </c>
      <c r="Q234" s="534">
        <f t="shared" si="2"/>
        <v>3.856749311294766E-3</v>
      </c>
      <c r="R234" s="535">
        <f t="shared" si="3"/>
        <v>816</v>
      </c>
      <c r="S234" s="534">
        <f t="shared" si="4"/>
        <v>3.6895530486288517E-3</v>
      </c>
      <c r="T234" s="472"/>
      <c r="U234" s="494"/>
      <c r="V234" s="405"/>
      <c r="W234" s="452"/>
    </row>
    <row r="235" spans="1:23" x14ac:dyDescent="0.3">
      <c r="A235" s="428"/>
      <c r="B235" s="531" t="s">
        <v>96</v>
      </c>
      <c r="C235" s="549"/>
      <c r="D235" s="549"/>
      <c r="E235" s="549"/>
      <c r="F235" s="532"/>
      <c r="G235" s="534"/>
      <c r="H235" s="549"/>
      <c r="I235" s="549"/>
      <c r="J235" s="549"/>
      <c r="K235" s="549"/>
      <c r="L235" s="549"/>
      <c r="M235" s="549"/>
      <c r="N235" s="549"/>
      <c r="O235" s="549"/>
      <c r="P235" s="531">
        <f t="shared" si="1"/>
        <v>4</v>
      </c>
      <c r="Q235" s="534">
        <f t="shared" si="2"/>
        <v>2.2038567493112946E-3</v>
      </c>
      <c r="R235" s="535">
        <f t="shared" si="3"/>
        <v>675</v>
      </c>
      <c r="S235" s="534">
        <f t="shared" si="4"/>
        <v>3.0520199850790136E-3</v>
      </c>
      <c r="T235" s="472"/>
      <c r="U235" s="494"/>
      <c r="V235" s="405"/>
    </row>
    <row r="236" spans="1:23" x14ac:dyDescent="0.3">
      <c r="A236" s="428"/>
      <c r="B236" s="531" t="s">
        <v>171</v>
      </c>
      <c r="C236" s="549"/>
      <c r="D236" s="549"/>
      <c r="E236" s="549"/>
      <c r="F236" s="532"/>
      <c r="G236" s="534"/>
      <c r="H236" s="549"/>
      <c r="I236" s="549"/>
      <c r="J236" s="549"/>
      <c r="K236" s="549"/>
      <c r="L236" s="549"/>
      <c r="M236" s="549"/>
      <c r="N236" s="549"/>
      <c r="O236" s="549"/>
      <c r="P236" s="531">
        <f t="shared" si="1"/>
        <v>0</v>
      </c>
      <c r="Q236" s="534">
        <f t="shared" si="2"/>
        <v>0</v>
      </c>
      <c r="R236" s="535">
        <f t="shared" si="3"/>
        <v>0</v>
      </c>
      <c r="S236" s="534">
        <f t="shared" si="4"/>
        <v>0</v>
      </c>
      <c r="T236" s="472"/>
      <c r="U236" s="494"/>
      <c r="V236" s="405"/>
      <c r="W236" s="452"/>
    </row>
    <row r="237" spans="1:23" x14ac:dyDescent="0.3">
      <c r="A237" s="428"/>
      <c r="B237" s="531" t="s">
        <v>172</v>
      </c>
      <c r="C237" s="549"/>
      <c r="D237" s="549"/>
      <c r="E237" s="549"/>
      <c r="F237" s="532"/>
      <c r="G237" s="534"/>
      <c r="H237" s="549"/>
      <c r="I237" s="549"/>
      <c r="J237" s="549"/>
      <c r="K237" s="549"/>
      <c r="L237" s="549"/>
      <c r="M237" s="549"/>
      <c r="N237" s="549"/>
      <c r="O237" s="549"/>
      <c r="P237" s="531">
        <f t="shared" si="1"/>
        <v>1</v>
      </c>
      <c r="Q237" s="534">
        <f t="shared" si="2"/>
        <v>5.5096418732782364E-4</v>
      </c>
      <c r="R237" s="535">
        <f t="shared" si="3"/>
        <v>111</v>
      </c>
      <c r="S237" s="534">
        <f t="shared" si="4"/>
        <v>5.0188773087965998E-4</v>
      </c>
      <c r="T237" s="472"/>
      <c r="U237" s="494"/>
      <c r="V237" s="405"/>
    </row>
    <row r="238" spans="1:23" x14ac:dyDescent="0.3">
      <c r="A238" s="428"/>
      <c r="B238" s="531" t="s">
        <v>173</v>
      </c>
      <c r="C238" s="549"/>
      <c r="D238" s="549"/>
      <c r="E238" s="549"/>
      <c r="F238" s="532"/>
      <c r="G238" s="534"/>
      <c r="H238" s="549"/>
      <c r="I238" s="549"/>
      <c r="J238" s="549"/>
      <c r="K238" s="549"/>
      <c r="L238" s="549"/>
      <c r="M238" s="549"/>
      <c r="N238" s="549"/>
      <c r="O238" s="549"/>
      <c r="P238" s="531">
        <f t="shared" si="1"/>
        <v>0</v>
      </c>
      <c r="Q238" s="534">
        <f t="shared" si="2"/>
        <v>0</v>
      </c>
      <c r="R238" s="535">
        <f t="shared" si="3"/>
        <v>0</v>
      </c>
      <c r="S238" s="534">
        <f t="shared" si="4"/>
        <v>0</v>
      </c>
      <c r="T238" s="472"/>
      <c r="U238" s="494"/>
      <c r="V238" s="405"/>
      <c r="W238" s="452"/>
    </row>
    <row r="239" spans="1:23" x14ac:dyDescent="0.3">
      <c r="A239" s="428"/>
      <c r="B239" s="531" t="s">
        <v>174</v>
      </c>
      <c r="C239" s="549"/>
      <c r="D239" s="549"/>
      <c r="E239" s="549"/>
      <c r="F239" s="532"/>
      <c r="G239" s="534"/>
      <c r="H239" s="549"/>
      <c r="I239" s="549"/>
      <c r="J239" s="549"/>
      <c r="K239" s="549"/>
      <c r="L239" s="549"/>
      <c r="M239" s="549"/>
      <c r="N239" s="549"/>
      <c r="O239" s="549"/>
      <c r="P239" s="531">
        <f t="shared" si="1"/>
        <v>2</v>
      </c>
      <c r="Q239" s="534">
        <f t="shared" si="2"/>
        <v>1.1019283746556473E-3</v>
      </c>
      <c r="R239" s="535">
        <f t="shared" si="3"/>
        <v>123</v>
      </c>
      <c r="S239" s="534">
        <f t="shared" si="4"/>
        <v>5.5614586394773136E-4</v>
      </c>
      <c r="T239" s="472"/>
      <c r="U239" s="494"/>
      <c r="V239" s="405"/>
    </row>
    <row r="240" spans="1:23" x14ac:dyDescent="0.3">
      <c r="A240" s="428"/>
      <c r="B240" s="531" t="s">
        <v>175</v>
      </c>
      <c r="C240" s="549"/>
      <c r="D240" s="549"/>
      <c r="E240" s="549"/>
      <c r="F240" s="532"/>
      <c r="G240" s="534"/>
      <c r="H240" s="549"/>
      <c r="I240" s="549"/>
      <c r="J240" s="549"/>
      <c r="K240" s="549"/>
      <c r="L240" s="549"/>
      <c r="M240" s="549"/>
      <c r="N240" s="549"/>
      <c r="O240" s="549"/>
      <c r="P240" s="531">
        <f t="shared" si="1"/>
        <v>0</v>
      </c>
      <c r="Q240" s="534">
        <f t="shared" si="2"/>
        <v>0</v>
      </c>
      <c r="R240" s="535">
        <f t="shared" si="3"/>
        <v>0</v>
      </c>
      <c r="S240" s="534">
        <f t="shared" si="4"/>
        <v>0</v>
      </c>
      <c r="T240" s="472"/>
      <c r="U240" s="494"/>
      <c r="V240" s="405"/>
      <c r="W240" s="452"/>
    </row>
    <row r="241" spans="1:23" x14ac:dyDescent="0.3">
      <c r="A241" s="428"/>
      <c r="B241" s="531"/>
      <c r="C241" s="549"/>
      <c r="D241" s="549"/>
      <c r="E241" s="549"/>
      <c r="F241" s="532"/>
      <c r="G241" s="534"/>
      <c r="H241" s="549"/>
      <c r="I241" s="549"/>
      <c r="J241" s="549"/>
      <c r="K241" s="549"/>
      <c r="L241" s="549"/>
      <c r="M241" s="549"/>
      <c r="N241" s="549"/>
      <c r="O241" s="549"/>
      <c r="P241" s="531"/>
      <c r="Q241" s="534"/>
      <c r="R241" s="535"/>
      <c r="S241" s="534"/>
      <c r="T241" s="472"/>
      <c r="U241" s="494"/>
      <c r="V241" s="405"/>
    </row>
    <row r="242" spans="1:23" x14ac:dyDescent="0.3">
      <c r="A242" s="428"/>
      <c r="B242" s="532"/>
      <c r="C242" s="532"/>
      <c r="D242" s="532"/>
      <c r="E242" s="532"/>
      <c r="F242" s="532"/>
      <c r="G242" s="532"/>
      <c r="H242" s="533"/>
      <c r="I242" s="533"/>
      <c r="J242" s="533"/>
      <c r="K242" s="533"/>
      <c r="L242" s="533"/>
      <c r="M242" s="533"/>
      <c r="N242" s="533"/>
      <c r="O242" s="533"/>
      <c r="P242" s="531">
        <f>SUM(P233:P241)</f>
        <v>1815</v>
      </c>
      <c r="Q242" s="534">
        <f>SUM(Q233:Q241)</f>
        <v>1</v>
      </c>
      <c r="R242" s="535">
        <f>SUM(R233:R241)</f>
        <v>221165</v>
      </c>
      <c r="S242" s="534">
        <f>SUM(S233:S241)</f>
        <v>0.99999999999999989</v>
      </c>
      <c r="T242" s="419"/>
      <c r="U242" s="420"/>
      <c r="V242" s="405"/>
    </row>
    <row r="243" spans="1:23" x14ac:dyDescent="0.3">
      <c r="A243" s="487"/>
      <c r="B243" s="488"/>
      <c r="C243" s="489"/>
      <c r="D243" s="489"/>
      <c r="E243" s="489"/>
      <c r="F243" s="490"/>
      <c r="G243" s="444"/>
      <c r="H243" s="444"/>
      <c r="I243" s="444"/>
      <c r="J243" s="444"/>
      <c r="K243" s="444"/>
      <c r="L243" s="444"/>
      <c r="M243" s="444"/>
      <c r="N243" s="444"/>
      <c r="O243" s="444"/>
      <c r="P243" s="444"/>
      <c r="Q243" s="444"/>
      <c r="R243" s="491"/>
      <c r="S243" s="444"/>
      <c r="T243" s="492"/>
      <c r="U243" s="493"/>
      <c r="V243" s="405"/>
    </row>
    <row r="244" spans="1:23" x14ac:dyDescent="0.3">
      <c r="A244" s="503"/>
      <c r="B244" s="612" t="s">
        <v>177</v>
      </c>
      <c r="C244" s="613"/>
      <c r="D244" s="613"/>
      <c r="E244" s="613"/>
      <c r="F244" s="620"/>
      <c r="G244" s="613"/>
      <c r="H244" s="613"/>
      <c r="I244" s="613"/>
      <c r="J244" s="613"/>
      <c r="K244" s="613"/>
      <c r="L244" s="613"/>
      <c r="M244" s="613"/>
      <c r="N244" s="613"/>
      <c r="O244" s="613"/>
      <c r="P244" s="620" t="s">
        <v>108</v>
      </c>
      <c r="Q244" s="613" t="s">
        <v>109</v>
      </c>
      <c r="R244" s="620" t="s">
        <v>117</v>
      </c>
      <c r="S244" s="613" t="s">
        <v>109</v>
      </c>
      <c r="T244" s="608"/>
      <c r="U244" s="626"/>
      <c r="V244" s="405"/>
    </row>
    <row r="245" spans="1:23" x14ac:dyDescent="0.3">
      <c r="A245" s="430"/>
      <c r="B245" s="572" t="s">
        <v>94</v>
      </c>
      <c r="C245" s="621"/>
      <c r="D245" s="621"/>
      <c r="E245" s="621"/>
      <c r="F245" s="539"/>
      <c r="G245" s="621"/>
      <c r="H245" s="621"/>
      <c r="I245" s="621"/>
      <c r="J245" s="621"/>
      <c r="K245" s="621"/>
      <c r="L245" s="621"/>
      <c r="M245" s="621"/>
      <c r="N245" s="621"/>
      <c r="O245" s="621"/>
      <c r="P245" s="572">
        <v>1777</v>
      </c>
      <c r="Q245" s="627">
        <f t="shared" ref="Q245:Q252" si="5">P245/$P$254</f>
        <v>0.99384787472035796</v>
      </c>
      <c r="R245" s="541">
        <v>216165</v>
      </c>
      <c r="S245" s="627">
        <f t="shared" ref="S245:S252" si="6">R245/$R$254</f>
        <v>0.99314974087551</v>
      </c>
      <c r="T245" s="470"/>
      <c r="U245" s="625"/>
      <c r="V245" s="405"/>
    </row>
    <row r="246" spans="1:23" x14ac:dyDescent="0.3">
      <c r="A246" s="428"/>
      <c r="B246" s="531" t="s">
        <v>95</v>
      </c>
      <c r="C246" s="549"/>
      <c r="D246" s="549"/>
      <c r="E246" s="549"/>
      <c r="F246" s="532"/>
      <c r="G246" s="534"/>
      <c r="H246" s="549"/>
      <c r="I246" s="549"/>
      <c r="J246" s="549"/>
      <c r="K246" s="549"/>
      <c r="L246" s="549"/>
      <c r="M246" s="549"/>
      <c r="N246" s="549"/>
      <c r="O246" s="549"/>
      <c r="P246" s="531">
        <v>7</v>
      </c>
      <c r="Q246" s="534">
        <f t="shared" si="5"/>
        <v>3.9149888143176735E-3</v>
      </c>
      <c r="R246" s="535">
        <v>816</v>
      </c>
      <c r="S246" s="534">
        <f t="shared" si="6"/>
        <v>3.7490351747711988E-3</v>
      </c>
      <c r="T246" s="472"/>
      <c r="U246" s="494"/>
      <c r="V246" s="405"/>
      <c r="W246" s="452"/>
    </row>
    <row r="247" spans="1:23" x14ac:dyDescent="0.3">
      <c r="A247" s="428"/>
      <c r="B247" s="531" t="s">
        <v>96</v>
      </c>
      <c r="C247" s="549"/>
      <c r="D247" s="549"/>
      <c r="E247" s="549"/>
      <c r="F247" s="532"/>
      <c r="G247" s="534"/>
      <c r="H247" s="549"/>
      <c r="I247" s="549"/>
      <c r="J247" s="549"/>
      <c r="K247" s="549"/>
      <c r="L247" s="549"/>
      <c r="M247" s="549"/>
      <c r="N247" s="549"/>
      <c r="O247" s="549"/>
      <c r="P247" s="531">
        <v>4</v>
      </c>
      <c r="Q247" s="534">
        <f t="shared" si="5"/>
        <v>2.2371364653243847E-3</v>
      </c>
      <c r="R247" s="535">
        <v>675</v>
      </c>
      <c r="S247" s="534">
        <f t="shared" si="6"/>
        <v>3.1012239497188224E-3</v>
      </c>
      <c r="T247" s="472"/>
      <c r="U247" s="494"/>
      <c r="V247" s="405"/>
    </row>
    <row r="248" spans="1:23" x14ac:dyDescent="0.3">
      <c r="A248" s="428"/>
      <c r="B248" s="531" t="s">
        <v>171</v>
      </c>
      <c r="C248" s="549"/>
      <c r="D248" s="549"/>
      <c r="E248" s="549"/>
      <c r="F248" s="532"/>
      <c r="G248" s="534"/>
      <c r="H248" s="549"/>
      <c r="I248" s="549"/>
      <c r="J248" s="549"/>
      <c r="K248" s="549"/>
      <c r="L248" s="549"/>
      <c r="M248" s="549"/>
      <c r="N248" s="549"/>
      <c r="O248" s="549"/>
      <c r="P248" s="531">
        <v>0</v>
      </c>
      <c r="Q248" s="534">
        <f t="shared" si="5"/>
        <v>0</v>
      </c>
      <c r="R248" s="535">
        <v>0</v>
      </c>
      <c r="S248" s="534">
        <f t="shared" si="6"/>
        <v>0</v>
      </c>
      <c r="T248" s="472"/>
      <c r="U248" s="494"/>
      <c r="V248" s="405"/>
      <c r="W248" s="452"/>
    </row>
    <row r="249" spans="1:23" x14ac:dyDescent="0.3">
      <c r="A249" s="428"/>
      <c r="B249" s="531" t="s">
        <v>172</v>
      </c>
      <c r="C249" s="549"/>
      <c r="D249" s="549"/>
      <c r="E249" s="549"/>
      <c r="F249" s="532"/>
      <c r="G249" s="534"/>
      <c r="H249" s="549"/>
      <c r="I249" s="549"/>
      <c r="J249" s="549"/>
      <c r="K249" s="549"/>
      <c r="L249" s="549"/>
      <c r="M249" s="549"/>
      <c r="N249" s="549"/>
      <c r="O249" s="549"/>
      <c r="P249" s="531">
        <v>0</v>
      </c>
      <c r="Q249" s="534">
        <f t="shared" si="5"/>
        <v>0</v>
      </c>
      <c r="R249" s="535">
        <v>0</v>
      </c>
      <c r="S249" s="534">
        <f t="shared" si="6"/>
        <v>0</v>
      </c>
      <c r="T249" s="472"/>
      <c r="U249" s="494"/>
      <c r="V249" s="405"/>
    </row>
    <row r="250" spans="1:23" x14ac:dyDescent="0.3">
      <c r="A250" s="428"/>
      <c r="B250" s="531" t="s">
        <v>173</v>
      </c>
      <c r="C250" s="549"/>
      <c r="D250" s="549"/>
      <c r="E250" s="549"/>
      <c r="F250" s="532"/>
      <c r="G250" s="534"/>
      <c r="H250" s="549"/>
      <c r="I250" s="549"/>
      <c r="J250" s="549"/>
      <c r="K250" s="549"/>
      <c r="L250" s="549"/>
      <c r="M250" s="549"/>
      <c r="N250" s="549"/>
      <c r="O250" s="549"/>
      <c r="P250" s="531">
        <v>0</v>
      </c>
      <c r="Q250" s="534">
        <f t="shared" si="5"/>
        <v>0</v>
      </c>
      <c r="R250" s="535">
        <v>0</v>
      </c>
      <c r="S250" s="534">
        <f t="shared" si="6"/>
        <v>0</v>
      </c>
      <c r="T250" s="472"/>
      <c r="U250" s="494"/>
      <c r="V250" s="405"/>
      <c r="W250" s="452"/>
    </row>
    <row r="251" spans="1:23" x14ac:dyDescent="0.3">
      <c r="A251" s="428"/>
      <c r="B251" s="531" t="s">
        <v>174</v>
      </c>
      <c r="C251" s="549"/>
      <c r="D251" s="549"/>
      <c r="E251" s="549"/>
      <c r="F251" s="532"/>
      <c r="G251" s="534"/>
      <c r="H251" s="549"/>
      <c r="I251" s="549"/>
      <c r="J251" s="549"/>
      <c r="K251" s="549"/>
      <c r="L251" s="549"/>
      <c r="M251" s="549"/>
      <c r="N251" s="549"/>
      <c r="O251" s="549"/>
      <c r="P251" s="531">
        <v>0</v>
      </c>
      <c r="Q251" s="534">
        <f t="shared" si="5"/>
        <v>0</v>
      </c>
      <c r="R251" s="535">
        <v>0</v>
      </c>
      <c r="S251" s="534">
        <f t="shared" si="6"/>
        <v>0</v>
      </c>
      <c r="T251" s="472"/>
      <c r="U251" s="494"/>
      <c r="V251" s="405"/>
    </row>
    <row r="252" spans="1:23" x14ac:dyDescent="0.3">
      <c r="A252" s="428"/>
      <c r="B252" s="531" t="s">
        <v>175</v>
      </c>
      <c r="C252" s="549"/>
      <c r="D252" s="549"/>
      <c r="E252" s="549"/>
      <c r="F252" s="532"/>
      <c r="G252" s="534"/>
      <c r="H252" s="549"/>
      <c r="I252" s="549"/>
      <c r="J252" s="549"/>
      <c r="K252" s="549"/>
      <c r="L252" s="549"/>
      <c r="M252" s="549"/>
      <c r="N252" s="549"/>
      <c r="O252" s="549"/>
      <c r="P252" s="531">
        <v>0</v>
      </c>
      <c r="Q252" s="534">
        <f t="shared" si="5"/>
        <v>0</v>
      </c>
      <c r="R252" s="535">
        <v>0</v>
      </c>
      <c r="S252" s="534">
        <f t="shared" si="6"/>
        <v>0</v>
      </c>
      <c r="T252" s="472"/>
      <c r="U252" s="494"/>
      <c r="V252" s="405"/>
      <c r="W252" s="452"/>
    </row>
    <row r="253" spans="1:23" x14ac:dyDescent="0.3">
      <c r="A253" s="428"/>
      <c r="B253" s="531"/>
      <c r="C253" s="549"/>
      <c r="D253" s="549"/>
      <c r="E253" s="549"/>
      <c r="F253" s="532"/>
      <c r="G253" s="534"/>
      <c r="H253" s="549"/>
      <c r="I253" s="549"/>
      <c r="J253" s="549"/>
      <c r="K253" s="549"/>
      <c r="L253" s="549"/>
      <c r="M253" s="549"/>
      <c r="N253" s="549"/>
      <c r="O253" s="549"/>
      <c r="P253" s="531"/>
      <c r="Q253" s="534"/>
      <c r="R253" s="535"/>
      <c r="S253" s="534"/>
      <c r="T253" s="472"/>
      <c r="U253" s="494"/>
      <c r="V253" s="405"/>
    </row>
    <row r="254" spans="1:23" x14ac:dyDescent="0.3">
      <c r="A254" s="428"/>
      <c r="B254" s="532"/>
      <c r="C254" s="532"/>
      <c r="D254" s="532"/>
      <c r="E254" s="532"/>
      <c r="F254" s="532"/>
      <c r="G254" s="532"/>
      <c r="H254" s="533"/>
      <c r="I254" s="533"/>
      <c r="J254" s="533"/>
      <c r="K254" s="533"/>
      <c r="L254" s="533"/>
      <c r="M254" s="533"/>
      <c r="N254" s="533"/>
      <c r="O254" s="533"/>
      <c r="P254" s="531">
        <f>SUM(P245:P253)</f>
        <v>1788</v>
      </c>
      <c r="Q254" s="534">
        <f>SUM(Q245:Q253)</f>
        <v>1</v>
      </c>
      <c r="R254" s="535">
        <f>SUM(R245:R253)</f>
        <v>217656</v>
      </c>
      <c r="S254" s="534">
        <f>SUM(S245:S253)</f>
        <v>1</v>
      </c>
      <c r="T254" s="419"/>
      <c r="U254" s="420"/>
      <c r="V254" s="405"/>
    </row>
    <row r="255" spans="1:23" x14ac:dyDescent="0.3">
      <c r="A255" s="407"/>
      <c r="B255" s="444"/>
      <c r="C255" s="444"/>
      <c r="D255" s="444"/>
      <c r="E255" s="444"/>
      <c r="F255" s="444"/>
      <c r="G255" s="444"/>
      <c r="H255" s="495"/>
      <c r="I255" s="495"/>
      <c r="J255" s="495"/>
      <c r="K255" s="495"/>
      <c r="L255" s="495"/>
      <c r="M255" s="495"/>
      <c r="N255" s="495"/>
      <c r="O255" s="495"/>
      <c r="P255" s="445"/>
      <c r="Q255" s="496"/>
      <c r="R255" s="497"/>
      <c r="S255" s="496"/>
      <c r="T255" s="444"/>
      <c r="U255" s="444"/>
      <c r="V255" s="405"/>
    </row>
    <row r="256" spans="1:23" x14ac:dyDescent="0.3">
      <c r="A256" s="503"/>
      <c r="B256" s="612" t="s">
        <v>279</v>
      </c>
      <c r="C256" s="613"/>
      <c r="D256" s="613"/>
      <c r="E256" s="613"/>
      <c r="F256" s="620"/>
      <c r="G256" s="613"/>
      <c r="H256" s="613"/>
      <c r="I256" s="613"/>
      <c r="J256" s="613"/>
      <c r="K256" s="613"/>
      <c r="L256" s="613"/>
      <c r="M256" s="613"/>
      <c r="N256" s="613"/>
      <c r="O256" s="613"/>
      <c r="P256" s="620" t="s">
        <v>108</v>
      </c>
      <c r="Q256" s="613" t="s">
        <v>109</v>
      </c>
      <c r="R256" s="620" t="s">
        <v>117</v>
      </c>
      <c r="S256" s="613" t="s">
        <v>109</v>
      </c>
      <c r="T256" s="608"/>
      <c r="U256" s="611"/>
      <c r="V256" s="405"/>
    </row>
    <row r="257" spans="1:22" x14ac:dyDescent="0.3">
      <c r="A257" s="430"/>
      <c r="B257" s="572" t="s">
        <v>94</v>
      </c>
      <c r="C257" s="621"/>
      <c r="D257" s="621"/>
      <c r="E257" s="621"/>
      <c r="F257" s="539"/>
      <c r="G257" s="621"/>
      <c r="H257" s="621"/>
      <c r="I257" s="621"/>
      <c r="J257" s="621"/>
      <c r="K257" s="621"/>
      <c r="L257" s="621"/>
      <c r="M257" s="621"/>
      <c r="N257" s="621"/>
      <c r="O257" s="621"/>
      <c r="P257" s="572">
        <v>24</v>
      </c>
      <c r="Q257" s="627">
        <f t="shared" ref="Q257:Q264" si="7">P257/$P$266</f>
        <v>0.88888888888888884</v>
      </c>
      <c r="R257" s="541">
        <v>3275</v>
      </c>
      <c r="S257" s="627">
        <f t="shared" ref="S257:S264" si="8">R257/$R$266</f>
        <v>0.93331433456825308</v>
      </c>
      <c r="T257" s="431"/>
      <c r="U257" s="444"/>
      <c r="V257" s="405"/>
    </row>
    <row r="258" spans="1:22" x14ac:dyDescent="0.3">
      <c r="A258" s="428"/>
      <c r="B258" s="531" t="s">
        <v>95</v>
      </c>
      <c r="C258" s="549"/>
      <c r="D258" s="549"/>
      <c r="E258" s="549"/>
      <c r="F258" s="532"/>
      <c r="G258" s="534"/>
      <c r="H258" s="549"/>
      <c r="I258" s="549"/>
      <c r="J258" s="549"/>
      <c r="K258" s="549"/>
      <c r="L258" s="549"/>
      <c r="M258" s="549"/>
      <c r="N258" s="549"/>
      <c r="O258" s="549"/>
      <c r="P258" s="531">
        <v>0</v>
      </c>
      <c r="Q258" s="534">
        <f t="shared" si="7"/>
        <v>0</v>
      </c>
      <c r="R258" s="535">
        <v>0</v>
      </c>
      <c r="S258" s="534">
        <f t="shared" si="8"/>
        <v>0</v>
      </c>
      <c r="T258" s="419"/>
      <c r="U258" s="451"/>
      <c r="V258" s="405"/>
    </row>
    <row r="259" spans="1:22" x14ac:dyDescent="0.3">
      <c r="A259" s="428"/>
      <c r="B259" s="531" t="s">
        <v>96</v>
      </c>
      <c r="C259" s="549"/>
      <c r="D259" s="549"/>
      <c r="E259" s="549"/>
      <c r="F259" s="532"/>
      <c r="G259" s="534"/>
      <c r="H259" s="549"/>
      <c r="I259" s="549"/>
      <c r="J259" s="549"/>
      <c r="K259" s="549"/>
      <c r="L259" s="549"/>
      <c r="M259" s="549"/>
      <c r="N259" s="549"/>
      <c r="O259" s="549"/>
      <c r="P259" s="531">
        <v>0</v>
      </c>
      <c r="Q259" s="534">
        <f t="shared" si="7"/>
        <v>0</v>
      </c>
      <c r="R259" s="535">
        <v>0</v>
      </c>
      <c r="S259" s="534">
        <f t="shared" si="8"/>
        <v>0</v>
      </c>
      <c r="T259" s="419"/>
      <c r="U259" s="451"/>
      <c r="V259" s="405"/>
    </row>
    <row r="260" spans="1:22" x14ac:dyDescent="0.3">
      <c r="A260" s="428"/>
      <c r="B260" s="531" t="s">
        <v>171</v>
      </c>
      <c r="C260" s="549"/>
      <c r="D260" s="549"/>
      <c r="E260" s="549"/>
      <c r="F260" s="532"/>
      <c r="G260" s="534"/>
      <c r="H260" s="549"/>
      <c r="I260" s="549"/>
      <c r="J260" s="549"/>
      <c r="K260" s="549"/>
      <c r="L260" s="549"/>
      <c r="M260" s="549"/>
      <c r="N260" s="549"/>
      <c r="O260" s="549"/>
      <c r="P260" s="531">
        <v>0</v>
      </c>
      <c r="Q260" s="534">
        <f t="shared" si="7"/>
        <v>0</v>
      </c>
      <c r="R260" s="535">
        <v>0</v>
      </c>
      <c r="S260" s="534">
        <f t="shared" si="8"/>
        <v>0</v>
      </c>
      <c r="T260" s="419"/>
      <c r="U260" s="451"/>
      <c r="V260" s="405"/>
    </row>
    <row r="261" spans="1:22" x14ac:dyDescent="0.3">
      <c r="A261" s="428"/>
      <c r="B261" s="531" t="s">
        <v>172</v>
      </c>
      <c r="C261" s="549"/>
      <c r="D261" s="549"/>
      <c r="E261" s="549"/>
      <c r="F261" s="532"/>
      <c r="G261" s="534"/>
      <c r="H261" s="549"/>
      <c r="I261" s="549"/>
      <c r="J261" s="549"/>
      <c r="K261" s="549"/>
      <c r="L261" s="549"/>
      <c r="M261" s="549"/>
      <c r="N261" s="549"/>
      <c r="O261" s="549"/>
      <c r="P261" s="531">
        <v>1</v>
      </c>
      <c r="Q261" s="534">
        <f t="shared" si="7"/>
        <v>3.7037037037037035E-2</v>
      </c>
      <c r="R261" s="535">
        <v>111</v>
      </c>
      <c r="S261" s="534">
        <f t="shared" si="8"/>
        <v>3.163294385864919E-2</v>
      </c>
      <c r="T261" s="419"/>
      <c r="U261" s="451"/>
      <c r="V261" s="405"/>
    </row>
    <row r="262" spans="1:22" x14ac:dyDescent="0.3">
      <c r="A262" s="428"/>
      <c r="B262" s="531" t="s">
        <v>173</v>
      </c>
      <c r="C262" s="549"/>
      <c r="D262" s="549"/>
      <c r="E262" s="549"/>
      <c r="F262" s="532"/>
      <c r="G262" s="534"/>
      <c r="H262" s="549"/>
      <c r="I262" s="549"/>
      <c r="J262" s="549"/>
      <c r="K262" s="549"/>
      <c r="L262" s="549"/>
      <c r="M262" s="549"/>
      <c r="N262" s="549"/>
      <c r="O262" s="549"/>
      <c r="P262" s="531">
        <v>0</v>
      </c>
      <c r="Q262" s="534">
        <f t="shared" si="7"/>
        <v>0</v>
      </c>
      <c r="R262" s="535">
        <v>0</v>
      </c>
      <c r="S262" s="534">
        <f t="shared" si="8"/>
        <v>0</v>
      </c>
      <c r="T262" s="419"/>
      <c r="U262" s="451"/>
      <c r="V262" s="405"/>
    </row>
    <row r="263" spans="1:22" x14ac:dyDescent="0.3">
      <c r="A263" s="428"/>
      <c r="B263" s="531" t="s">
        <v>174</v>
      </c>
      <c r="C263" s="549"/>
      <c r="D263" s="549"/>
      <c r="E263" s="549"/>
      <c r="F263" s="532"/>
      <c r="G263" s="534"/>
      <c r="H263" s="549"/>
      <c r="I263" s="549"/>
      <c r="J263" s="549"/>
      <c r="K263" s="549"/>
      <c r="L263" s="549"/>
      <c r="M263" s="549"/>
      <c r="N263" s="549"/>
      <c r="O263" s="549"/>
      <c r="P263" s="531">
        <v>2</v>
      </c>
      <c r="Q263" s="534">
        <f t="shared" si="7"/>
        <v>7.407407407407407E-2</v>
      </c>
      <c r="R263" s="535">
        <v>123</v>
      </c>
      <c r="S263" s="534">
        <f t="shared" si="8"/>
        <v>3.5052721573097752E-2</v>
      </c>
      <c r="T263" s="419"/>
      <c r="U263" s="451"/>
      <c r="V263" s="405"/>
    </row>
    <row r="264" spans="1:22" x14ac:dyDescent="0.3">
      <c r="A264" s="428"/>
      <c r="B264" s="531" t="s">
        <v>175</v>
      </c>
      <c r="C264" s="549"/>
      <c r="D264" s="549"/>
      <c r="E264" s="549"/>
      <c r="F264" s="532"/>
      <c r="G264" s="534"/>
      <c r="H264" s="549"/>
      <c r="I264" s="549"/>
      <c r="J264" s="549"/>
      <c r="K264" s="549"/>
      <c r="L264" s="549"/>
      <c r="M264" s="549"/>
      <c r="N264" s="549"/>
      <c r="O264" s="549"/>
      <c r="P264" s="531">
        <v>0</v>
      </c>
      <c r="Q264" s="534">
        <f t="shared" si="7"/>
        <v>0</v>
      </c>
      <c r="R264" s="535">
        <v>0</v>
      </c>
      <c r="S264" s="534">
        <f t="shared" si="8"/>
        <v>0</v>
      </c>
      <c r="T264" s="419"/>
      <c r="U264" s="451"/>
      <c r="V264" s="405"/>
    </row>
    <row r="265" spans="1:22" x14ac:dyDescent="0.3">
      <c r="A265" s="428"/>
      <c r="B265" s="531"/>
      <c r="C265" s="549"/>
      <c r="D265" s="549"/>
      <c r="E265" s="549"/>
      <c r="F265" s="532"/>
      <c r="G265" s="534"/>
      <c r="H265" s="549"/>
      <c r="I265" s="549"/>
      <c r="J265" s="549"/>
      <c r="K265" s="549"/>
      <c r="L265" s="549"/>
      <c r="M265" s="549"/>
      <c r="N265" s="549"/>
      <c r="O265" s="549"/>
      <c r="P265" s="531"/>
      <c r="Q265" s="534"/>
      <c r="R265" s="535"/>
      <c r="S265" s="534"/>
      <c r="T265" s="419"/>
      <c r="U265" s="451"/>
      <c r="V265" s="405"/>
    </row>
    <row r="266" spans="1:22" x14ac:dyDescent="0.3">
      <c r="A266" s="428"/>
      <c r="B266" s="532"/>
      <c r="C266" s="532"/>
      <c r="D266" s="532"/>
      <c r="E266" s="532"/>
      <c r="F266" s="532"/>
      <c r="G266" s="532"/>
      <c r="H266" s="533"/>
      <c r="I266" s="533"/>
      <c r="J266" s="533"/>
      <c r="K266" s="533"/>
      <c r="L266" s="533"/>
      <c r="M266" s="533"/>
      <c r="N266" s="533"/>
      <c r="O266" s="533"/>
      <c r="P266" s="531">
        <f>SUM(P257:P265)</f>
        <v>27</v>
      </c>
      <c r="Q266" s="534">
        <f>SUM(Q257:Q265)</f>
        <v>0.99999999999999989</v>
      </c>
      <c r="R266" s="535">
        <f>SUM(R257:R265)</f>
        <v>3509</v>
      </c>
      <c r="S266" s="534">
        <f>SUM(S257:S265)</f>
        <v>1</v>
      </c>
      <c r="T266" s="419"/>
      <c r="U266" s="451"/>
      <c r="V266" s="405"/>
    </row>
    <row r="267" spans="1:22" x14ac:dyDescent="0.3">
      <c r="A267" s="430"/>
      <c r="B267" s="431"/>
      <c r="C267" s="431"/>
      <c r="D267" s="431"/>
      <c r="E267" s="431"/>
      <c r="F267" s="431"/>
      <c r="G267" s="431"/>
      <c r="H267" s="498"/>
      <c r="I267" s="498"/>
      <c r="J267" s="498"/>
      <c r="K267" s="498"/>
      <c r="L267" s="498"/>
      <c r="M267" s="498"/>
      <c r="N267" s="498"/>
      <c r="O267" s="498"/>
      <c r="P267" s="455"/>
      <c r="Q267" s="499"/>
      <c r="R267" s="500"/>
      <c r="S267" s="499"/>
      <c r="T267" s="431"/>
      <c r="U267" s="444"/>
      <c r="V267" s="405"/>
    </row>
    <row r="268" spans="1:22" x14ac:dyDescent="0.3">
      <c r="A268" s="503"/>
      <c r="B268" s="612" t="s">
        <v>179</v>
      </c>
      <c r="C268" s="608"/>
      <c r="D268" s="608"/>
      <c r="E268" s="608"/>
      <c r="F268" s="608"/>
      <c r="G268" s="608"/>
      <c r="H268" s="628"/>
      <c r="I268" s="628"/>
      <c r="J268" s="628"/>
      <c r="K268" s="628"/>
      <c r="L268" s="628"/>
      <c r="M268" s="628"/>
      <c r="N268" s="628"/>
      <c r="O268" s="628"/>
      <c r="P268" s="620" t="s">
        <v>108</v>
      </c>
      <c r="Q268" s="613" t="s">
        <v>109</v>
      </c>
      <c r="R268" s="620" t="s">
        <v>117</v>
      </c>
      <c r="S268" s="613" t="s">
        <v>109</v>
      </c>
      <c r="T268" s="608"/>
      <c r="U268" s="611"/>
      <c r="V268" s="405"/>
    </row>
    <row r="269" spans="1:22" x14ac:dyDescent="0.3">
      <c r="A269" s="430"/>
      <c r="B269" s="572" t="s">
        <v>94</v>
      </c>
      <c r="C269" s="539"/>
      <c r="D269" s="539"/>
      <c r="E269" s="539"/>
      <c r="F269" s="539"/>
      <c r="G269" s="539"/>
      <c r="H269" s="540"/>
      <c r="I269" s="540"/>
      <c r="J269" s="540"/>
      <c r="K269" s="540"/>
      <c r="L269" s="540"/>
      <c r="M269" s="540"/>
      <c r="N269" s="540"/>
      <c r="O269" s="540"/>
      <c r="P269" s="572">
        <v>0</v>
      </c>
      <c r="Q269" s="627">
        <v>0</v>
      </c>
      <c r="R269" s="541">
        <v>0</v>
      </c>
      <c r="S269" s="627">
        <v>0</v>
      </c>
      <c r="T269" s="431"/>
      <c r="U269" s="444"/>
      <c r="V269" s="405"/>
    </row>
    <row r="270" spans="1:22" x14ac:dyDescent="0.3">
      <c r="A270" s="428"/>
      <c r="B270" s="531" t="s">
        <v>95</v>
      </c>
      <c r="C270" s="532"/>
      <c r="D270" s="532"/>
      <c r="E270" s="532"/>
      <c r="F270" s="532"/>
      <c r="G270" s="532"/>
      <c r="H270" s="533"/>
      <c r="I270" s="533"/>
      <c r="J270" s="533"/>
      <c r="K270" s="533"/>
      <c r="L270" s="533"/>
      <c r="M270" s="533"/>
      <c r="N270" s="533"/>
      <c r="O270" s="533"/>
      <c r="P270" s="531">
        <v>0</v>
      </c>
      <c r="Q270" s="534">
        <v>0</v>
      </c>
      <c r="R270" s="535">
        <v>0</v>
      </c>
      <c r="S270" s="534">
        <v>0</v>
      </c>
      <c r="T270" s="419"/>
      <c r="U270" s="451"/>
      <c r="V270" s="405"/>
    </row>
    <row r="271" spans="1:22" x14ac:dyDescent="0.3">
      <c r="A271" s="428"/>
      <c r="B271" s="531" t="s">
        <v>96</v>
      </c>
      <c r="C271" s="532"/>
      <c r="D271" s="532"/>
      <c r="E271" s="532"/>
      <c r="F271" s="532"/>
      <c r="G271" s="532"/>
      <c r="H271" s="533"/>
      <c r="I271" s="533"/>
      <c r="J271" s="533"/>
      <c r="K271" s="533"/>
      <c r="L271" s="533"/>
      <c r="M271" s="533"/>
      <c r="N271" s="533"/>
      <c r="O271" s="533"/>
      <c r="P271" s="531">
        <v>0</v>
      </c>
      <c r="Q271" s="534">
        <v>0</v>
      </c>
      <c r="R271" s="535">
        <v>0</v>
      </c>
      <c r="S271" s="534">
        <v>0</v>
      </c>
      <c r="T271" s="419"/>
      <c r="U271" s="451"/>
      <c r="V271" s="405"/>
    </row>
    <row r="272" spans="1:22" x14ac:dyDescent="0.3">
      <c r="A272" s="428"/>
      <c r="B272" s="531" t="s">
        <v>171</v>
      </c>
      <c r="C272" s="532"/>
      <c r="D272" s="532"/>
      <c r="E272" s="532"/>
      <c r="F272" s="532"/>
      <c r="G272" s="532"/>
      <c r="H272" s="533"/>
      <c r="I272" s="533"/>
      <c r="J272" s="533"/>
      <c r="K272" s="533"/>
      <c r="L272" s="533"/>
      <c r="M272" s="533"/>
      <c r="N272" s="533"/>
      <c r="O272" s="533"/>
      <c r="P272" s="531">
        <v>0</v>
      </c>
      <c r="Q272" s="534">
        <v>0</v>
      </c>
      <c r="R272" s="535">
        <v>0</v>
      </c>
      <c r="S272" s="534">
        <v>0</v>
      </c>
      <c r="T272" s="419"/>
      <c r="U272" s="451"/>
      <c r="V272" s="405"/>
    </row>
    <row r="273" spans="1:22" x14ac:dyDescent="0.3">
      <c r="A273" s="428"/>
      <c r="B273" s="531" t="s">
        <v>172</v>
      </c>
      <c r="C273" s="532"/>
      <c r="D273" s="532"/>
      <c r="E273" s="532"/>
      <c r="F273" s="532"/>
      <c r="G273" s="532"/>
      <c r="H273" s="533"/>
      <c r="I273" s="533"/>
      <c r="J273" s="533"/>
      <c r="K273" s="533"/>
      <c r="L273" s="533"/>
      <c r="M273" s="533"/>
      <c r="N273" s="533"/>
      <c r="O273" s="533"/>
      <c r="P273" s="531">
        <v>0</v>
      </c>
      <c r="Q273" s="534">
        <v>0</v>
      </c>
      <c r="R273" s="535">
        <v>0</v>
      </c>
      <c r="S273" s="534">
        <v>0</v>
      </c>
      <c r="T273" s="419"/>
      <c r="U273" s="451"/>
      <c r="V273" s="405"/>
    </row>
    <row r="274" spans="1:22" x14ac:dyDescent="0.3">
      <c r="A274" s="428"/>
      <c r="B274" s="531" t="s">
        <v>173</v>
      </c>
      <c r="C274" s="532"/>
      <c r="D274" s="532"/>
      <c r="E274" s="532"/>
      <c r="F274" s="532"/>
      <c r="G274" s="532"/>
      <c r="H274" s="533"/>
      <c r="I274" s="533"/>
      <c r="J274" s="533"/>
      <c r="K274" s="533"/>
      <c r="L274" s="533"/>
      <c r="M274" s="533"/>
      <c r="N274" s="533"/>
      <c r="O274" s="533"/>
      <c r="P274" s="531">
        <v>0</v>
      </c>
      <c r="Q274" s="534">
        <v>0</v>
      </c>
      <c r="R274" s="535">
        <v>0</v>
      </c>
      <c r="S274" s="534">
        <v>0</v>
      </c>
      <c r="T274" s="419"/>
      <c r="U274" s="451"/>
      <c r="V274" s="405"/>
    </row>
    <row r="275" spans="1:22" x14ac:dyDescent="0.3">
      <c r="A275" s="428"/>
      <c r="B275" s="531" t="s">
        <v>174</v>
      </c>
      <c r="C275" s="532"/>
      <c r="D275" s="532"/>
      <c r="E275" s="532"/>
      <c r="F275" s="532"/>
      <c r="G275" s="532"/>
      <c r="H275" s="533"/>
      <c r="I275" s="533"/>
      <c r="J275" s="533"/>
      <c r="K275" s="533"/>
      <c r="L275" s="533"/>
      <c r="M275" s="533"/>
      <c r="N275" s="533"/>
      <c r="O275" s="533"/>
      <c r="P275" s="531">
        <v>0</v>
      </c>
      <c r="Q275" s="534">
        <v>0</v>
      </c>
      <c r="R275" s="535">
        <v>0</v>
      </c>
      <c r="S275" s="534">
        <v>0</v>
      </c>
      <c r="T275" s="419"/>
      <c r="U275" s="451"/>
      <c r="V275" s="405"/>
    </row>
    <row r="276" spans="1:22" x14ac:dyDescent="0.3">
      <c r="A276" s="428"/>
      <c r="B276" s="531" t="s">
        <v>175</v>
      </c>
      <c r="C276" s="532"/>
      <c r="D276" s="532"/>
      <c r="E276" s="532"/>
      <c r="F276" s="532"/>
      <c r="G276" s="532"/>
      <c r="H276" s="533"/>
      <c r="I276" s="533"/>
      <c r="J276" s="533"/>
      <c r="K276" s="533"/>
      <c r="L276" s="533"/>
      <c r="M276" s="533"/>
      <c r="N276" s="533"/>
      <c r="O276" s="533"/>
      <c r="P276" s="531">
        <v>0</v>
      </c>
      <c r="Q276" s="534">
        <v>0</v>
      </c>
      <c r="R276" s="535">
        <v>0</v>
      </c>
      <c r="S276" s="534">
        <v>0</v>
      </c>
      <c r="T276" s="419"/>
      <c r="U276" s="451"/>
      <c r="V276" s="405"/>
    </row>
    <row r="277" spans="1:22" x14ac:dyDescent="0.3">
      <c r="A277" s="428"/>
      <c r="B277" s="531"/>
      <c r="C277" s="532"/>
      <c r="D277" s="532"/>
      <c r="E277" s="532"/>
      <c r="F277" s="532"/>
      <c r="G277" s="532"/>
      <c r="H277" s="533"/>
      <c r="I277" s="533"/>
      <c r="J277" s="533"/>
      <c r="K277" s="533"/>
      <c r="L277" s="533"/>
      <c r="M277" s="533"/>
      <c r="N277" s="533"/>
      <c r="O277" s="533"/>
      <c r="P277" s="531"/>
      <c r="Q277" s="534"/>
      <c r="R277" s="535"/>
      <c r="S277" s="534"/>
      <c r="T277" s="419"/>
      <c r="U277" s="451"/>
      <c r="V277" s="405"/>
    </row>
    <row r="278" spans="1:22" x14ac:dyDescent="0.3">
      <c r="A278" s="428"/>
      <c r="B278" s="532" t="s">
        <v>123</v>
      </c>
      <c r="C278" s="532"/>
      <c r="D278" s="532"/>
      <c r="E278" s="532"/>
      <c r="F278" s="532"/>
      <c r="G278" s="532"/>
      <c r="H278" s="533"/>
      <c r="I278" s="533"/>
      <c r="J278" s="533"/>
      <c r="K278" s="533"/>
      <c r="L278" s="533"/>
      <c r="M278" s="533"/>
      <c r="N278" s="533"/>
      <c r="O278" s="533"/>
      <c r="P278" s="531">
        <f>SUM(P269:P276)</f>
        <v>0</v>
      </c>
      <c r="Q278" s="534">
        <f>SUM(Q269:Q276)</f>
        <v>0</v>
      </c>
      <c r="R278" s="535">
        <f>SUM(R269:R276)</f>
        <v>0</v>
      </c>
      <c r="S278" s="534">
        <f>SUM(S269:S276)</f>
        <v>0</v>
      </c>
      <c r="T278" s="419"/>
      <c r="U278" s="451"/>
      <c r="V278" s="405"/>
    </row>
    <row r="279" spans="1:22" x14ac:dyDescent="0.3">
      <c r="A279" s="428"/>
      <c r="B279" s="532"/>
      <c r="C279" s="532"/>
      <c r="D279" s="532"/>
      <c r="E279" s="532"/>
      <c r="F279" s="532"/>
      <c r="G279" s="532"/>
      <c r="H279" s="533"/>
      <c r="I279" s="533"/>
      <c r="J279" s="533"/>
      <c r="K279" s="533"/>
      <c r="L279" s="533"/>
      <c r="M279" s="533"/>
      <c r="N279" s="533"/>
      <c r="O279" s="533"/>
      <c r="P279" s="531"/>
      <c r="Q279" s="534"/>
      <c r="R279" s="535"/>
      <c r="S279" s="534"/>
      <c r="T279" s="419"/>
      <c r="U279" s="451"/>
      <c r="V279" s="405"/>
    </row>
    <row r="280" spans="1:22" x14ac:dyDescent="0.3">
      <c r="A280" s="428"/>
      <c r="B280" s="536" t="s">
        <v>180</v>
      </c>
      <c r="C280" s="532"/>
      <c r="D280" s="532"/>
      <c r="E280" s="532"/>
      <c r="F280" s="532"/>
      <c r="G280" s="532"/>
      <c r="H280" s="533"/>
      <c r="I280" s="533"/>
      <c r="J280" s="533"/>
      <c r="K280" s="533"/>
      <c r="L280" s="533"/>
      <c r="M280" s="533"/>
      <c r="N280" s="533"/>
      <c r="O280" s="533"/>
      <c r="P280" s="537">
        <f>+P254+P266+P278</f>
        <v>1815</v>
      </c>
      <c r="Q280" s="534"/>
      <c r="R280" s="538">
        <f>+R278+R266+R254</f>
        <v>221165</v>
      </c>
      <c r="S280" s="534"/>
      <c r="T280" s="419"/>
      <c r="U280" s="451"/>
      <c r="V280" s="405"/>
    </row>
    <row r="281" spans="1:22" x14ac:dyDescent="0.3">
      <c r="A281" s="430"/>
      <c r="B281" s="539"/>
      <c r="C281" s="539"/>
      <c r="D281" s="539"/>
      <c r="E281" s="539"/>
      <c r="F281" s="539"/>
      <c r="G281" s="539"/>
      <c r="H281" s="540"/>
      <c r="I281" s="540"/>
      <c r="J281" s="540"/>
      <c r="K281" s="540"/>
      <c r="L281" s="540"/>
      <c r="M281" s="540"/>
      <c r="N281" s="540"/>
      <c r="O281" s="540"/>
      <c r="P281" s="540"/>
      <c r="Q281" s="540"/>
      <c r="R281" s="541"/>
      <c r="S281" s="540"/>
      <c r="T281" s="431"/>
      <c r="U281" s="444"/>
      <c r="V281" s="405"/>
    </row>
    <row r="282" spans="1:22" x14ac:dyDescent="0.3">
      <c r="A282" s="430"/>
      <c r="B282" s="542"/>
      <c r="C282" s="542"/>
      <c r="D282" s="542"/>
      <c r="E282" s="542"/>
      <c r="F282" s="542"/>
      <c r="G282" s="542"/>
      <c r="H282" s="543"/>
      <c r="I282" s="543"/>
      <c r="J282" s="543"/>
      <c r="K282" s="543"/>
      <c r="L282" s="543"/>
      <c r="M282" s="543"/>
      <c r="N282" s="543"/>
      <c r="O282" s="543"/>
      <c r="P282" s="543"/>
      <c r="Q282" s="543"/>
      <c r="R282" s="544"/>
      <c r="S282" s="543"/>
      <c r="T282" s="434"/>
      <c r="U282" s="409"/>
      <c r="V282" s="405"/>
    </row>
    <row r="283" spans="1:22" x14ac:dyDescent="0.3">
      <c r="A283" s="430"/>
      <c r="B283" s="545" t="s">
        <v>97</v>
      </c>
      <c r="C283" s="542"/>
      <c r="D283" s="542"/>
      <c r="E283" s="542"/>
      <c r="F283" s="546" t="s">
        <v>103</v>
      </c>
      <c r="G283" s="542"/>
      <c r="H283" s="545" t="s">
        <v>105</v>
      </c>
      <c r="I283" s="542"/>
      <c r="J283" s="542"/>
      <c r="K283" s="542"/>
      <c r="L283" s="542"/>
      <c r="M283" s="542"/>
      <c r="N283" s="542"/>
      <c r="O283" s="542"/>
      <c r="P283" s="542"/>
      <c r="Q283" s="542"/>
      <c r="R283" s="542"/>
      <c r="S283" s="542"/>
      <c r="T283" s="434"/>
      <c r="U283" s="409"/>
      <c r="V283" s="405"/>
    </row>
    <row r="284" spans="1:22" x14ac:dyDescent="0.3">
      <c r="A284" s="430"/>
      <c r="B284" s="542"/>
      <c r="C284" s="542"/>
      <c r="D284" s="542"/>
      <c r="E284" s="542"/>
      <c r="F284" s="542"/>
      <c r="G284" s="542"/>
      <c r="H284" s="542"/>
      <c r="I284" s="542"/>
      <c r="J284" s="542"/>
      <c r="K284" s="542"/>
      <c r="L284" s="542"/>
      <c r="M284" s="542"/>
      <c r="N284" s="542"/>
      <c r="O284" s="542"/>
      <c r="P284" s="542"/>
      <c r="Q284" s="542"/>
      <c r="R284" s="542"/>
      <c r="S284" s="542"/>
      <c r="T284" s="434"/>
      <c r="U284" s="409"/>
      <c r="V284" s="405"/>
    </row>
    <row r="285" spans="1:22" x14ac:dyDescent="0.3">
      <c r="A285" s="430"/>
      <c r="B285" s="545" t="s">
        <v>323</v>
      </c>
      <c r="C285" s="545"/>
      <c r="D285" s="545"/>
      <c r="E285" s="545"/>
      <c r="F285" s="547" t="s">
        <v>274</v>
      </c>
      <c r="G285" s="545"/>
      <c r="H285" s="501" t="s">
        <v>348</v>
      </c>
      <c r="I285" s="542"/>
      <c r="J285" s="542"/>
      <c r="K285" s="542"/>
      <c r="L285" s="542"/>
      <c r="M285" s="542"/>
      <c r="N285" s="542"/>
      <c r="O285" s="542"/>
      <c r="P285" s="542"/>
      <c r="Q285" s="542"/>
      <c r="R285" s="542"/>
      <c r="S285" s="542"/>
      <c r="T285" s="434"/>
      <c r="U285" s="409"/>
      <c r="V285" s="405"/>
    </row>
    <row r="286" spans="1:22" x14ac:dyDescent="0.3">
      <c r="A286" s="430"/>
      <c r="B286" s="545" t="s">
        <v>324</v>
      </c>
      <c r="C286" s="545"/>
      <c r="D286" s="545"/>
      <c r="E286" s="545"/>
      <c r="F286" s="547" t="s">
        <v>158</v>
      </c>
      <c r="G286" s="545"/>
      <c r="H286" s="501" t="s">
        <v>349</v>
      </c>
      <c r="I286" s="542"/>
      <c r="J286" s="542"/>
      <c r="K286" s="542"/>
      <c r="L286" s="542"/>
      <c r="M286" s="542"/>
      <c r="N286" s="542"/>
      <c r="O286" s="542"/>
      <c r="P286" s="542"/>
      <c r="Q286" s="542"/>
      <c r="R286" s="542"/>
      <c r="S286" s="542"/>
      <c r="T286" s="434"/>
      <c r="U286" s="409"/>
      <c r="V286" s="405"/>
    </row>
    <row r="287" spans="1:22" x14ac:dyDescent="0.3">
      <c r="A287" s="430"/>
      <c r="B287" s="545"/>
      <c r="C287" s="545"/>
      <c r="D287" s="545"/>
      <c r="E287" s="545"/>
      <c r="F287" s="545"/>
      <c r="G287" s="545"/>
      <c r="H287" s="542"/>
      <c r="I287" s="542"/>
      <c r="J287" s="542"/>
      <c r="K287" s="542"/>
      <c r="L287" s="542"/>
      <c r="M287" s="542"/>
      <c r="N287" s="542"/>
      <c r="O287" s="542"/>
      <c r="P287" s="542"/>
      <c r="Q287" s="542"/>
      <c r="R287" s="542"/>
      <c r="S287" s="542"/>
      <c r="T287" s="434"/>
      <c r="U287" s="409"/>
      <c r="V287" s="405"/>
    </row>
    <row r="288" spans="1:22" x14ac:dyDescent="0.3">
      <c r="A288" s="407"/>
      <c r="B288" s="545"/>
      <c r="C288" s="545"/>
      <c r="D288" s="545"/>
      <c r="E288" s="545"/>
      <c r="F288" s="545"/>
      <c r="G288" s="545"/>
      <c r="H288" s="542"/>
      <c r="I288" s="542"/>
      <c r="J288" s="542"/>
      <c r="K288" s="542"/>
      <c r="L288" s="542"/>
      <c r="M288" s="542"/>
      <c r="N288" s="542"/>
      <c r="O288" s="542"/>
      <c r="P288" s="542"/>
      <c r="Q288" s="542"/>
      <c r="R288" s="542"/>
      <c r="S288" s="542"/>
      <c r="T288" s="409"/>
      <c r="U288" s="409"/>
      <c r="V288" s="405"/>
    </row>
    <row r="289" spans="1:22" ht="18.600000000000001" thickBot="1" x14ac:dyDescent="0.4">
      <c r="A289" s="407"/>
      <c r="B289" s="548" t="str">
        <f>B195</f>
        <v>PM9 INVESTOR REPORT QUARTER ENDING JULY 2018</v>
      </c>
      <c r="C289" s="545"/>
      <c r="D289" s="545"/>
      <c r="E289" s="545"/>
      <c r="F289" s="545"/>
      <c r="G289" s="545"/>
      <c r="H289" s="542"/>
      <c r="I289" s="542"/>
      <c r="J289" s="542"/>
      <c r="K289" s="542"/>
      <c r="L289" s="542"/>
      <c r="M289" s="542"/>
      <c r="N289" s="542"/>
      <c r="O289" s="542"/>
      <c r="P289" s="542"/>
      <c r="Q289" s="542"/>
      <c r="R289" s="542"/>
      <c r="S289" s="542"/>
      <c r="T289" s="409"/>
      <c r="U289" s="409"/>
      <c r="V289" s="405"/>
    </row>
    <row r="290" spans="1:22" x14ac:dyDescent="0.3">
      <c r="A290" s="502"/>
      <c r="B290" s="502"/>
      <c r="C290" s="502"/>
      <c r="D290" s="502"/>
      <c r="E290" s="502"/>
      <c r="F290" s="502"/>
      <c r="G290" s="502"/>
      <c r="H290" s="502"/>
      <c r="I290" s="502"/>
      <c r="J290" s="502"/>
      <c r="K290" s="502"/>
      <c r="L290" s="502"/>
      <c r="M290" s="502"/>
      <c r="N290" s="502"/>
      <c r="O290" s="502"/>
      <c r="P290" s="502"/>
      <c r="Q290" s="502"/>
      <c r="R290" s="502"/>
      <c r="S290" s="502"/>
      <c r="T290" s="502"/>
      <c r="U290" s="502"/>
    </row>
  </sheetData>
  <hyperlinks>
    <hyperlink ref="J9" r:id="rId1" xr:uid="{00000000-0004-0000-3300-000000000000}"/>
    <hyperlink ref="N230" r:id="rId2" xr:uid="{00000000-0004-0000-3300-000001000000}"/>
  </hyperlinks>
  <printOptions horizontalCentered="1" verticalCentered="1"/>
  <pageMargins left="0.19685039370078741" right="0.19685039370078741" top="0.27559055118110237" bottom="0.27559055118110237" header="0" footer="0"/>
  <pageSetup scale="40" orientation="landscape" r:id="rId3"/>
  <headerFooter alignWithMargins="0"/>
  <rowBreaks count="3" manualBreakCount="3">
    <brk id="61" max="20" man="1"/>
    <brk id="134" max="20" man="1"/>
    <brk id="195" max="20" man="1"/>
  </rowBreaks>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89CB31"/>
  </sheetPr>
  <dimension ref="A1:W290"/>
  <sheetViews>
    <sheetView showGridLines="0" showOutlineSymbols="0" zoomScale="70" zoomScaleNormal="70" workbookViewId="0"/>
  </sheetViews>
  <sheetFormatPr defaultColWidth="9.6328125" defaultRowHeight="15.6" x14ac:dyDescent="0.3"/>
  <cols>
    <col min="1" max="1" width="4" style="406" customWidth="1"/>
    <col min="2" max="2" width="71.1796875" style="406" customWidth="1"/>
    <col min="3" max="3" width="2.1796875" style="406" customWidth="1"/>
    <col min="4" max="4" width="19.36328125" style="406" customWidth="1"/>
    <col min="5" max="5" width="2.1796875" style="406" customWidth="1"/>
    <col min="6" max="6" width="25.08984375" style="406" customWidth="1"/>
    <col min="7" max="7" width="2.1796875" style="406" customWidth="1"/>
    <col min="8" max="8" width="16.1796875" style="406" customWidth="1"/>
    <col min="9" max="9" width="2.1796875" style="406" customWidth="1"/>
    <col min="10" max="10" width="17.90625" style="406" customWidth="1"/>
    <col min="11" max="11" width="2.36328125" style="406" customWidth="1"/>
    <col min="12" max="12" width="14.90625" style="406" customWidth="1"/>
    <col min="13" max="13" width="2.36328125" style="406" customWidth="1"/>
    <col min="14" max="14" width="15.54296875" style="406" customWidth="1"/>
    <col min="15" max="15" width="2.1796875" style="406" customWidth="1"/>
    <col min="16" max="16" width="15.54296875" style="406" customWidth="1"/>
    <col min="17" max="18" width="12.6328125" style="406" customWidth="1"/>
    <col min="19" max="19" width="9.6328125" style="406" customWidth="1"/>
    <col min="20" max="20" width="14.6328125" style="406" customWidth="1"/>
    <col min="21" max="21" width="11.81640625" style="406" customWidth="1"/>
    <col min="22" max="16384" width="9.6328125" style="406"/>
  </cols>
  <sheetData>
    <row r="1" spans="1:22" ht="21" x14ac:dyDescent="0.4">
      <c r="A1" s="403"/>
      <c r="B1" s="602" t="s">
        <v>181</v>
      </c>
      <c r="C1" s="404" t="s">
        <v>263</v>
      </c>
      <c r="D1" s="404"/>
      <c r="E1" s="404"/>
      <c r="F1" s="404"/>
      <c r="G1" s="404"/>
      <c r="H1" s="404"/>
      <c r="I1" s="404"/>
      <c r="J1" s="404"/>
      <c r="K1" s="404"/>
      <c r="L1" s="404"/>
      <c r="M1" s="404"/>
      <c r="N1" s="404"/>
      <c r="O1" s="404"/>
      <c r="P1" s="404"/>
      <c r="Q1" s="404"/>
      <c r="R1" s="404"/>
      <c r="S1" s="404"/>
      <c r="T1" s="404"/>
      <c r="U1" s="404"/>
      <c r="V1" s="405"/>
    </row>
    <row r="2" spans="1:22" x14ac:dyDescent="0.3">
      <c r="A2" s="407"/>
      <c r="B2" s="408"/>
      <c r="C2" s="409"/>
      <c r="D2" s="409"/>
      <c r="E2" s="409"/>
      <c r="F2" s="409"/>
      <c r="G2" s="409"/>
      <c r="H2" s="409"/>
      <c r="I2" s="409"/>
      <c r="J2" s="409"/>
      <c r="K2" s="409"/>
      <c r="L2" s="409"/>
      <c r="M2" s="409"/>
      <c r="N2" s="409"/>
      <c r="O2" s="409"/>
      <c r="P2" s="409"/>
      <c r="Q2" s="409"/>
      <c r="R2" s="409"/>
      <c r="S2" s="409"/>
      <c r="T2" s="409"/>
      <c r="U2" s="409"/>
      <c r="V2" s="405"/>
    </row>
    <row r="3" spans="1:22" x14ac:dyDescent="0.3">
      <c r="A3" s="410"/>
      <c r="B3" s="411" t="s">
        <v>182</v>
      </c>
      <c r="C3" s="409"/>
      <c r="D3" s="409"/>
      <c r="E3" s="409"/>
      <c r="F3" s="409"/>
      <c r="G3" s="409"/>
      <c r="H3" s="409"/>
      <c r="I3" s="409"/>
      <c r="J3" s="409"/>
      <c r="K3" s="409"/>
      <c r="L3" s="409"/>
      <c r="M3" s="409"/>
      <c r="N3" s="409"/>
      <c r="O3" s="409"/>
      <c r="P3" s="409"/>
      <c r="Q3" s="409"/>
      <c r="R3" s="409"/>
      <c r="S3" s="409"/>
      <c r="T3" s="409"/>
      <c r="U3" s="409"/>
      <c r="V3" s="405"/>
    </row>
    <row r="4" spans="1:22" x14ac:dyDescent="0.3">
      <c r="A4" s="407"/>
      <c r="B4" s="408"/>
      <c r="C4" s="409"/>
      <c r="D4" s="409"/>
      <c r="E4" s="409"/>
      <c r="F4" s="409"/>
      <c r="G4" s="409"/>
      <c r="H4" s="409"/>
      <c r="I4" s="409"/>
      <c r="J4" s="409"/>
      <c r="K4" s="409"/>
      <c r="L4" s="409"/>
      <c r="M4" s="409"/>
      <c r="N4" s="409"/>
      <c r="O4" s="409"/>
      <c r="P4" s="409"/>
      <c r="Q4" s="409"/>
      <c r="R4" s="409"/>
      <c r="S4" s="409"/>
      <c r="T4" s="409"/>
      <c r="U4" s="409"/>
      <c r="V4" s="405"/>
    </row>
    <row r="5" spans="1:22" x14ac:dyDescent="0.3">
      <c r="A5" s="407"/>
      <c r="B5" s="601" t="s">
        <v>146</v>
      </c>
      <c r="C5" s="409"/>
      <c r="D5" s="409"/>
      <c r="E5" s="409"/>
      <c r="F5" s="409"/>
      <c r="G5" s="409"/>
      <c r="H5" s="409"/>
      <c r="I5" s="409"/>
      <c r="J5" s="409"/>
      <c r="K5" s="409"/>
      <c r="L5" s="409"/>
      <c r="M5" s="409"/>
      <c r="N5" s="409"/>
      <c r="O5" s="409"/>
      <c r="P5" s="409"/>
      <c r="Q5" s="409"/>
      <c r="R5" s="409"/>
      <c r="S5" s="409"/>
      <c r="T5" s="409"/>
      <c r="U5" s="409"/>
      <c r="V5" s="405"/>
    </row>
    <row r="6" spans="1:22" x14ac:dyDescent="0.3">
      <c r="A6" s="407"/>
      <c r="B6" s="601" t="s">
        <v>148</v>
      </c>
      <c r="C6" s="409"/>
      <c r="D6" s="409"/>
      <c r="E6" s="409"/>
      <c r="F6" s="409"/>
      <c r="G6" s="409"/>
      <c r="H6" s="409"/>
      <c r="I6" s="409"/>
      <c r="J6" s="409"/>
      <c r="K6" s="409"/>
      <c r="L6" s="409"/>
      <c r="M6" s="409"/>
      <c r="N6" s="409"/>
      <c r="O6" s="409"/>
      <c r="P6" s="409"/>
      <c r="Q6" s="409"/>
      <c r="R6" s="409"/>
      <c r="S6" s="409"/>
      <c r="T6" s="409"/>
      <c r="U6" s="409"/>
      <c r="V6" s="405"/>
    </row>
    <row r="7" spans="1:22" x14ac:dyDescent="0.3">
      <c r="A7" s="407"/>
      <c r="B7" s="601" t="s">
        <v>147</v>
      </c>
      <c r="C7" s="409"/>
      <c r="D7" s="409"/>
      <c r="E7" s="409"/>
      <c r="F7" s="409"/>
      <c r="G7" s="409"/>
      <c r="H7" s="409"/>
      <c r="I7" s="409"/>
      <c r="J7" s="409"/>
      <c r="K7" s="409"/>
      <c r="L7" s="409"/>
      <c r="M7" s="409"/>
      <c r="N7" s="409"/>
      <c r="O7" s="409"/>
      <c r="P7" s="409"/>
      <c r="Q7" s="409"/>
      <c r="R7" s="409"/>
      <c r="S7" s="409"/>
      <c r="T7" s="409"/>
      <c r="U7" s="409"/>
      <c r="V7" s="405"/>
    </row>
    <row r="8" spans="1:22" x14ac:dyDescent="0.3">
      <c r="A8" s="407"/>
      <c r="B8" s="412"/>
      <c r="C8" s="409"/>
      <c r="D8" s="409"/>
      <c r="E8" s="409"/>
      <c r="F8" s="409"/>
      <c r="G8" s="409"/>
      <c r="H8" s="409"/>
      <c r="I8" s="409"/>
      <c r="J8" s="409"/>
      <c r="K8" s="409"/>
      <c r="L8" s="409"/>
      <c r="M8" s="409"/>
      <c r="N8" s="409"/>
      <c r="O8" s="409"/>
      <c r="P8" s="409"/>
      <c r="Q8" s="409"/>
      <c r="R8" s="409"/>
      <c r="S8" s="409"/>
      <c r="T8" s="409"/>
      <c r="U8" s="409"/>
      <c r="V8" s="405"/>
    </row>
    <row r="9" spans="1:22" ht="18" x14ac:dyDescent="0.35">
      <c r="A9" s="407"/>
      <c r="B9" s="413" t="s">
        <v>206</v>
      </c>
      <c r="C9" s="409"/>
      <c r="D9" s="409"/>
      <c r="E9" s="409"/>
      <c r="F9" s="409"/>
      <c r="G9" s="409"/>
      <c r="H9" s="409"/>
      <c r="I9" s="409"/>
      <c r="J9" s="414" t="s">
        <v>347</v>
      </c>
      <c r="K9" s="409"/>
      <c r="L9" s="409"/>
      <c r="M9" s="409"/>
      <c r="N9" s="409"/>
      <c r="O9" s="409"/>
      <c r="P9" s="409"/>
      <c r="Q9" s="409"/>
      <c r="R9" s="409"/>
      <c r="S9" s="409"/>
      <c r="T9" s="409"/>
      <c r="U9" s="409"/>
      <c r="V9" s="405"/>
    </row>
    <row r="10" spans="1:22" x14ac:dyDescent="0.3">
      <c r="A10" s="407"/>
      <c r="B10" s="412"/>
      <c r="C10" s="415"/>
      <c r="D10" s="415"/>
      <c r="E10" s="415"/>
      <c r="F10" s="409"/>
      <c r="G10" s="409"/>
      <c r="H10" s="409"/>
      <c r="I10" s="409"/>
      <c r="J10" s="409"/>
      <c r="K10" s="409"/>
      <c r="L10" s="409"/>
      <c r="M10" s="409"/>
      <c r="N10" s="409"/>
      <c r="O10" s="409"/>
      <c r="P10" s="409"/>
      <c r="Q10" s="409"/>
      <c r="R10" s="409"/>
      <c r="S10" s="409"/>
      <c r="T10" s="409"/>
      <c r="U10" s="409"/>
      <c r="V10" s="405"/>
    </row>
    <row r="11" spans="1:22" x14ac:dyDescent="0.3">
      <c r="A11" s="407"/>
      <c r="B11" s="545" t="s">
        <v>0</v>
      </c>
      <c r="C11" s="542"/>
      <c r="D11" s="542"/>
      <c r="E11" s="542"/>
      <c r="F11" s="542"/>
      <c r="G11" s="542"/>
      <c r="H11" s="542"/>
      <c r="I11" s="542"/>
      <c r="J11" s="542"/>
      <c r="K11" s="542"/>
      <c r="L11" s="542"/>
      <c r="M11" s="542"/>
      <c r="N11" s="542"/>
      <c r="O11" s="542"/>
      <c r="P11" s="542"/>
      <c r="Q11" s="542"/>
      <c r="R11" s="542"/>
      <c r="S11" s="542"/>
      <c r="T11" s="542"/>
      <c r="U11" s="409"/>
      <c r="V11" s="405"/>
    </row>
    <row r="12" spans="1:22" ht="16.2" thickBot="1" x14ac:dyDescent="0.35">
      <c r="A12" s="407"/>
      <c r="B12" s="545"/>
      <c r="C12" s="542"/>
      <c r="D12" s="542"/>
      <c r="E12" s="542"/>
      <c r="F12" s="542"/>
      <c r="G12" s="542"/>
      <c r="H12" s="542"/>
      <c r="I12" s="542"/>
      <c r="J12" s="542"/>
      <c r="K12" s="542"/>
      <c r="L12" s="542"/>
      <c r="M12" s="542"/>
      <c r="N12" s="542"/>
      <c r="O12" s="542"/>
      <c r="P12" s="542"/>
      <c r="Q12" s="542"/>
      <c r="R12" s="542"/>
      <c r="S12" s="542"/>
      <c r="T12" s="542"/>
      <c r="U12" s="409"/>
      <c r="V12" s="405"/>
    </row>
    <row r="13" spans="1:22" x14ac:dyDescent="0.3">
      <c r="A13" s="403"/>
      <c r="B13" s="593"/>
      <c r="C13" s="593"/>
      <c r="D13" s="593"/>
      <c r="E13" s="593"/>
      <c r="F13" s="593"/>
      <c r="G13" s="593"/>
      <c r="H13" s="593"/>
      <c r="I13" s="593"/>
      <c r="J13" s="593"/>
      <c r="K13" s="593"/>
      <c r="L13" s="593"/>
      <c r="M13" s="593"/>
      <c r="N13" s="593"/>
      <c r="O13" s="593"/>
      <c r="P13" s="593"/>
      <c r="Q13" s="593"/>
      <c r="R13" s="593"/>
      <c r="S13" s="593"/>
      <c r="T13" s="593"/>
      <c r="U13" s="404"/>
      <c r="V13" s="405"/>
    </row>
    <row r="14" spans="1:22" x14ac:dyDescent="0.3">
      <c r="A14" s="407"/>
      <c r="B14" s="545" t="s">
        <v>1</v>
      </c>
      <c r="C14" s="542"/>
      <c r="D14" s="542"/>
      <c r="E14" s="542"/>
      <c r="F14" s="542"/>
      <c r="G14" s="542"/>
      <c r="H14" s="542"/>
      <c r="I14" s="542"/>
      <c r="J14" s="542"/>
      <c r="K14" s="542"/>
      <c r="L14" s="542"/>
      <c r="M14" s="542"/>
      <c r="N14" s="542"/>
      <c r="O14" s="542"/>
      <c r="P14" s="542"/>
      <c r="Q14" s="542"/>
      <c r="R14" s="542"/>
      <c r="S14" s="542"/>
      <c r="T14" s="594" t="s">
        <v>183</v>
      </c>
      <c r="U14" s="416"/>
      <c r="V14" s="405"/>
    </row>
    <row r="15" spans="1:22" x14ac:dyDescent="0.3">
      <c r="A15" s="407"/>
      <c r="B15" s="545" t="s">
        <v>2</v>
      </c>
      <c r="C15" s="542"/>
      <c r="D15" s="542"/>
      <c r="E15" s="542"/>
      <c r="F15" s="542"/>
      <c r="G15" s="542"/>
      <c r="H15" s="595"/>
      <c r="I15" s="595"/>
      <c r="J15" s="595"/>
      <c r="K15" s="595"/>
      <c r="L15" s="595"/>
      <c r="M15" s="595"/>
      <c r="N15" s="595"/>
      <c r="O15" s="595"/>
      <c r="P15" s="595" t="s">
        <v>110</v>
      </c>
      <c r="Q15" s="596">
        <v>0.59430000000000005</v>
      </c>
      <c r="R15" s="546" t="s">
        <v>149</v>
      </c>
      <c r="S15" s="596">
        <v>0.40570000000000001</v>
      </c>
      <c r="T15" s="594"/>
      <c r="U15" s="416"/>
      <c r="V15" s="405"/>
    </row>
    <row r="16" spans="1:22" x14ac:dyDescent="0.3">
      <c r="A16" s="407"/>
      <c r="B16" s="545" t="s">
        <v>3</v>
      </c>
      <c r="C16" s="542"/>
      <c r="D16" s="542"/>
      <c r="E16" s="542"/>
      <c r="F16" s="542"/>
      <c r="G16" s="542"/>
      <c r="H16" s="595"/>
      <c r="I16" s="595"/>
      <c r="J16" s="595"/>
      <c r="K16" s="595"/>
      <c r="L16" s="595"/>
      <c r="M16" s="595"/>
      <c r="N16" s="595"/>
      <c r="O16" s="595"/>
      <c r="P16" s="595" t="s">
        <v>110</v>
      </c>
      <c r="Q16" s="596">
        <v>0.73599999999999999</v>
      </c>
      <c r="R16" s="546" t="s">
        <v>149</v>
      </c>
      <c r="S16" s="596">
        <v>0.26400000000000001</v>
      </c>
      <c r="T16" s="594"/>
      <c r="U16" s="416"/>
      <c r="V16" s="405"/>
    </row>
    <row r="17" spans="1:22" x14ac:dyDescent="0.3">
      <c r="A17" s="407"/>
      <c r="B17" s="545" t="s">
        <v>4</v>
      </c>
      <c r="C17" s="542"/>
      <c r="D17" s="542"/>
      <c r="E17" s="542"/>
      <c r="F17" s="542"/>
      <c r="G17" s="542"/>
      <c r="H17" s="542"/>
      <c r="I17" s="542"/>
      <c r="J17" s="542"/>
      <c r="K17" s="542"/>
      <c r="L17" s="542"/>
      <c r="M17" s="542"/>
      <c r="N17" s="542"/>
      <c r="O17" s="542"/>
      <c r="P17" s="542"/>
      <c r="Q17" s="597"/>
      <c r="R17" s="542"/>
      <c r="S17" s="542"/>
      <c r="T17" s="598">
        <v>38552</v>
      </c>
      <c r="U17" s="416"/>
      <c r="V17" s="405"/>
    </row>
    <row r="18" spans="1:22" x14ac:dyDescent="0.3">
      <c r="A18" s="407"/>
      <c r="B18" s="545" t="s">
        <v>5</v>
      </c>
      <c r="C18" s="542"/>
      <c r="D18" s="542"/>
      <c r="E18" s="542"/>
      <c r="F18" s="542"/>
      <c r="G18" s="542"/>
      <c r="H18" s="542"/>
      <c r="I18" s="542"/>
      <c r="J18" s="542"/>
      <c r="K18" s="542"/>
      <c r="L18" s="542"/>
      <c r="M18" s="542"/>
      <c r="N18" s="542"/>
      <c r="O18" s="542"/>
      <c r="P18" s="542"/>
      <c r="Q18" s="542"/>
      <c r="R18" s="542"/>
      <c r="S18" s="542"/>
      <c r="T18" s="598">
        <v>43426</v>
      </c>
      <c r="U18" s="416"/>
      <c r="V18" s="405"/>
    </row>
    <row r="19" spans="1:22" x14ac:dyDescent="0.3">
      <c r="A19" s="407"/>
      <c r="B19" s="542"/>
      <c r="C19" s="542"/>
      <c r="D19" s="542"/>
      <c r="E19" s="542"/>
      <c r="F19" s="542"/>
      <c r="G19" s="542"/>
      <c r="H19" s="542"/>
      <c r="I19" s="542"/>
      <c r="J19" s="542"/>
      <c r="K19" s="542"/>
      <c r="L19" s="542"/>
      <c r="M19" s="542"/>
      <c r="N19" s="542"/>
      <c r="O19" s="542"/>
      <c r="P19" s="542"/>
      <c r="Q19" s="542"/>
      <c r="R19" s="542"/>
      <c r="S19" s="542"/>
      <c r="T19" s="599"/>
      <c r="U19" s="409"/>
      <c r="V19" s="405"/>
    </row>
    <row r="20" spans="1:22" x14ac:dyDescent="0.3">
      <c r="A20" s="407"/>
      <c r="B20" s="600" t="s">
        <v>6</v>
      </c>
      <c r="C20" s="542"/>
      <c r="D20" s="542"/>
      <c r="E20" s="542"/>
      <c r="F20" s="542"/>
      <c r="G20" s="542"/>
      <c r="H20" s="542"/>
      <c r="I20" s="542"/>
      <c r="J20" s="542"/>
      <c r="K20" s="542"/>
      <c r="L20" s="542"/>
      <c r="M20" s="542"/>
      <c r="N20" s="542"/>
      <c r="O20" s="542"/>
      <c r="P20" s="542"/>
      <c r="Q20" s="542"/>
      <c r="R20" s="599" t="s">
        <v>111</v>
      </c>
      <c r="S20" s="542"/>
      <c r="T20" s="542"/>
      <c r="U20" s="409"/>
      <c r="V20" s="405"/>
    </row>
    <row r="21" spans="1:22" x14ac:dyDescent="0.3">
      <c r="A21" s="407"/>
      <c r="B21" s="409"/>
      <c r="C21" s="409"/>
      <c r="D21" s="409"/>
      <c r="E21" s="409"/>
      <c r="F21" s="409"/>
      <c r="G21" s="409"/>
      <c r="H21" s="409"/>
      <c r="I21" s="409"/>
      <c r="J21" s="409"/>
      <c r="K21" s="409"/>
      <c r="L21" s="409"/>
      <c r="M21" s="409"/>
      <c r="N21" s="409"/>
      <c r="O21" s="409"/>
      <c r="P21" s="409"/>
      <c r="Q21" s="409"/>
      <c r="R21" s="409"/>
      <c r="S21" s="409"/>
      <c r="T21" s="417"/>
      <c r="U21" s="409"/>
      <c r="V21" s="405"/>
    </row>
    <row r="22" spans="1:22" x14ac:dyDescent="0.3">
      <c r="A22" s="503"/>
      <c r="B22" s="608"/>
      <c r="C22" s="609"/>
      <c r="D22" s="609" t="s">
        <v>185</v>
      </c>
      <c r="E22" s="609"/>
      <c r="F22" s="609" t="s">
        <v>186</v>
      </c>
      <c r="G22" s="609"/>
      <c r="H22" s="609" t="s">
        <v>187</v>
      </c>
      <c r="I22" s="609"/>
      <c r="J22" s="609" t="s">
        <v>188</v>
      </c>
      <c r="K22" s="609"/>
      <c r="L22" s="609" t="s">
        <v>189</v>
      </c>
      <c r="M22" s="609"/>
      <c r="N22" s="609" t="s">
        <v>190</v>
      </c>
      <c r="O22" s="609"/>
      <c r="P22" s="609" t="s">
        <v>191</v>
      </c>
      <c r="Q22" s="610"/>
      <c r="R22" s="610"/>
      <c r="S22" s="608"/>
      <c r="T22" s="608"/>
      <c r="U22" s="611"/>
      <c r="V22" s="405"/>
    </row>
    <row r="23" spans="1:22" x14ac:dyDescent="0.3">
      <c r="A23" s="604"/>
      <c r="B23" s="605" t="s">
        <v>7</v>
      </c>
      <c r="C23" s="606"/>
      <c r="D23" s="606" t="s">
        <v>150</v>
      </c>
      <c r="E23" s="606"/>
      <c r="F23" s="606" t="s">
        <v>150</v>
      </c>
      <c r="G23" s="606"/>
      <c r="H23" s="606" t="s">
        <v>150</v>
      </c>
      <c r="I23" s="606"/>
      <c r="J23" s="606" t="s">
        <v>192</v>
      </c>
      <c r="K23" s="606"/>
      <c r="L23" s="606" t="s">
        <v>192</v>
      </c>
      <c r="M23" s="606"/>
      <c r="N23" s="606" t="s">
        <v>151</v>
      </c>
      <c r="O23" s="606"/>
      <c r="P23" s="606" t="s">
        <v>151</v>
      </c>
      <c r="Q23" s="606"/>
      <c r="R23" s="606"/>
      <c r="S23" s="605"/>
      <c r="T23" s="605"/>
      <c r="U23" s="607"/>
      <c r="V23" s="405"/>
    </row>
    <row r="24" spans="1:22" x14ac:dyDescent="0.3">
      <c r="A24" s="418"/>
      <c r="B24" s="532" t="s">
        <v>8</v>
      </c>
      <c r="C24" s="582"/>
      <c r="D24" s="582" t="s">
        <v>152</v>
      </c>
      <c r="E24" s="582"/>
      <c r="F24" s="582" t="s">
        <v>152</v>
      </c>
      <c r="G24" s="582"/>
      <c r="H24" s="582" t="s">
        <v>152</v>
      </c>
      <c r="I24" s="582"/>
      <c r="J24" s="582" t="s">
        <v>193</v>
      </c>
      <c r="K24" s="582"/>
      <c r="L24" s="582" t="s">
        <v>193</v>
      </c>
      <c r="M24" s="582"/>
      <c r="N24" s="582" t="s">
        <v>153</v>
      </c>
      <c r="O24" s="582"/>
      <c r="P24" s="582" t="s">
        <v>153</v>
      </c>
      <c r="Q24" s="582"/>
      <c r="R24" s="582"/>
      <c r="S24" s="532"/>
      <c r="T24" s="532"/>
      <c r="U24" s="420"/>
      <c r="V24" s="405"/>
    </row>
    <row r="25" spans="1:22" x14ac:dyDescent="0.3">
      <c r="A25" s="421"/>
      <c r="B25" s="536" t="s">
        <v>9</v>
      </c>
      <c r="C25" s="583"/>
      <c r="D25" s="583" t="s">
        <v>329</v>
      </c>
      <c r="E25" s="583"/>
      <c r="F25" s="583" t="s">
        <v>329</v>
      </c>
      <c r="G25" s="583"/>
      <c r="H25" s="583" t="s">
        <v>329</v>
      </c>
      <c r="I25" s="583"/>
      <c r="J25" s="583" t="s">
        <v>334</v>
      </c>
      <c r="K25" s="583"/>
      <c r="L25" s="583" t="s">
        <v>334</v>
      </c>
      <c r="M25" s="583"/>
      <c r="N25" s="583" t="s">
        <v>330</v>
      </c>
      <c r="O25" s="583"/>
      <c r="P25" s="583" t="s">
        <v>330</v>
      </c>
      <c r="Q25" s="583"/>
      <c r="R25" s="582"/>
      <c r="S25" s="532"/>
      <c r="T25" s="532"/>
      <c r="U25" s="420"/>
      <c r="V25" s="405"/>
    </row>
    <row r="26" spans="1:22" x14ac:dyDescent="0.3">
      <c r="A26" s="421"/>
      <c r="B26" s="536" t="s">
        <v>10</v>
      </c>
      <c r="C26" s="583"/>
      <c r="D26" s="583" t="s">
        <v>339</v>
      </c>
      <c r="E26" s="583"/>
      <c r="F26" s="583" t="s">
        <v>339</v>
      </c>
      <c r="G26" s="583"/>
      <c r="H26" s="583" t="s">
        <v>339</v>
      </c>
      <c r="I26" s="583"/>
      <c r="J26" s="583" t="s">
        <v>339</v>
      </c>
      <c r="K26" s="583"/>
      <c r="L26" s="583" t="s">
        <v>339</v>
      </c>
      <c r="M26" s="583"/>
      <c r="N26" s="583" t="s">
        <v>339</v>
      </c>
      <c r="O26" s="583"/>
      <c r="P26" s="583" t="s">
        <v>339</v>
      </c>
      <c r="Q26" s="583"/>
      <c r="R26" s="582"/>
      <c r="S26" s="532"/>
      <c r="T26" s="532"/>
      <c r="U26" s="420"/>
      <c r="V26" s="405"/>
    </row>
    <row r="27" spans="1:22" x14ac:dyDescent="0.3">
      <c r="A27" s="418"/>
      <c r="B27" s="532" t="s">
        <v>11</v>
      </c>
      <c r="C27" s="582"/>
      <c r="D27" s="582" t="s">
        <v>194</v>
      </c>
      <c r="E27" s="582"/>
      <c r="F27" s="552" t="s">
        <v>195</v>
      </c>
      <c r="G27" s="582"/>
      <c r="H27" s="582" t="s">
        <v>196</v>
      </c>
      <c r="I27" s="582"/>
      <c r="J27" s="582" t="s">
        <v>198</v>
      </c>
      <c r="K27" s="582"/>
      <c r="L27" s="582" t="s">
        <v>199</v>
      </c>
      <c r="M27" s="582"/>
      <c r="N27" s="582" t="s">
        <v>200</v>
      </c>
      <c r="O27" s="582"/>
      <c r="P27" s="582" t="s">
        <v>201</v>
      </c>
      <c r="Q27" s="582"/>
      <c r="R27" s="552"/>
      <c r="S27" s="532"/>
      <c r="T27" s="532"/>
      <c r="U27" s="420"/>
      <c r="V27" s="405"/>
    </row>
    <row r="28" spans="1:22" x14ac:dyDescent="0.3">
      <c r="A28" s="418"/>
      <c r="B28" s="532" t="s">
        <v>11</v>
      </c>
      <c r="C28" s="582"/>
      <c r="D28" s="582" t="s">
        <v>127</v>
      </c>
      <c r="E28" s="582"/>
      <c r="F28" s="552" t="s">
        <v>127</v>
      </c>
      <c r="G28" s="582"/>
      <c r="H28" s="582" t="s">
        <v>197</v>
      </c>
      <c r="I28" s="582"/>
      <c r="J28" s="582" t="s">
        <v>127</v>
      </c>
      <c r="K28" s="582"/>
      <c r="L28" s="582" t="s">
        <v>127</v>
      </c>
      <c r="M28" s="582"/>
      <c r="N28" s="582" t="s">
        <v>127</v>
      </c>
      <c r="O28" s="582"/>
      <c r="P28" s="582" t="s">
        <v>127</v>
      </c>
      <c r="Q28" s="582"/>
      <c r="R28" s="552"/>
      <c r="S28" s="532"/>
      <c r="T28" s="532"/>
      <c r="U28" s="420"/>
      <c r="V28" s="405"/>
    </row>
    <row r="29" spans="1:22" x14ac:dyDescent="0.3">
      <c r="A29" s="418"/>
      <c r="B29" s="532" t="s">
        <v>142</v>
      </c>
      <c r="C29" s="584"/>
      <c r="D29" s="577">
        <v>346000</v>
      </c>
      <c r="E29" s="584"/>
      <c r="F29" s="585">
        <v>355000</v>
      </c>
      <c r="G29" s="577"/>
      <c r="H29" s="586">
        <v>60000</v>
      </c>
      <c r="I29" s="577"/>
      <c r="J29" s="577">
        <v>7000</v>
      </c>
      <c r="K29" s="577"/>
      <c r="L29" s="585">
        <v>29500</v>
      </c>
      <c r="M29" s="577"/>
      <c r="N29" s="587">
        <v>3000</v>
      </c>
      <c r="O29" s="577"/>
      <c r="P29" s="585">
        <v>66000</v>
      </c>
      <c r="Q29" s="577"/>
      <c r="R29" s="577"/>
      <c r="S29" s="584"/>
      <c r="T29" s="577"/>
      <c r="U29" s="423"/>
      <c r="V29" s="405"/>
    </row>
    <row r="30" spans="1:22" x14ac:dyDescent="0.3">
      <c r="A30" s="418"/>
      <c r="B30" s="532" t="s">
        <v>141</v>
      </c>
      <c r="C30" s="584"/>
      <c r="D30" s="577">
        <f>D29*D36</f>
        <v>96083.162000000011</v>
      </c>
      <c r="E30" s="584"/>
      <c r="F30" s="585">
        <f>F29*F36</f>
        <v>98582.435000000012</v>
      </c>
      <c r="G30" s="577"/>
      <c r="H30" s="586">
        <f>H29*H36</f>
        <v>16661.682000000001</v>
      </c>
      <c r="I30" s="577"/>
      <c r="J30" s="577">
        <f>J29*J36</f>
        <v>4423.2860000000001</v>
      </c>
      <c r="K30" s="577"/>
      <c r="L30" s="585">
        <f>L29*L36</f>
        <v>18640.990999999998</v>
      </c>
      <c r="M30" s="577"/>
      <c r="N30" s="587">
        <f>N29*N36</f>
        <v>1895.694</v>
      </c>
      <c r="O30" s="577"/>
      <c r="P30" s="585">
        <f>P29*P36</f>
        <v>41705.267999999996</v>
      </c>
      <c r="Q30" s="577"/>
      <c r="R30" s="577"/>
      <c r="S30" s="584"/>
      <c r="T30" s="577"/>
      <c r="U30" s="423"/>
      <c r="V30" s="405"/>
    </row>
    <row r="31" spans="1:22" x14ac:dyDescent="0.3">
      <c r="A31" s="421"/>
      <c r="B31" s="536" t="s">
        <v>143</v>
      </c>
      <c r="C31" s="588"/>
      <c r="D31" s="589">
        <f>D35*D29</f>
        <v>94272.751600000003</v>
      </c>
      <c r="E31" s="588"/>
      <c r="F31" s="590">
        <f>F35*F29</f>
        <v>96724.933000000005</v>
      </c>
      <c r="G31" s="589"/>
      <c r="H31" s="591">
        <f>H35*H29</f>
        <v>16347.732</v>
      </c>
      <c r="I31" s="589"/>
      <c r="J31" s="589">
        <f>J35*J29</f>
        <v>4339.9398000000001</v>
      </c>
      <c r="K31" s="589"/>
      <c r="L31" s="590">
        <f>L35*L29</f>
        <v>18289.746299999999</v>
      </c>
      <c r="M31" s="589"/>
      <c r="N31" s="592">
        <f>N35*N29</f>
        <v>1859.9741999999999</v>
      </c>
      <c r="O31" s="589"/>
      <c r="P31" s="590">
        <f>P35*P29</f>
        <v>40919.432399999998</v>
      </c>
      <c r="Q31" s="589"/>
      <c r="R31" s="589"/>
      <c r="S31" s="588"/>
      <c r="T31" s="589"/>
      <c r="U31" s="423"/>
      <c r="V31" s="405"/>
    </row>
    <row r="32" spans="1:22" x14ac:dyDescent="0.3">
      <c r="A32" s="418"/>
      <c r="B32" s="532" t="s">
        <v>289</v>
      </c>
      <c r="C32" s="584"/>
      <c r="D32" s="577">
        <v>346000</v>
      </c>
      <c r="E32" s="584"/>
      <c r="F32" s="577">
        <v>244500</v>
      </c>
      <c r="G32" s="577"/>
      <c r="H32" s="577">
        <v>33900</v>
      </c>
      <c r="I32" s="577"/>
      <c r="J32" s="577">
        <v>7000</v>
      </c>
      <c r="K32" s="577"/>
      <c r="L32" s="577">
        <v>20300</v>
      </c>
      <c r="M32" s="577"/>
      <c r="N32" s="577">
        <v>3000</v>
      </c>
      <c r="O32" s="577"/>
      <c r="P32" s="577">
        <v>45300</v>
      </c>
      <c r="Q32" s="577"/>
      <c r="R32" s="577"/>
      <c r="S32" s="584"/>
      <c r="T32" s="577">
        <f>SUM(C32:P32)</f>
        <v>700000</v>
      </c>
      <c r="U32" s="423"/>
      <c r="V32" s="405"/>
    </row>
    <row r="33" spans="1:22" x14ac:dyDescent="0.3">
      <c r="A33" s="418"/>
      <c r="B33" s="532" t="s">
        <v>290</v>
      </c>
      <c r="C33" s="584"/>
      <c r="D33" s="577">
        <f>D32*D36</f>
        <v>96083.162000000011</v>
      </c>
      <c r="E33" s="584"/>
      <c r="F33" s="577">
        <f>F32*F36</f>
        <v>67896.916500000007</v>
      </c>
      <c r="G33" s="577"/>
      <c r="H33" s="577">
        <f>H32*H36</f>
        <v>9413.8503300000011</v>
      </c>
      <c r="I33" s="577"/>
      <c r="J33" s="577">
        <f>J32*J36</f>
        <v>4423.2860000000001</v>
      </c>
      <c r="K33" s="577"/>
      <c r="L33" s="577">
        <f>L32*L36</f>
        <v>12827.529399999999</v>
      </c>
      <c r="M33" s="577"/>
      <c r="N33" s="577">
        <f>N32*N36</f>
        <v>1895.694</v>
      </c>
      <c r="O33" s="577"/>
      <c r="P33" s="577">
        <f>P32*P36</f>
        <v>28624.979399999997</v>
      </c>
      <c r="Q33" s="577"/>
      <c r="R33" s="577"/>
      <c r="S33" s="584"/>
      <c r="T33" s="577">
        <f>SUM(C33:P33)</f>
        <v>221165.41762999998</v>
      </c>
      <c r="U33" s="423"/>
      <c r="V33" s="405"/>
    </row>
    <row r="34" spans="1:22" x14ac:dyDescent="0.3">
      <c r="A34" s="421"/>
      <c r="B34" s="536" t="s">
        <v>291</v>
      </c>
      <c r="C34" s="588"/>
      <c r="D34" s="589">
        <f>D35*D32</f>
        <v>94272.751600000003</v>
      </c>
      <c r="E34" s="588"/>
      <c r="F34" s="589">
        <f>F35*F32</f>
        <v>66617.594700000001</v>
      </c>
      <c r="G34" s="589"/>
      <c r="H34" s="589">
        <f>H35*H32</f>
        <v>9236.4685799999988</v>
      </c>
      <c r="I34" s="589"/>
      <c r="J34" s="589">
        <f>J35*J32</f>
        <v>4339.9398000000001</v>
      </c>
      <c r="K34" s="589"/>
      <c r="L34" s="589">
        <f>L35*L32</f>
        <v>12585.825419999999</v>
      </c>
      <c r="M34" s="589"/>
      <c r="N34" s="589">
        <f>N35*N32</f>
        <v>1859.9741999999999</v>
      </c>
      <c r="O34" s="589"/>
      <c r="P34" s="589">
        <f>P35*P32</f>
        <v>28085.610419999997</v>
      </c>
      <c r="Q34" s="589"/>
      <c r="R34" s="589"/>
      <c r="S34" s="588"/>
      <c r="T34" s="589">
        <f>SUM(C34:P34)</f>
        <v>216998.16472</v>
      </c>
      <c r="U34" s="423"/>
      <c r="V34" s="405"/>
    </row>
    <row r="35" spans="1:22" x14ac:dyDescent="0.3">
      <c r="A35" s="421"/>
      <c r="B35" s="514" t="s">
        <v>139</v>
      </c>
      <c r="C35" s="515"/>
      <c r="D35" s="516">
        <v>0.2724646</v>
      </c>
      <c r="E35" s="517"/>
      <c r="F35" s="516">
        <v>0.2724646</v>
      </c>
      <c r="G35" s="516"/>
      <c r="H35" s="516">
        <v>0.27246219999999999</v>
      </c>
      <c r="I35" s="518"/>
      <c r="J35" s="516">
        <v>0.61999139999999997</v>
      </c>
      <c r="K35" s="516"/>
      <c r="L35" s="516">
        <v>0.61999139999999997</v>
      </c>
      <c r="M35" s="518"/>
      <c r="N35" s="516">
        <v>0.61999139999999997</v>
      </c>
      <c r="O35" s="516"/>
      <c r="P35" s="516">
        <v>0.61999139999999997</v>
      </c>
      <c r="Q35" s="424"/>
      <c r="R35" s="424"/>
      <c r="S35" s="425"/>
      <c r="T35" s="424"/>
      <c r="U35" s="426"/>
      <c r="V35" s="405"/>
    </row>
    <row r="36" spans="1:22" x14ac:dyDescent="0.3">
      <c r="A36" s="421"/>
      <c r="B36" s="514" t="s">
        <v>140</v>
      </c>
      <c r="C36" s="515"/>
      <c r="D36" s="516">
        <v>0.27769700000000003</v>
      </c>
      <c r="E36" s="517"/>
      <c r="F36" s="516">
        <v>0.27769700000000003</v>
      </c>
      <c r="G36" s="516"/>
      <c r="H36" s="516">
        <v>0.27769470000000002</v>
      </c>
      <c r="I36" s="518"/>
      <c r="J36" s="516">
        <v>0.63189799999999996</v>
      </c>
      <c r="K36" s="516"/>
      <c r="L36" s="516">
        <v>0.63189799999999996</v>
      </c>
      <c r="M36" s="518"/>
      <c r="N36" s="516">
        <v>0.63189799999999996</v>
      </c>
      <c r="O36" s="516"/>
      <c r="P36" s="516">
        <v>0.63189799999999996</v>
      </c>
      <c r="Q36" s="427"/>
      <c r="R36" s="427"/>
      <c r="S36" s="425"/>
      <c r="T36" s="424"/>
      <c r="U36" s="426"/>
      <c r="V36" s="405"/>
    </row>
    <row r="37" spans="1:22" x14ac:dyDescent="0.3">
      <c r="A37" s="428"/>
      <c r="B37" s="532" t="s">
        <v>12</v>
      </c>
      <c r="C37" s="532"/>
      <c r="D37" s="552" t="s">
        <v>166</v>
      </c>
      <c r="E37" s="532"/>
      <c r="F37" s="552" t="s">
        <v>166</v>
      </c>
      <c r="G37" s="552"/>
      <c r="H37" s="552" t="s">
        <v>166</v>
      </c>
      <c r="I37" s="552"/>
      <c r="J37" s="552" t="s">
        <v>204</v>
      </c>
      <c r="K37" s="552"/>
      <c r="L37" s="552" t="s">
        <v>204</v>
      </c>
      <c r="M37" s="552"/>
      <c r="N37" s="552" t="s">
        <v>205</v>
      </c>
      <c r="O37" s="552"/>
      <c r="P37" s="552" t="s">
        <v>205</v>
      </c>
      <c r="Q37" s="552"/>
      <c r="R37" s="552"/>
      <c r="S37" s="532"/>
      <c r="T37" s="532"/>
      <c r="U37" s="562"/>
      <c r="V37" s="405"/>
    </row>
    <row r="38" spans="1:22" x14ac:dyDescent="0.3">
      <c r="A38" s="428"/>
      <c r="B38" s="532" t="s">
        <v>13</v>
      </c>
      <c r="C38" s="532"/>
      <c r="D38" s="574">
        <v>1.1617499999999999E-2</v>
      </c>
      <c r="E38" s="532"/>
      <c r="F38" s="574">
        <v>4.0999999999999999E-4</v>
      </c>
      <c r="G38" s="558"/>
      <c r="H38" s="574">
        <v>2.6737500000000001E-2</v>
      </c>
      <c r="I38" s="558"/>
      <c r="J38" s="574">
        <v>1.38175E-2</v>
      </c>
      <c r="K38" s="558"/>
      <c r="L38" s="574">
        <v>2.6099999999999999E-3</v>
      </c>
      <c r="M38" s="558"/>
      <c r="N38" s="574">
        <v>1.84175E-2</v>
      </c>
      <c r="O38" s="558"/>
      <c r="P38" s="574">
        <v>7.2100000000000003E-3</v>
      </c>
      <c r="Q38" s="558"/>
      <c r="R38" s="574"/>
      <c r="S38" s="532"/>
      <c r="T38" s="558"/>
      <c r="U38" s="562"/>
      <c r="V38" s="405"/>
    </row>
    <row r="39" spans="1:22" x14ac:dyDescent="0.3">
      <c r="A39" s="428"/>
      <c r="B39" s="532" t="s">
        <v>14</v>
      </c>
      <c r="C39" s="532"/>
      <c r="D39" s="574">
        <v>1.0003099999999999E-2</v>
      </c>
      <c r="E39" s="532"/>
      <c r="F39" s="574">
        <v>3.3E-4</v>
      </c>
      <c r="G39" s="558"/>
      <c r="H39" s="574">
        <v>2.7025E-2</v>
      </c>
      <c r="I39" s="558"/>
      <c r="J39" s="574">
        <v>1.22031E-2</v>
      </c>
      <c r="K39" s="558"/>
      <c r="L39" s="574">
        <v>2.5300000000000001E-3</v>
      </c>
      <c r="M39" s="558"/>
      <c r="N39" s="574">
        <v>1.6803100000000001E-2</v>
      </c>
      <c r="O39" s="558"/>
      <c r="P39" s="574">
        <v>7.1300000000000001E-3</v>
      </c>
      <c r="Q39" s="558"/>
      <c r="R39" s="574"/>
      <c r="S39" s="532"/>
      <c r="T39" s="532"/>
      <c r="U39" s="562"/>
      <c r="V39" s="405"/>
    </row>
    <row r="40" spans="1:22" x14ac:dyDescent="0.3">
      <c r="A40" s="428"/>
      <c r="B40" s="532" t="s">
        <v>292</v>
      </c>
      <c r="C40" s="532"/>
      <c r="D40" s="552" t="s">
        <v>166</v>
      </c>
      <c r="E40" s="532"/>
      <c r="F40" s="552" t="s">
        <v>209</v>
      </c>
      <c r="G40" s="552"/>
      <c r="H40" s="552" t="s">
        <v>210</v>
      </c>
      <c r="I40" s="552"/>
      <c r="J40" s="552" t="s">
        <v>204</v>
      </c>
      <c r="K40" s="552"/>
      <c r="L40" s="552" t="s">
        <v>211</v>
      </c>
      <c r="M40" s="552"/>
      <c r="N40" s="552" t="s">
        <v>205</v>
      </c>
      <c r="O40" s="552"/>
      <c r="P40" s="552" t="s">
        <v>212</v>
      </c>
      <c r="Q40" s="558"/>
      <c r="R40" s="574"/>
      <c r="S40" s="532"/>
      <c r="T40" s="558"/>
      <c r="U40" s="562"/>
      <c r="V40" s="405"/>
    </row>
    <row r="41" spans="1:22" x14ac:dyDescent="0.3">
      <c r="A41" s="428"/>
      <c r="B41" s="532" t="s">
        <v>293</v>
      </c>
      <c r="C41" s="532"/>
      <c r="D41" s="574">
        <f>+D38</f>
        <v>1.1617499999999999E-2</v>
      </c>
      <c r="E41" s="532"/>
      <c r="F41" s="574">
        <v>1.18175E-2</v>
      </c>
      <c r="G41" s="558"/>
      <c r="H41" s="574">
        <v>1.20775E-2</v>
      </c>
      <c r="I41" s="558"/>
      <c r="J41" s="574">
        <f>+J38</f>
        <v>1.38175E-2</v>
      </c>
      <c r="K41" s="558"/>
      <c r="L41" s="574">
        <v>1.44075E-2</v>
      </c>
      <c r="M41" s="558"/>
      <c r="N41" s="574">
        <f>+N38</f>
        <v>1.84175E-2</v>
      </c>
      <c r="O41" s="558"/>
      <c r="P41" s="574">
        <v>1.9297499999999999E-2</v>
      </c>
      <c r="Q41" s="558"/>
      <c r="R41" s="574"/>
      <c r="S41" s="532"/>
      <c r="T41" s="558">
        <f>SUMPRODUCT(D41:P41,D33:P33)/T33</f>
        <v>1.2956589785570653E-2</v>
      </c>
      <c r="U41" s="562"/>
      <c r="V41" s="405"/>
    </row>
    <row r="42" spans="1:22" x14ac:dyDescent="0.3">
      <c r="A42" s="428"/>
      <c r="B42" s="532" t="s">
        <v>294</v>
      </c>
      <c r="C42" s="532"/>
      <c r="D42" s="574">
        <f>+D39</f>
        <v>1.0003099999999999E-2</v>
      </c>
      <c r="E42" s="532"/>
      <c r="F42" s="574">
        <v>1.02031E-2</v>
      </c>
      <c r="G42" s="558"/>
      <c r="H42" s="574">
        <v>1.0463099999999999E-2</v>
      </c>
      <c r="I42" s="558"/>
      <c r="J42" s="574">
        <f>+J39</f>
        <v>1.22031E-2</v>
      </c>
      <c r="K42" s="558"/>
      <c r="L42" s="574">
        <v>1.27931E-2</v>
      </c>
      <c r="M42" s="558"/>
      <c r="N42" s="574">
        <f>+N39</f>
        <v>1.6803100000000001E-2</v>
      </c>
      <c r="O42" s="558"/>
      <c r="P42" s="574">
        <v>1.76831E-2</v>
      </c>
      <c r="Q42" s="558"/>
      <c r="R42" s="574"/>
      <c r="S42" s="532"/>
      <c r="T42" s="532"/>
      <c r="U42" s="562"/>
      <c r="V42" s="405"/>
    </row>
    <row r="43" spans="1:22" x14ac:dyDescent="0.3">
      <c r="A43" s="428"/>
      <c r="B43" s="532" t="s">
        <v>15</v>
      </c>
      <c r="C43" s="575"/>
      <c r="D43" s="575">
        <v>39948</v>
      </c>
      <c r="E43" s="575"/>
      <c r="F43" s="575">
        <v>39948</v>
      </c>
      <c r="G43" s="575"/>
      <c r="H43" s="575">
        <v>39948</v>
      </c>
      <c r="I43" s="575"/>
      <c r="J43" s="575">
        <v>39948</v>
      </c>
      <c r="K43" s="575"/>
      <c r="L43" s="575">
        <v>39948</v>
      </c>
      <c r="M43" s="575"/>
      <c r="N43" s="575">
        <v>39948</v>
      </c>
      <c r="O43" s="575"/>
      <c r="P43" s="575">
        <v>39948</v>
      </c>
      <c r="Q43" s="552"/>
      <c r="R43" s="552"/>
      <c r="S43" s="532"/>
      <c r="T43" s="532"/>
      <c r="U43" s="562"/>
      <c r="V43" s="405"/>
    </row>
    <row r="44" spans="1:22" x14ac:dyDescent="0.3">
      <c r="A44" s="428"/>
      <c r="B44" s="532" t="s">
        <v>16</v>
      </c>
      <c r="C44" s="575"/>
      <c r="D44" s="575">
        <v>40313</v>
      </c>
      <c r="E44" s="575"/>
      <c r="F44" s="575">
        <v>40313</v>
      </c>
      <c r="G44" s="575"/>
      <c r="H44" s="575">
        <v>40313</v>
      </c>
      <c r="I44" s="552"/>
      <c r="J44" s="575">
        <v>40313</v>
      </c>
      <c r="K44" s="552"/>
      <c r="L44" s="575">
        <v>40313</v>
      </c>
      <c r="M44" s="552"/>
      <c r="N44" s="575">
        <v>40313</v>
      </c>
      <c r="O44" s="552"/>
      <c r="P44" s="575">
        <v>40313</v>
      </c>
      <c r="Q44" s="552"/>
      <c r="R44" s="552"/>
      <c r="S44" s="532"/>
      <c r="T44" s="532"/>
      <c r="U44" s="562"/>
      <c r="V44" s="405"/>
    </row>
    <row r="45" spans="1:22" x14ac:dyDescent="0.3">
      <c r="A45" s="428"/>
      <c r="B45" s="532" t="s">
        <v>128</v>
      </c>
      <c r="C45" s="532"/>
      <c r="D45" s="552" t="s">
        <v>166</v>
      </c>
      <c r="E45" s="532"/>
      <c r="F45" s="552" t="s">
        <v>166</v>
      </c>
      <c r="G45" s="552"/>
      <c r="H45" s="552" t="s">
        <v>166</v>
      </c>
      <c r="I45" s="552"/>
      <c r="J45" s="552" t="s">
        <v>204</v>
      </c>
      <c r="K45" s="552"/>
      <c r="L45" s="552" t="s">
        <v>204</v>
      </c>
      <c r="M45" s="552"/>
      <c r="N45" s="552" t="s">
        <v>205</v>
      </c>
      <c r="O45" s="552"/>
      <c r="P45" s="552" t="s">
        <v>205</v>
      </c>
      <c r="Q45" s="552"/>
      <c r="R45" s="552"/>
      <c r="S45" s="532"/>
      <c r="T45" s="532"/>
      <c r="U45" s="562"/>
      <c r="V45" s="405"/>
    </row>
    <row r="46" spans="1:22" x14ac:dyDescent="0.3">
      <c r="A46" s="428"/>
      <c r="B46" s="532" t="s">
        <v>295</v>
      </c>
      <c r="C46" s="532"/>
      <c r="D46" s="552" t="s">
        <v>166</v>
      </c>
      <c r="E46" s="532"/>
      <c r="F46" s="552" t="s">
        <v>209</v>
      </c>
      <c r="G46" s="552"/>
      <c r="H46" s="552" t="s">
        <v>210</v>
      </c>
      <c r="I46" s="552"/>
      <c r="J46" s="552" t="s">
        <v>204</v>
      </c>
      <c r="K46" s="552"/>
      <c r="L46" s="552" t="s">
        <v>211</v>
      </c>
      <c r="M46" s="552"/>
      <c r="N46" s="552" t="s">
        <v>205</v>
      </c>
      <c r="O46" s="552"/>
      <c r="P46" s="552" t="s">
        <v>212</v>
      </c>
      <c r="Q46" s="552"/>
      <c r="R46" s="552"/>
      <c r="S46" s="532"/>
      <c r="T46" s="532"/>
      <c r="U46" s="562"/>
      <c r="V46" s="405"/>
    </row>
    <row r="47" spans="1:22" x14ac:dyDescent="0.3">
      <c r="A47" s="428"/>
      <c r="B47" s="532"/>
      <c r="C47" s="532"/>
      <c r="D47" s="532"/>
      <c r="E47" s="532"/>
      <c r="F47" s="552"/>
      <c r="G47" s="552"/>
      <c r="H47" s="550"/>
      <c r="I47" s="550"/>
      <c r="J47" s="550"/>
      <c r="K47" s="550"/>
      <c r="L47" s="550"/>
      <c r="M47" s="550"/>
      <c r="N47" s="550"/>
      <c r="O47" s="550"/>
      <c r="P47" s="550"/>
      <c r="Q47" s="550"/>
      <c r="R47" s="550"/>
      <c r="S47" s="550"/>
      <c r="T47" s="550"/>
      <c r="U47" s="562"/>
      <c r="V47" s="405"/>
    </row>
    <row r="48" spans="1:22" x14ac:dyDescent="0.3">
      <c r="A48" s="428"/>
      <c r="B48" s="532" t="s">
        <v>224</v>
      </c>
      <c r="C48" s="532"/>
      <c r="D48" s="532"/>
      <c r="E48" s="532"/>
      <c r="F48" s="576"/>
      <c r="G48" s="532"/>
      <c r="H48" s="532"/>
      <c r="I48" s="532"/>
      <c r="J48" s="532"/>
      <c r="K48" s="532"/>
      <c r="L48" s="532"/>
      <c r="M48" s="532"/>
      <c r="N48" s="532"/>
      <c r="O48" s="532"/>
      <c r="P48" s="532"/>
      <c r="Q48" s="532"/>
      <c r="R48" s="532"/>
      <c r="S48" s="532"/>
      <c r="T48" s="558">
        <f>SUM(J32:P32)/SUM(D32:H32)</f>
        <v>0.1210762331838565</v>
      </c>
      <c r="U48" s="562"/>
      <c r="V48" s="405"/>
    </row>
    <row r="49" spans="1:23" x14ac:dyDescent="0.3">
      <c r="A49" s="428"/>
      <c r="B49" s="532" t="s">
        <v>225</v>
      </c>
      <c r="C49" s="532"/>
      <c r="D49" s="532"/>
      <c r="E49" s="532"/>
      <c r="F49" s="576"/>
      <c r="G49" s="532"/>
      <c r="H49" s="532"/>
      <c r="I49" s="532"/>
      <c r="J49" s="532"/>
      <c r="K49" s="532"/>
      <c r="L49" s="532"/>
      <c r="M49" s="532"/>
      <c r="N49" s="532"/>
      <c r="O49" s="532"/>
      <c r="P49" s="532"/>
      <c r="Q49" s="532"/>
      <c r="R49" s="532"/>
      <c r="S49" s="532"/>
      <c r="T49" s="558">
        <f>SUM(J34:P34)/SUM(D34:H34)</f>
        <v>0.27550830169283425</v>
      </c>
      <c r="U49" s="562"/>
      <c r="V49" s="405"/>
    </row>
    <row r="50" spans="1:23" x14ac:dyDescent="0.3">
      <c r="A50" s="428"/>
      <c r="B50" s="532" t="s">
        <v>226</v>
      </c>
      <c r="C50" s="532"/>
      <c r="D50" s="532"/>
      <c r="E50" s="532"/>
      <c r="F50" s="532"/>
      <c r="G50" s="532"/>
      <c r="H50" s="532"/>
      <c r="I50" s="532"/>
      <c r="J50" s="532"/>
      <c r="K50" s="532"/>
      <c r="L50" s="532"/>
      <c r="M50" s="532"/>
      <c r="N50" s="532"/>
      <c r="O50" s="532"/>
      <c r="P50" s="532"/>
      <c r="Q50" s="532"/>
      <c r="R50" s="552" t="s">
        <v>112</v>
      </c>
      <c r="S50" s="552" t="s">
        <v>118</v>
      </c>
      <c r="T50" s="577">
        <f>+T32/2-SUM(J32:P32)</f>
        <v>274400</v>
      </c>
      <c r="U50" s="562"/>
      <c r="V50" s="405"/>
    </row>
    <row r="51" spans="1:23" x14ac:dyDescent="0.3">
      <c r="A51" s="428"/>
      <c r="B51" s="532"/>
      <c r="C51" s="532"/>
      <c r="D51" s="532"/>
      <c r="E51" s="532"/>
      <c r="F51" s="532"/>
      <c r="G51" s="532"/>
      <c r="H51" s="532"/>
      <c r="I51" s="532"/>
      <c r="J51" s="532"/>
      <c r="K51" s="532"/>
      <c r="L51" s="532"/>
      <c r="M51" s="532"/>
      <c r="N51" s="532"/>
      <c r="O51" s="532"/>
      <c r="P51" s="532"/>
      <c r="Q51" s="532"/>
      <c r="R51" s="532" t="s">
        <v>284</v>
      </c>
      <c r="S51" s="532"/>
      <c r="T51" s="560"/>
      <c r="U51" s="562"/>
      <c r="V51" s="405"/>
    </row>
    <row r="52" spans="1:23" x14ac:dyDescent="0.3">
      <c r="A52" s="428"/>
      <c r="B52" s="532" t="s">
        <v>154</v>
      </c>
      <c r="C52" s="532"/>
      <c r="D52" s="532"/>
      <c r="E52" s="532"/>
      <c r="F52" s="532"/>
      <c r="G52" s="532"/>
      <c r="H52" s="532"/>
      <c r="I52" s="532"/>
      <c r="J52" s="532"/>
      <c r="K52" s="532"/>
      <c r="L52" s="532"/>
      <c r="M52" s="532"/>
      <c r="N52" s="532"/>
      <c r="O52" s="532"/>
      <c r="P52" s="532"/>
      <c r="Q52" s="532"/>
      <c r="R52" s="552"/>
      <c r="S52" s="552"/>
      <c r="T52" s="552" t="s">
        <v>120</v>
      </c>
      <c r="U52" s="562"/>
      <c r="V52" s="405"/>
    </row>
    <row r="53" spans="1:23" x14ac:dyDescent="0.3">
      <c r="A53" s="428"/>
      <c r="B53" s="536" t="s">
        <v>155</v>
      </c>
      <c r="C53" s="536"/>
      <c r="D53" s="536"/>
      <c r="E53" s="536"/>
      <c r="F53" s="536"/>
      <c r="G53" s="536"/>
      <c r="H53" s="536"/>
      <c r="I53" s="536"/>
      <c r="J53" s="536"/>
      <c r="K53" s="536"/>
      <c r="L53" s="536"/>
      <c r="M53" s="536"/>
      <c r="N53" s="536"/>
      <c r="O53" s="536"/>
      <c r="P53" s="536"/>
      <c r="Q53" s="536"/>
      <c r="R53" s="557"/>
      <c r="S53" s="557"/>
      <c r="T53" s="578">
        <v>43419</v>
      </c>
      <c r="U53" s="562"/>
      <c r="V53" s="405"/>
    </row>
    <row r="54" spans="1:23" x14ac:dyDescent="0.3">
      <c r="A54" s="428"/>
      <c r="B54" s="532" t="s">
        <v>130</v>
      </c>
      <c r="C54" s="532"/>
      <c r="D54" s="532"/>
      <c r="E54" s="532"/>
      <c r="F54" s="532"/>
      <c r="G54" s="532"/>
      <c r="H54" s="579"/>
      <c r="I54" s="579"/>
      <c r="J54" s="579"/>
      <c r="K54" s="579"/>
      <c r="L54" s="579"/>
      <c r="M54" s="579"/>
      <c r="N54" s="579"/>
      <c r="O54" s="579"/>
      <c r="P54" s="532">
        <f>+T54-R54+1</f>
        <v>92</v>
      </c>
      <c r="Q54" s="532"/>
      <c r="R54" s="580">
        <v>43235</v>
      </c>
      <c r="S54" s="581"/>
      <c r="T54" s="580">
        <v>43326</v>
      </c>
      <c r="U54" s="562"/>
      <c r="V54" s="405"/>
    </row>
    <row r="55" spans="1:23" x14ac:dyDescent="0.3">
      <c r="A55" s="428"/>
      <c r="B55" s="532" t="s">
        <v>131</v>
      </c>
      <c r="C55" s="532"/>
      <c r="D55" s="532"/>
      <c r="E55" s="532"/>
      <c r="F55" s="532"/>
      <c r="G55" s="532"/>
      <c r="H55" s="532"/>
      <c r="I55" s="532"/>
      <c r="J55" s="532"/>
      <c r="K55" s="532"/>
      <c r="L55" s="532"/>
      <c r="M55" s="532"/>
      <c r="N55" s="532"/>
      <c r="O55" s="532"/>
      <c r="P55" s="532">
        <f>+T55-R55+1</f>
        <v>92</v>
      </c>
      <c r="Q55" s="532"/>
      <c r="R55" s="580">
        <v>43327</v>
      </c>
      <c r="S55" s="581"/>
      <c r="T55" s="580">
        <v>43418</v>
      </c>
      <c r="U55" s="562"/>
      <c r="V55" s="405"/>
    </row>
    <row r="56" spans="1:23" x14ac:dyDescent="0.3">
      <c r="A56" s="428"/>
      <c r="B56" s="532" t="s">
        <v>213</v>
      </c>
      <c r="C56" s="532"/>
      <c r="D56" s="532"/>
      <c r="E56" s="532"/>
      <c r="F56" s="532"/>
      <c r="G56" s="532"/>
      <c r="H56" s="532"/>
      <c r="I56" s="532"/>
      <c r="J56" s="532"/>
      <c r="K56" s="532"/>
      <c r="L56" s="532"/>
      <c r="M56" s="532"/>
      <c r="N56" s="532"/>
      <c r="O56" s="532"/>
      <c r="P56" s="532"/>
      <c r="Q56" s="532"/>
      <c r="R56" s="580"/>
      <c r="S56" s="581"/>
      <c r="T56" s="580" t="s">
        <v>129</v>
      </c>
      <c r="U56" s="562"/>
      <c r="V56" s="405"/>
    </row>
    <row r="57" spans="1:23" x14ac:dyDescent="0.3">
      <c r="A57" s="428"/>
      <c r="B57" s="532" t="s">
        <v>227</v>
      </c>
      <c r="C57" s="532"/>
      <c r="D57" s="532"/>
      <c r="E57" s="532"/>
      <c r="F57" s="532"/>
      <c r="G57" s="532"/>
      <c r="H57" s="532"/>
      <c r="I57" s="532"/>
      <c r="J57" s="532"/>
      <c r="K57" s="532"/>
      <c r="L57" s="532"/>
      <c r="M57" s="532"/>
      <c r="N57" s="532"/>
      <c r="O57" s="532"/>
      <c r="P57" s="532"/>
      <c r="Q57" s="532"/>
      <c r="R57" s="580"/>
      <c r="S57" s="581"/>
      <c r="T57" s="580" t="s">
        <v>169</v>
      </c>
      <c r="U57" s="562"/>
      <c r="V57" s="405"/>
      <c r="W57" s="429"/>
    </row>
    <row r="58" spans="1:23" x14ac:dyDescent="0.3">
      <c r="A58" s="428"/>
      <c r="B58" s="532" t="s">
        <v>17</v>
      </c>
      <c r="C58" s="532"/>
      <c r="D58" s="532"/>
      <c r="E58" s="532"/>
      <c r="F58" s="532"/>
      <c r="G58" s="532"/>
      <c r="H58" s="532"/>
      <c r="I58" s="532"/>
      <c r="J58" s="532"/>
      <c r="K58" s="532"/>
      <c r="L58" s="532"/>
      <c r="M58" s="532"/>
      <c r="N58" s="532"/>
      <c r="O58" s="532"/>
      <c r="P58" s="532"/>
      <c r="Q58" s="532"/>
      <c r="R58" s="580"/>
      <c r="S58" s="581"/>
      <c r="T58" s="580">
        <v>43405</v>
      </c>
      <c r="U58" s="562"/>
      <c r="V58" s="405"/>
    </row>
    <row r="59" spans="1:23" x14ac:dyDescent="0.3">
      <c r="A59" s="430"/>
      <c r="B59" s="431"/>
      <c r="C59" s="431"/>
      <c r="D59" s="431"/>
      <c r="E59" s="431"/>
      <c r="F59" s="431"/>
      <c r="G59" s="431"/>
      <c r="H59" s="431"/>
      <c r="I59" s="431"/>
      <c r="J59" s="431"/>
      <c r="K59" s="431"/>
      <c r="L59" s="431"/>
      <c r="M59" s="431"/>
      <c r="N59" s="431"/>
      <c r="O59" s="431"/>
      <c r="P59" s="431"/>
      <c r="Q59" s="431"/>
      <c r="R59" s="432"/>
      <c r="S59" s="433"/>
      <c r="T59" s="432"/>
      <c r="U59" s="431"/>
      <c r="V59" s="405"/>
    </row>
    <row r="60" spans="1:23" x14ac:dyDescent="0.3">
      <c r="A60" s="430"/>
      <c r="B60" s="434"/>
      <c r="C60" s="434"/>
      <c r="D60" s="434"/>
      <c r="E60" s="434"/>
      <c r="F60" s="434"/>
      <c r="G60" s="434"/>
      <c r="H60" s="434"/>
      <c r="I60" s="434"/>
      <c r="J60" s="434"/>
      <c r="K60" s="434"/>
      <c r="L60" s="434"/>
      <c r="M60" s="434"/>
      <c r="N60" s="434"/>
      <c r="O60" s="434"/>
      <c r="P60" s="434"/>
      <c r="Q60" s="434"/>
      <c r="R60" s="435"/>
      <c r="S60" s="436"/>
      <c r="T60" s="435"/>
      <c r="U60" s="434"/>
      <c r="V60" s="405"/>
    </row>
    <row r="61" spans="1:23" ht="18.600000000000001" thickBot="1" x14ac:dyDescent="0.4">
      <c r="A61" s="437"/>
      <c r="B61" s="565" t="s">
        <v>354</v>
      </c>
      <c r="C61" s="438"/>
      <c r="D61" s="438"/>
      <c r="E61" s="438"/>
      <c r="F61" s="438"/>
      <c r="G61" s="438"/>
      <c r="H61" s="438"/>
      <c r="I61" s="438"/>
      <c r="J61" s="438"/>
      <c r="K61" s="438"/>
      <c r="L61" s="438"/>
      <c r="M61" s="438"/>
      <c r="N61" s="438"/>
      <c r="O61" s="438"/>
      <c r="P61" s="438"/>
      <c r="Q61" s="438"/>
      <c r="R61" s="438"/>
      <c r="S61" s="438"/>
      <c r="T61" s="439"/>
      <c r="U61" s="440"/>
      <c r="V61" s="405"/>
    </row>
    <row r="62" spans="1:23" x14ac:dyDescent="0.3">
      <c r="A62" s="503"/>
      <c r="B62" s="505" t="s">
        <v>18</v>
      </c>
      <c r="C62" s="504"/>
      <c r="D62" s="504"/>
      <c r="E62" s="504"/>
      <c r="F62" s="504"/>
      <c r="G62" s="504"/>
      <c r="H62" s="504"/>
      <c r="I62" s="504"/>
      <c r="J62" s="504"/>
      <c r="K62" s="504"/>
      <c r="L62" s="504"/>
      <c r="M62" s="504"/>
      <c r="N62" s="504"/>
      <c r="O62" s="504"/>
      <c r="P62" s="504"/>
      <c r="Q62" s="504"/>
      <c r="R62" s="504"/>
      <c r="S62" s="504"/>
      <c r="T62" s="506"/>
      <c r="U62" s="504"/>
      <c r="V62" s="405"/>
    </row>
    <row r="63" spans="1:23" x14ac:dyDescent="0.3">
      <c r="A63" s="407"/>
      <c r="B63" s="415"/>
      <c r="C63" s="409"/>
      <c r="D63" s="409"/>
      <c r="E63" s="409"/>
      <c r="F63" s="409"/>
      <c r="G63" s="409"/>
      <c r="H63" s="409"/>
      <c r="I63" s="409"/>
      <c r="J63" s="409"/>
      <c r="K63" s="409"/>
      <c r="L63" s="409"/>
      <c r="M63" s="409"/>
      <c r="N63" s="409"/>
      <c r="O63" s="409"/>
      <c r="P63" s="409"/>
      <c r="Q63" s="409"/>
      <c r="R63" s="409"/>
      <c r="S63" s="409"/>
      <c r="T63" s="441"/>
      <c r="U63" s="409"/>
      <c r="V63" s="405"/>
    </row>
    <row r="64" spans="1:23" ht="46.8" x14ac:dyDescent="0.3">
      <c r="A64" s="407"/>
      <c r="B64" s="519" t="s">
        <v>19</v>
      </c>
      <c r="C64" s="520"/>
      <c r="D64" s="520"/>
      <c r="E64" s="520"/>
      <c r="F64" s="520"/>
      <c r="G64" s="520"/>
      <c r="H64" s="520"/>
      <c r="I64" s="520"/>
      <c r="J64" s="520" t="s">
        <v>100</v>
      </c>
      <c r="K64" s="520"/>
      <c r="L64" s="520" t="s">
        <v>102</v>
      </c>
      <c r="M64" s="520"/>
      <c r="N64" s="520" t="s">
        <v>104</v>
      </c>
      <c r="O64" s="520"/>
      <c r="P64" s="520" t="s">
        <v>106</v>
      </c>
      <c r="Q64" s="520"/>
      <c r="R64" s="520" t="s">
        <v>113</v>
      </c>
      <c r="S64" s="520"/>
      <c r="T64" s="521" t="s">
        <v>121</v>
      </c>
      <c r="U64" s="442"/>
      <c r="V64" s="405"/>
    </row>
    <row r="65" spans="1:22" x14ac:dyDescent="0.3">
      <c r="A65" s="418"/>
      <c r="B65" s="532" t="s">
        <v>20</v>
      </c>
      <c r="C65" s="531"/>
      <c r="D65" s="531"/>
      <c r="E65" s="531"/>
      <c r="F65" s="531"/>
      <c r="G65" s="531"/>
      <c r="H65" s="531"/>
      <c r="I65" s="531"/>
      <c r="J65" s="531">
        <v>699958</v>
      </c>
      <c r="K65" s="531"/>
      <c r="L65" s="535">
        <v>221165</v>
      </c>
      <c r="M65" s="531"/>
      <c r="N65" s="531">
        <f>4167+491</f>
        <v>4658</v>
      </c>
      <c r="O65" s="531"/>
      <c r="P65" s="531">
        <v>491</v>
      </c>
      <c r="Q65" s="531"/>
      <c r="R65" s="531">
        <v>0</v>
      </c>
      <c r="S65" s="531"/>
      <c r="T65" s="535">
        <f>+L65-N65+P65-R65</f>
        <v>216998</v>
      </c>
      <c r="U65" s="420"/>
      <c r="V65" s="405"/>
    </row>
    <row r="66" spans="1:22" x14ac:dyDescent="0.3">
      <c r="A66" s="418"/>
      <c r="B66" s="532" t="s">
        <v>21</v>
      </c>
      <c r="C66" s="531"/>
      <c r="D66" s="531"/>
      <c r="E66" s="531"/>
      <c r="F66" s="531"/>
      <c r="G66" s="531"/>
      <c r="H66" s="531"/>
      <c r="I66" s="531"/>
      <c r="J66" s="531">
        <v>42</v>
      </c>
      <c r="K66" s="531"/>
      <c r="L66" s="535">
        <v>0</v>
      </c>
      <c r="M66" s="531"/>
      <c r="N66" s="531">
        <v>0</v>
      </c>
      <c r="O66" s="531"/>
      <c r="P66" s="531">
        <v>0</v>
      </c>
      <c r="Q66" s="531"/>
      <c r="R66" s="531">
        <v>0</v>
      </c>
      <c r="S66" s="531"/>
      <c r="T66" s="535">
        <f>+L66-N66</f>
        <v>0</v>
      </c>
      <c r="U66" s="420"/>
      <c r="V66" s="405"/>
    </row>
    <row r="67" spans="1:22" x14ac:dyDescent="0.3">
      <c r="A67" s="418"/>
      <c r="B67" s="532"/>
      <c r="C67" s="531"/>
      <c r="D67" s="531"/>
      <c r="E67" s="531"/>
      <c r="F67" s="531"/>
      <c r="G67" s="531"/>
      <c r="H67" s="531"/>
      <c r="I67" s="531"/>
      <c r="J67" s="531"/>
      <c r="K67" s="531"/>
      <c r="L67" s="535"/>
      <c r="M67" s="531"/>
      <c r="N67" s="531"/>
      <c r="O67" s="531"/>
      <c r="P67" s="531"/>
      <c r="Q67" s="531"/>
      <c r="R67" s="531"/>
      <c r="S67" s="531"/>
      <c r="T67" s="535"/>
      <c r="U67" s="420"/>
      <c r="V67" s="405"/>
    </row>
    <row r="68" spans="1:22" x14ac:dyDescent="0.3">
      <c r="A68" s="418"/>
      <c r="B68" s="532" t="s">
        <v>22</v>
      </c>
      <c r="C68" s="531"/>
      <c r="D68" s="531"/>
      <c r="E68" s="531"/>
      <c r="F68" s="531"/>
      <c r="G68" s="531"/>
      <c r="H68" s="531"/>
      <c r="I68" s="531"/>
      <c r="J68" s="531">
        <f>SUM(J65:J67)</f>
        <v>700000</v>
      </c>
      <c r="K68" s="531"/>
      <c r="L68" s="531">
        <f>L65+L66</f>
        <v>221165</v>
      </c>
      <c r="M68" s="531"/>
      <c r="N68" s="531">
        <f>SUM(N65:N67)</f>
        <v>4658</v>
      </c>
      <c r="O68" s="531"/>
      <c r="P68" s="531">
        <f>SUM(P65:P67)</f>
        <v>491</v>
      </c>
      <c r="Q68" s="531"/>
      <c r="R68" s="531">
        <f>SUM(R65:R67)</f>
        <v>0</v>
      </c>
      <c r="S68" s="531"/>
      <c r="T68" s="531">
        <f>SUM(T65:T67)</f>
        <v>216998</v>
      </c>
      <c r="U68" s="420"/>
      <c r="V68" s="405"/>
    </row>
    <row r="69" spans="1:22" x14ac:dyDescent="0.3">
      <c r="A69" s="407"/>
      <c r="B69" s="539"/>
      <c r="C69" s="572"/>
      <c r="D69" s="572"/>
      <c r="E69" s="572"/>
      <c r="F69" s="572"/>
      <c r="G69" s="572"/>
      <c r="H69" s="572"/>
      <c r="I69" s="572"/>
      <c r="J69" s="572"/>
      <c r="K69" s="572"/>
      <c r="L69" s="572"/>
      <c r="M69" s="572"/>
      <c r="N69" s="572"/>
      <c r="O69" s="572"/>
      <c r="P69" s="572"/>
      <c r="Q69" s="572"/>
      <c r="R69" s="572"/>
      <c r="S69" s="572"/>
      <c r="T69" s="572"/>
      <c r="U69" s="444"/>
      <c r="V69" s="405"/>
    </row>
    <row r="70" spans="1:22" x14ac:dyDescent="0.3">
      <c r="A70" s="407"/>
      <c r="B70" s="545" t="s">
        <v>23</v>
      </c>
      <c r="C70" s="573"/>
      <c r="D70" s="573"/>
      <c r="E70" s="573"/>
      <c r="F70" s="573"/>
      <c r="G70" s="573"/>
      <c r="H70" s="573"/>
      <c r="I70" s="573"/>
      <c r="J70" s="573"/>
      <c r="K70" s="573"/>
      <c r="L70" s="573"/>
      <c r="M70" s="573"/>
      <c r="N70" s="573"/>
      <c r="O70" s="573"/>
      <c r="P70" s="573"/>
      <c r="Q70" s="573"/>
      <c r="R70" s="573"/>
      <c r="S70" s="573"/>
      <c r="T70" s="573"/>
      <c r="U70" s="409"/>
      <c r="V70" s="405"/>
    </row>
    <row r="71" spans="1:22" x14ac:dyDescent="0.3">
      <c r="A71" s="407"/>
      <c r="B71" s="542"/>
      <c r="C71" s="573"/>
      <c r="D71" s="573"/>
      <c r="E71" s="573"/>
      <c r="F71" s="573"/>
      <c r="G71" s="573"/>
      <c r="H71" s="573"/>
      <c r="I71" s="573"/>
      <c r="J71" s="573"/>
      <c r="K71" s="573"/>
      <c r="L71" s="573"/>
      <c r="M71" s="573"/>
      <c r="N71" s="573"/>
      <c r="O71" s="573"/>
      <c r="P71" s="573"/>
      <c r="Q71" s="573"/>
      <c r="R71" s="573"/>
      <c r="S71" s="573"/>
      <c r="T71" s="573"/>
      <c r="U71" s="409"/>
      <c r="V71" s="405"/>
    </row>
    <row r="72" spans="1:22" x14ac:dyDescent="0.3">
      <c r="A72" s="418"/>
      <c r="B72" s="532" t="s">
        <v>20</v>
      </c>
      <c r="C72" s="531"/>
      <c r="D72" s="531"/>
      <c r="E72" s="531"/>
      <c r="F72" s="531"/>
      <c r="G72" s="531"/>
      <c r="H72" s="531"/>
      <c r="I72" s="531"/>
      <c r="J72" s="531"/>
      <c r="K72" s="531"/>
      <c r="L72" s="531"/>
      <c r="M72" s="531"/>
      <c r="N72" s="531"/>
      <c r="O72" s="531"/>
      <c r="P72" s="531"/>
      <c r="Q72" s="531"/>
      <c r="R72" s="531"/>
      <c r="S72" s="531"/>
      <c r="T72" s="531"/>
      <c r="U72" s="420"/>
      <c r="V72" s="405"/>
    </row>
    <row r="73" spans="1:22" x14ac:dyDescent="0.3">
      <c r="A73" s="418"/>
      <c r="B73" s="532" t="s">
        <v>21</v>
      </c>
      <c r="C73" s="531"/>
      <c r="D73" s="531"/>
      <c r="E73" s="531"/>
      <c r="F73" s="531"/>
      <c r="G73" s="531"/>
      <c r="H73" s="531"/>
      <c r="I73" s="531"/>
      <c r="J73" s="531"/>
      <c r="K73" s="531"/>
      <c r="L73" s="531"/>
      <c r="M73" s="531"/>
      <c r="N73" s="531"/>
      <c r="O73" s="531"/>
      <c r="P73" s="531"/>
      <c r="Q73" s="531"/>
      <c r="R73" s="531"/>
      <c r="S73" s="531"/>
      <c r="T73" s="531"/>
      <c r="U73" s="420"/>
      <c r="V73" s="405"/>
    </row>
    <row r="74" spans="1:22" x14ac:dyDescent="0.3">
      <c r="A74" s="418"/>
      <c r="B74" s="532"/>
      <c r="C74" s="531"/>
      <c r="D74" s="531"/>
      <c r="E74" s="531"/>
      <c r="F74" s="531"/>
      <c r="G74" s="531"/>
      <c r="H74" s="531"/>
      <c r="I74" s="531"/>
      <c r="J74" s="531"/>
      <c r="K74" s="531"/>
      <c r="L74" s="531"/>
      <c r="M74" s="531"/>
      <c r="N74" s="531"/>
      <c r="O74" s="531"/>
      <c r="P74" s="531"/>
      <c r="Q74" s="531"/>
      <c r="R74" s="531"/>
      <c r="S74" s="531"/>
      <c r="T74" s="531"/>
      <c r="U74" s="420"/>
      <c r="V74" s="405"/>
    </row>
    <row r="75" spans="1:22" x14ac:dyDescent="0.3">
      <c r="A75" s="418"/>
      <c r="B75" s="532" t="s">
        <v>22</v>
      </c>
      <c r="C75" s="531"/>
      <c r="D75" s="531"/>
      <c r="E75" s="531"/>
      <c r="F75" s="531"/>
      <c r="G75" s="531"/>
      <c r="H75" s="531"/>
      <c r="I75" s="531"/>
      <c r="J75" s="531"/>
      <c r="K75" s="531"/>
      <c r="L75" s="531"/>
      <c r="M75" s="531"/>
      <c r="N75" s="531"/>
      <c r="O75" s="531"/>
      <c r="P75" s="531"/>
      <c r="Q75" s="531"/>
      <c r="R75" s="531"/>
      <c r="S75" s="531"/>
      <c r="T75" s="531"/>
      <c r="U75" s="420"/>
      <c r="V75" s="405"/>
    </row>
    <row r="76" spans="1:22" x14ac:dyDescent="0.3">
      <c r="A76" s="418"/>
      <c r="B76" s="532"/>
      <c r="C76" s="531"/>
      <c r="D76" s="531"/>
      <c r="E76" s="531"/>
      <c r="F76" s="531"/>
      <c r="G76" s="531"/>
      <c r="H76" s="531"/>
      <c r="I76" s="531"/>
      <c r="J76" s="531"/>
      <c r="K76" s="531"/>
      <c r="L76" s="531"/>
      <c r="M76" s="531"/>
      <c r="N76" s="531"/>
      <c r="O76" s="531"/>
      <c r="P76" s="531"/>
      <c r="Q76" s="531"/>
      <c r="R76" s="531"/>
      <c r="S76" s="531"/>
      <c r="T76" s="531"/>
      <c r="U76" s="420"/>
      <c r="V76" s="405"/>
    </row>
    <row r="77" spans="1:22" x14ac:dyDescent="0.3">
      <c r="A77" s="418"/>
      <c r="B77" s="532" t="s">
        <v>24</v>
      </c>
      <c r="C77" s="531"/>
      <c r="D77" s="531"/>
      <c r="E77" s="531"/>
      <c r="F77" s="531"/>
      <c r="G77" s="531"/>
      <c r="H77" s="531"/>
      <c r="I77" s="531"/>
      <c r="J77" s="531">
        <v>0</v>
      </c>
      <c r="K77" s="531"/>
      <c r="L77" s="531">
        <v>0</v>
      </c>
      <c r="M77" s="531"/>
      <c r="N77" s="531"/>
      <c r="O77" s="531"/>
      <c r="P77" s="531"/>
      <c r="Q77" s="531"/>
      <c r="R77" s="531"/>
      <c r="S77" s="531"/>
      <c r="T77" s="535">
        <v>0</v>
      </c>
      <c r="U77" s="420"/>
      <c r="V77" s="405"/>
    </row>
    <row r="78" spans="1:22" x14ac:dyDescent="0.3">
      <c r="A78" s="418"/>
      <c r="B78" s="532" t="s">
        <v>126</v>
      </c>
      <c r="C78" s="531"/>
      <c r="D78" s="531"/>
      <c r="E78" s="531"/>
      <c r="F78" s="531"/>
      <c r="G78" s="531"/>
      <c r="H78" s="531"/>
      <c r="I78" s="531"/>
      <c r="J78" s="531">
        <v>0</v>
      </c>
      <c r="K78" s="531"/>
      <c r="L78" s="531">
        <v>0</v>
      </c>
      <c r="M78" s="531"/>
      <c r="N78" s="531"/>
      <c r="O78" s="531"/>
      <c r="P78" s="531"/>
      <c r="Q78" s="531"/>
      <c r="R78" s="531"/>
      <c r="S78" s="531"/>
      <c r="T78" s="531">
        <f>SUM(J78:P78)</f>
        <v>0</v>
      </c>
      <c r="U78" s="420"/>
      <c r="V78" s="405"/>
    </row>
    <row r="79" spans="1:22" x14ac:dyDescent="0.3">
      <c r="A79" s="418"/>
      <c r="B79" s="532" t="s">
        <v>157</v>
      </c>
      <c r="C79" s="531"/>
      <c r="D79" s="531"/>
      <c r="E79" s="531"/>
      <c r="F79" s="531"/>
      <c r="G79" s="531"/>
      <c r="H79" s="531"/>
      <c r="I79" s="531"/>
      <c r="J79" s="531">
        <v>0</v>
      </c>
      <c r="K79" s="531"/>
      <c r="L79" s="531">
        <v>0</v>
      </c>
      <c r="M79" s="531"/>
      <c r="N79" s="531"/>
      <c r="O79" s="531"/>
      <c r="P79" s="531"/>
      <c r="Q79" s="531"/>
      <c r="R79" s="531"/>
      <c r="S79" s="531"/>
      <c r="T79" s="531">
        <v>0</v>
      </c>
      <c r="U79" s="420"/>
      <c r="V79" s="405"/>
    </row>
    <row r="80" spans="1:22" x14ac:dyDescent="0.3">
      <c r="A80" s="418"/>
      <c r="B80" s="532" t="s">
        <v>26</v>
      </c>
      <c r="C80" s="531"/>
      <c r="D80" s="531"/>
      <c r="E80" s="531"/>
      <c r="F80" s="531"/>
      <c r="G80" s="531"/>
      <c r="H80" s="531"/>
      <c r="I80" s="531"/>
      <c r="J80" s="531">
        <v>0</v>
      </c>
      <c r="K80" s="531"/>
      <c r="L80" s="531">
        <v>0</v>
      </c>
      <c r="M80" s="531"/>
      <c r="N80" s="531"/>
      <c r="O80" s="531"/>
      <c r="P80" s="531"/>
      <c r="Q80" s="531"/>
      <c r="R80" s="531"/>
      <c r="S80" s="531"/>
      <c r="T80" s="531">
        <v>0</v>
      </c>
      <c r="U80" s="420"/>
      <c r="V80" s="405"/>
    </row>
    <row r="81" spans="1:22" x14ac:dyDescent="0.3">
      <c r="A81" s="418"/>
      <c r="B81" s="532" t="s">
        <v>27</v>
      </c>
      <c r="C81" s="531"/>
      <c r="D81" s="531"/>
      <c r="E81" s="531"/>
      <c r="F81" s="531"/>
      <c r="G81" s="531"/>
      <c r="H81" s="531"/>
      <c r="I81" s="531"/>
      <c r="J81" s="531">
        <f>SUM(J68:J80)</f>
        <v>700000</v>
      </c>
      <c r="K81" s="531"/>
      <c r="L81" s="531">
        <f>SUM(L68:L80)</f>
        <v>221165</v>
      </c>
      <c r="M81" s="531"/>
      <c r="N81" s="531"/>
      <c r="O81" s="531"/>
      <c r="P81" s="531"/>
      <c r="Q81" s="531"/>
      <c r="R81" s="531"/>
      <c r="S81" s="531"/>
      <c r="T81" s="531">
        <f>SUM(T68:T80)</f>
        <v>216998</v>
      </c>
      <c r="U81" s="420"/>
      <c r="V81" s="405"/>
    </row>
    <row r="82" spans="1:22" x14ac:dyDescent="0.3">
      <c r="A82" s="407"/>
      <c r="B82" s="444"/>
      <c r="C82" s="445"/>
      <c r="D82" s="445"/>
      <c r="E82" s="445"/>
      <c r="F82" s="445"/>
      <c r="G82" s="445"/>
      <c r="H82" s="445"/>
      <c r="I82" s="445"/>
      <c r="J82" s="445"/>
      <c r="K82" s="445"/>
      <c r="L82" s="445"/>
      <c r="M82" s="445"/>
      <c r="N82" s="445"/>
      <c r="O82" s="445"/>
      <c r="P82" s="445"/>
      <c r="Q82" s="445"/>
      <c r="R82" s="445"/>
      <c r="S82" s="445"/>
      <c r="T82" s="446"/>
      <c r="U82" s="444"/>
      <c r="V82" s="405"/>
    </row>
    <row r="83" spans="1:22" x14ac:dyDescent="0.3">
      <c r="A83" s="407"/>
      <c r="B83" s="409"/>
      <c r="C83" s="409"/>
      <c r="D83" s="409"/>
      <c r="E83" s="409"/>
      <c r="F83" s="409"/>
      <c r="G83" s="409"/>
      <c r="H83" s="409"/>
      <c r="I83" s="409"/>
      <c r="J83" s="409"/>
      <c r="K83" s="409"/>
      <c r="L83" s="409"/>
      <c r="M83" s="409"/>
      <c r="N83" s="409"/>
      <c r="O83" s="409"/>
      <c r="P83" s="409"/>
      <c r="Q83" s="409"/>
      <c r="R83" s="409"/>
      <c r="S83" s="409"/>
      <c r="T83" s="409"/>
      <c r="U83" s="409"/>
      <c r="V83" s="405"/>
    </row>
    <row r="84" spans="1:22" x14ac:dyDescent="0.3">
      <c r="A84" s="503"/>
      <c r="B84" s="612" t="s">
        <v>28</v>
      </c>
      <c r="C84" s="612"/>
      <c r="D84" s="612"/>
      <c r="E84" s="612"/>
      <c r="F84" s="612"/>
      <c r="G84" s="612"/>
      <c r="H84" s="613"/>
      <c r="I84" s="613"/>
      <c r="J84" s="614" t="s">
        <v>101</v>
      </c>
      <c r="K84" s="613"/>
      <c r="L84" s="615">
        <f>+R196</f>
        <v>43404</v>
      </c>
      <c r="M84" s="613"/>
      <c r="N84" s="613"/>
      <c r="O84" s="613"/>
      <c r="P84" s="613"/>
      <c r="Q84" s="613"/>
      <c r="R84" s="613" t="s">
        <v>114</v>
      </c>
      <c r="S84" s="613"/>
      <c r="T84" s="613" t="s">
        <v>122</v>
      </c>
      <c r="U84" s="611"/>
      <c r="V84" s="405"/>
    </row>
    <row r="85" spans="1:22" x14ac:dyDescent="0.3">
      <c r="A85" s="430"/>
      <c r="B85" s="539" t="s">
        <v>29</v>
      </c>
      <c r="C85" s="539"/>
      <c r="D85" s="539"/>
      <c r="E85" s="539"/>
      <c r="F85" s="539"/>
      <c r="G85" s="539"/>
      <c r="H85" s="539"/>
      <c r="I85" s="539"/>
      <c r="J85" s="539"/>
      <c r="K85" s="539"/>
      <c r="L85" s="539"/>
      <c r="M85" s="539"/>
      <c r="N85" s="539"/>
      <c r="O85" s="539"/>
      <c r="P85" s="539"/>
      <c r="Q85" s="539"/>
      <c r="R85" s="572">
        <v>0</v>
      </c>
      <c r="S85" s="539"/>
      <c r="T85" s="541">
        <v>0</v>
      </c>
      <c r="U85" s="539"/>
      <c r="V85" s="405"/>
    </row>
    <row r="86" spans="1:22" x14ac:dyDescent="0.3">
      <c r="A86" s="428"/>
      <c r="B86" s="532" t="s">
        <v>30</v>
      </c>
      <c r="C86" s="532"/>
      <c r="D86" s="532"/>
      <c r="E86" s="532"/>
      <c r="F86" s="532"/>
      <c r="G86" s="532"/>
      <c r="H86" s="550"/>
      <c r="I86" s="570"/>
      <c r="J86" s="550"/>
      <c r="K86" s="532"/>
      <c r="L86" s="571"/>
      <c r="M86" s="532"/>
      <c r="N86" s="532"/>
      <c r="O86" s="532"/>
      <c r="P86" s="532"/>
      <c r="Q86" s="532"/>
      <c r="R86" s="531">
        <f>4658-18</f>
        <v>4640</v>
      </c>
      <c r="S86" s="532"/>
      <c r="T86" s="535"/>
      <c r="U86" s="562"/>
      <c r="V86" s="405"/>
    </row>
    <row r="87" spans="1:22" x14ac:dyDescent="0.3">
      <c r="A87" s="428"/>
      <c r="B87" s="532" t="s">
        <v>254</v>
      </c>
      <c r="C87" s="532"/>
      <c r="D87" s="532"/>
      <c r="E87" s="532"/>
      <c r="F87" s="532"/>
      <c r="G87" s="532"/>
      <c r="H87" s="550"/>
      <c r="I87" s="570"/>
      <c r="J87" s="550"/>
      <c r="K87" s="532"/>
      <c r="L87" s="571"/>
      <c r="M87" s="532"/>
      <c r="N87" s="532"/>
      <c r="O87" s="532"/>
      <c r="P87" s="532"/>
      <c r="Q87" s="532"/>
      <c r="R87" s="531"/>
      <c r="S87" s="532"/>
      <c r="T87" s="535">
        <f>1656+484-569-107</f>
        <v>1464</v>
      </c>
      <c r="U87" s="562"/>
      <c r="V87" s="405"/>
    </row>
    <row r="88" spans="1:22" x14ac:dyDescent="0.3">
      <c r="A88" s="428"/>
      <c r="B88" s="532" t="s">
        <v>255</v>
      </c>
      <c r="C88" s="532"/>
      <c r="D88" s="532"/>
      <c r="E88" s="532"/>
      <c r="F88" s="532"/>
      <c r="G88" s="532"/>
      <c r="H88" s="550"/>
      <c r="I88" s="570"/>
      <c r="J88" s="550"/>
      <c r="K88" s="532"/>
      <c r="L88" s="571"/>
      <c r="M88" s="532"/>
      <c r="N88" s="532"/>
      <c r="O88" s="532"/>
      <c r="P88" s="532"/>
      <c r="Q88" s="532"/>
      <c r="R88" s="531"/>
      <c r="S88" s="532"/>
      <c r="T88" s="535">
        <f>32+4</f>
        <v>36</v>
      </c>
      <c r="U88" s="562"/>
      <c r="V88" s="405"/>
    </row>
    <row r="89" spans="1:22" x14ac:dyDescent="0.3">
      <c r="A89" s="428"/>
      <c r="B89" s="532" t="s">
        <v>256</v>
      </c>
      <c r="C89" s="532"/>
      <c r="D89" s="532"/>
      <c r="E89" s="532"/>
      <c r="F89" s="532"/>
      <c r="G89" s="532"/>
      <c r="H89" s="550"/>
      <c r="I89" s="570"/>
      <c r="J89" s="550"/>
      <c r="K89" s="532"/>
      <c r="L89" s="571"/>
      <c r="M89" s="532"/>
      <c r="N89" s="532"/>
      <c r="O89" s="532"/>
      <c r="P89" s="532"/>
      <c r="Q89" s="532"/>
      <c r="R89" s="531"/>
      <c r="S89" s="532"/>
      <c r="T89" s="535">
        <v>21</v>
      </c>
      <c r="U89" s="562"/>
      <c r="V89" s="405"/>
    </row>
    <row r="90" spans="1:22" x14ac:dyDescent="0.3">
      <c r="A90" s="428"/>
      <c r="B90" s="532" t="s">
        <v>270</v>
      </c>
      <c r="C90" s="532"/>
      <c r="D90" s="532"/>
      <c r="E90" s="532"/>
      <c r="F90" s="532"/>
      <c r="G90" s="532"/>
      <c r="H90" s="550"/>
      <c r="I90" s="570"/>
      <c r="J90" s="550"/>
      <c r="K90" s="532"/>
      <c r="L90" s="571"/>
      <c r="M90" s="532"/>
      <c r="N90" s="532"/>
      <c r="O90" s="532"/>
      <c r="P90" s="532"/>
      <c r="Q90" s="532"/>
      <c r="R90" s="531"/>
      <c r="S90" s="532"/>
      <c r="T90" s="535">
        <v>0</v>
      </c>
      <c r="U90" s="562"/>
      <c r="V90" s="405"/>
    </row>
    <row r="91" spans="1:22" x14ac:dyDescent="0.3">
      <c r="A91" s="428"/>
      <c r="B91" s="532" t="s">
        <v>144</v>
      </c>
      <c r="C91" s="532"/>
      <c r="D91" s="532"/>
      <c r="E91" s="532"/>
      <c r="F91" s="532"/>
      <c r="G91" s="532"/>
      <c r="H91" s="532"/>
      <c r="I91" s="532"/>
      <c r="J91" s="532"/>
      <c r="K91" s="532"/>
      <c r="L91" s="532"/>
      <c r="M91" s="532"/>
      <c r="N91" s="532"/>
      <c r="O91" s="532"/>
      <c r="P91" s="532"/>
      <c r="Q91" s="532"/>
      <c r="R91" s="531"/>
      <c r="S91" s="532"/>
      <c r="T91" s="535">
        <v>0</v>
      </c>
      <c r="U91" s="562"/>
      <c r="V91" s="405"/>
    </row>
    <row r="92" spans="1:22" x14ac:dyDescent="0.3">
      <c r="A92" s="428"/>
      <c r="B92" s="532" t="s">
        <v>233</v>
      </c>
      <c r="C92" s="532"/>
      <c r="D92" s="532"/>
      <c r="E92" s="532"/>
      <c r="F92" s="532"/>
      <c r="G92" s="532"/>
      <c r="H92" s="532"/>
      <c r="I92" s="532"/>
      <c r="J92" s="532"/>
      <c r="K92" s="532"/>
      <c r="L92" s="532"/>
      <c r="M92" s="532"/>
      <c r="N92" s="532"/>
      <c r="O92" s="532"/>
      <c r="P92" s="532"/>
      <c r="Q92" s="532"/>
      <c r="R92" s="531"/>
      <c r="S92" s="532"/>
      <c r="T92" s="535">
        <v>101</v>
      </c>
      <c r="U92" s="562"/>
      <c r="V92" s="405"/>
    </row>
    <row r="93" spans="1:22" x14ac:dyDescent="0.3">
      <c r="A93" s="428"/>
      <c r="B93" s="532" t="s">
        <v>32</v>
      </c>
      <c r="C93" s="532"/>
      <c r="D93" s="532"/>
      <c r="E93" s="532"/>
      <c r="F93" s="532"/>
      <c r="G93" s="532"/>
      <c r="H93" s="532"/>
      <c r="I93" s="532"/>
      <c r="J93" s="532"/>
      <c r="K93" s="532"/>
      <c r="L93" s="532"/>
      <c r="M93" s="532"/>
      <c r="N93" s="532"/>
      <c r="O93" s="532"/>
      <c r="P93" s="532"/>
      <c r="Q93" s="532"/>
      <c r="R93" s="531">
        <f>SUM(R85:R92)</f>
        <v>4640</v>
      </c>
      <c r="S93" s="532"/>
      <c r="T93" s="531">
        <f>SUM(T85:T92)</f>
        <v>1622</v>
      </c>
      <c r="U93" s="562"/>
      <c r="V93" s="405"/>
    </row>
    <row r="94" spans="1:22" x14ac:dyDescent="0.3">
      <c r="A94" s="428"/>
      <c r="B94" s="532" t="s">
        <v>176</v>
      </c>
      <c r="C94" s="532"/>
      <c r="D94" s="532"/>
      <c r="E94" s="532"/>
      <c r="F94" s="532"/>
      <c r="G94" s="532"/>
      <c r="H94" s="532"/>
      <c r="I94" s="532"/>
      <c r="J94" s="532"/>
      <c r="K94" s="532"/>
      <c r="L94" s="532"/>
      <c r="M94" s="532"/>
      <c r="N94" s="532"/>
      <c r="O94" s="532"/>
      <c r="P94" s="532"/>
      <c r="Q94" s="532"/>
      <c r="R94" s="531">
        <v>0</v>
      </c>
      <c r="S94" s="532"/>
      <c r="T94" s="531">
        <f>-R94</f>
        <v>0</v>
      </c>
      <c r="U94" s="562"/>
      <c r="V94" s="405"/>
    </row>
    <row r="95" spans="1:22" x14ac:dyDescent="0.3">
      <c r="A95" s="428"/>
      <c r="B95" s="532" t="s">
        <v>33</v>
      </c>
      <c r="C95" s="532"/>
      <c r="D95" s="532"/>
      <c r="E95" s="532"/>
      <c r="F95" s="532"/>
      <c r="G95" s="532"/>
      <c r="H95" s="532"/>
      <c r="I95" s="532"/>
      <c r="J95" s="532"/>
      <c r="K95" s="532"/>
      <c r="L95" s="532"/>
      <c r="M95" s="532"/>
      <c r="N95" s="532"/>
      <c r="O95" s="532"/>
      <c r="P95" s="532"/>
      <c r="Q95" s="532"/>
      <c r="R95" s="531">
        <f>-T95</f>
        <v>0</v>
      </c>
      <c r="S95" s="532"/>
      <c r="T95" s="535">
        <v>0</v>
      </c>
      <c r="U95" s="562"/>
      <c r="V95" s="405"/>
    </row>
    <row r="96" spans="1:22" x14ac:dyDescent="0.3">
      <c r="A96" s="428"/>
      <c r="B96" s="532" t="s">
        <v>278</v>
      </c>
      <c r="C96" s="532"/>
      <c r="D96" s="532"/>
      <c r="E96" s="532"/>
      <c r="F96" s="532"/>
      <c r="G96" s="532"/>
      <c r="H96" s="532"/>
      <c r="I96" s="532"/>
      <c r="J96" s="532"/>
      <c r="K96" s="532"/>
      <c r="L96" s="532"/>
      <c r="M96" s="532"/>
      <c r="N96" s="532"/>
      <c r="O96" s="532"/>
      <c r="P96" s="532"/>
      <c r="Q96" s="532"/>
      <c r="R96" s="531"/>
      <c r="S96" s="532"/>
      <c r="T96" s="535">
        <v>22</v>
      </c>
      <c r="U96" s="562"/>
      <c r="V96" s="405"/>
    </row>
    <row r="97" spans="1:23" x14ac:dyDescent="0.3">
      <c r="A97" s="428"/>
      <c r="B97" s="532" t="s">
        <v>34</v>
      </c>
      <c r="C97" s="532"/>
      <c r="D97" s="532"/>
      <c r="E97" s="532"/>
      <c r="F97" s="532"/>
      <c r="G97" s="532"/>
      <c r="H97" s="532"/>
      <c r="I97" s="532"/>
      <c r="J97" s="532"/>
      <c r="K97" s="532"/>
      <c r="L97" s="532"/>
      <c r="M97" s="532"/>
      <c r="N97" s="532"/>
      <c r="O97" s="532"/>
      <c r="P97" s="532"/>
      <c r="Q97" s="532"/>
      <c r="R97" s="531">
        <f>R93+R95+R94</f>
        <v>4640</v>
      </c>
      <c r="S97" s="532"/>
      <c r="T97" s="531">
        <f>T93+T95+T94+T96</f>
        <v>1644</v>
      </c>
      <c r="U97" s="562"/>
      <c r="V97" s="405"/>
      <c r="W97" s="447"/>
    </row>
    <row r="98" spans="1:23" x14ac:dyDescent="0.3">
      <c r="A98" s="418"/>
      <c r="B98" s="522" t="s">
        <v>35</v>
      </c>
      <c r="C98" s="448"/>
      <c r="D98" s="448"/>
      <c r="E98" s="448"/>
      <c r="F98" s="448"/>
      <c r="G98" s="448"/>
      <c r="H98" s="448"/>
      <c r="I98" s="448"/>
      <c r="J98" s="448"/>
      <c r="K98" s="448"/>
      <c r="L98" s="448"/>
      <c r="M98" s="448"/>
      <c r="N98" s="448"/>
      <c r="O98" s="448"/>
      <c r="P98" s="448"/>
      <c r="Q98" s="448"/>
      <c r="R98" s="449"/>
      <c r="S98" s="448"/>
      <c r="T98" s="450"/>
      <c r="U98" s="451"/>
      <c r="V98" s="405"/>
    </row>
    <row r="99" spans="1:23" x14ac:dyDescent="0.3">
      <c r="A99" s="569">
        <v>1</v>
      </c>
      <c r="B99" s="532" t="s">
        <v>36</v>
      </c>
      <c r="C99" s="532"/>
      <c r="D99" s="532"/>
      <c r="E99" s="532"/>
      <c r="F99" s="532"/>
      <c r="G99" s="532"/>
      <c r="H99" s="532"/>
      <c r="I99" s="532"/>
      <c r="J99" s="532"/>
      <c r="K99" s="532"/>
      <c r="L99" s="532"/>
      <c r="M99" s="532"/>
      <c r="N99" s="532"/>
      <c r="O99" s="532"/>
      <c r="P99" s="532"/>
      <c r="Q99" s="532"/>
      <c r="R99" s="532"/>
      <c r="S99" s="532"/>
      <c r="T99" s="535">
        <v>0</v>
      </c>
      <c r="U99" s="451"/>
      <c r="V99" s="405"/>
    </row>
    <row r="100" spans="1:23" x14ac:dyDescent="0.3">
      <c r="A100" s="569">
        <f>+A99+1</f>
        <v>2</v>
      </c>
      <c r="B100" s="532" t="s">
        <v>317</v>
      </c>
      <c r="C100" s="532"/>
      <c r="D100" s="532"/>
      <c r="E100" s="532"/>
      <c r="F100" s="532"/>
      <c r="G100" s="532"/>
      <c r="H100" s="532"/>
      <c r="I100" s="532"/>
      <c r="J100" s="532"/>
      <c r="K100" s="532"/>
      <c r="L100" s="532"/>
      <c r="M100" s="532"/>
      <c r="N100" s="532"/>
      <c r="O100" s="532"/>
      <c r="P100" s="532"/>
      <c r="Q100" s="532"/>
      <c r="R100" s="532"/>
      <c r="S100" s="532"/>
      <c r="T100" s="535">
        <v>-2</v>
      </c>
      <c r="U100" s="451"/>
      <c r="V100" s="405"/>
    </row>
    <row r="101" spans="1:23" x14ac:dyDescent="0.3">
      <c r="A101" s="569">
        <f>+A100+1</f>
        <v>3</v>
      </c>
      <c r="B101" s="532" t="s">
        <v>319</v>
      </c>
      <c r="C101" s="532"/>
      <c r="D101" s="532"/>
      <c r="E101" s="532"/>
      <c r="F101" s="532"/>
      <c r="G101" s="532"/>
      <c r="H101" s="532"/>
      <c r="I101" s="532"/>
      <c r="J101" s="532"/>
      <c r="K101" s="532"/>
      <c r="L101" s="532"/>
      <c r="M101" s="532"/>
      <c r="N101" s="532"/>
      <c r="O101" s="532"/>
      <c r="P101" s="532"/>
      <c r="Q101" s="532"/>
      <c r="R101" s="532"/>
      <c r="S101" s="532"/>
      <c r="T101" s="535">
        <f>-86-25-3</f>
        <v>-114</v>
      </c>
      <c r="U101" s="451"/>
      <c r="V101" s="405"/>
    </row>
    <row r="102" spans="1:23" x14ac:dyDescent="0.3">
      <c r="A102" s="569" t="s">
        <v>136</v>
      </c>
      <c r="B102" s="532" t="s">
        <v>125</v>
      </c>
      <c r="C102" s="532"/>
      <c r="D102" s="532"/>
      <c r="E102" s="532"/>
      <c r="F102" s="532"/>
      <c r="G102" s="532"/>
      <c r="H102" s="532"/>
      <c r="I102" s="532"/>
      <c r="J102" s="532"/>
      <c r="K102" s="532"/>
      <c r="L102" s="532"/>
      <c r="M102" s="532"/>
      <c r="N102" s="532"/>
      <c r="O102" s="532"/>
      <c r="P102" s="532"/>
      <c r="Q102" s="532"/>
      <c r="R102" s="532"/>
      <c r="S102" s="532"/>
      <c r="T102" s="535">
        <v>0</v>
      </c>
      <c r="U102" s="451"/>
      <c r="V102" s="405"/>
    </row>
    <row r="103" spans="1:23" x14ac:dyDescent="0.3">
      <c r="A103" s="569" t="s">
        <v>137</v>
      </c>
      <c r="B103" s="532" t="s">
        <v>267</v>
      </c>
      <c r="C103" s="532"/>
      <c r="D103" s="532"/>
      <c r="E103" s="532"/>
      <c r="F103" s="532"/>
      <c r="G103" s="532"/>
      <c r="H103" s="532"/>
      <c r="I103" s="532"/>
      <c r="J103" s="532"/>
      <c r="K103" s="532"/>
      <c r="L103" s="532"/>
      <c r="M103" s="532"/>
      <c r="N103" s="532"/>
      <c r="O103" s="532"/>
      <c r="P103" s="532"/>
      <c r="Q103" s="532"/>
      <c r="R103" s="532"/>
      <c r="S103" s="532"/>
      <c r="T103" s="535">
        <v>0</v>
      </c>
      <c r="U103" s="451"/>
      <c r="V103" s="405"/>
    </row>
    <row r="104" spans="1:23" x14ac:dyDescent="0.3">
      <c r="A104" s="569" t="s">
        <v>162</v>
      </c>
      <c r="B104" s="532" t="s">
        <v>218</v>
      </c>
      <c r="C104" s="532"/>
      <c r="D104" s="532"/>
      <c r="E104" s="532"/>
      <c r="F104" s="532"/>
      <c r="G104" s="532"/>
      <c r="H104" s="532"/>
      <c r="I104" s="532"/>
      <c r="J104" s="532"/>
      <c r="K104" s="532"/>
      <c r="L104" s="532"/>
      <c r="M104" s="532"/>
      <c r="N104" s="532"/>
      <c r="O104" s="532"/>
      <c r="P104" s="532"/>
      <c r="Q104" s="532"/>
      <c r="R104" s="532"/>
      <c r="S104" s="532"/>
      <c r="T104" s="535">
        <v>-281</v>
      </c>
      <c r="U104" s="451"/>
      <c r="V104" s="405"/>
      <c r="W104" s="452"/>
    </row>
    <row r="105" spans="1:23" x14ac:dyDescent="0.3">
      <c r="A105" s="569" t="s">
        <v>163</v>
      </c>
      <c r="B105" s="532" t="s">
        <v>219</v>
      </c>
      <c r="C105" s="532"/>
      <c r="D105" s="532"/>
      <c r="E105" s="532"/>
      <c r="F105" s="532"/>
      <c r="G105" s="532"/>
      <c r="H105" s="532"/>
      <c r="I105" s="532"/>
      <c r="J105" s="532"/>
      <c r="K105" s="532"/>
      <c r="L105" s="532"/>
      <c r="M105" s="532"/>
      <c r="N105" s="532"/>
      <c r="O105" s="532"/>
      <c r="P105" s="532"/>
      <c r="Q105" s="532"/>
      <c r="R105" s="532"/>
      <c r="S105" s="532"/>
      <c r="T105" s="535">
        <v>-202</v>
      </c>
      <c r="U105" s="451"/>
      <c r="V105" s="405"/>
      <c r="W105" s="452"/>
    </row>
    <row r="106" spans="1:23" x14ac:dyDescent="0.3">
      <c r="A106" s="569" t="s">
        <v>252</v>
      </c>
      <c r="B106" s="532" t="s">
        <v>242</v>
      </c>
      <c r="C106" s="532"/>
      <c r="D106" s="532"/>
      <c r="E106" s="532"/>
      <c r="F106" s="532"/>
      <c r="G106" s="532"/>
      <c r="H106" s="532"/>
      <c r="I106" s="532"/>
      <c r="J106" s="532"/>
      <c r="K106" s="532"/>
      <c r="L106" s="532"/>
      <c r="M106" s="532"/>
      <c r="N106" s="532"/>
      <c r="O106" s="532"/>
      <c r="P106" s="532"/>
      <c r="Q106" s="532"/>
      <c r="R106" s="532"/>
      <c r="S106" s="532"/>
      <c r="T106" s="535">
        <v>-29</v>
      </c>
      <c r="U106" s="451"/>
      <c r="V106" s="453"/>
      <c r="W106" s="452"/>
    </row>
    <row r="107" spans="1:23" x14ac:dyDescent="0.3">
      <c r="A107" s="569" t="s">
        <v>245</v>
      </c>
      <c r="B107" s="532" t="s">
        <v>220</v>
      </c>
      <c r="C107" s="532"/>
      <c r="D107" s="532"/>
      <c r="E107" s="532"/>
      <c r="F107" s="532"/>
      <c r="G107" s="532"/>
      <c r="H107" s="532"/>
      <c r="I107" s="532"/>
      <c r="J107" s="532"/>
      <c r="K107" s="532"/>
      <c r="L107" s="532"/>
      <c r="M107" s="532"/>
      <c r="N107" s="532"/>
      <c r="O107" s="532"/>
      <c r="P107" s="532"/>
      <c r="Q107" s="532"/>
      <c r="R107" s="532"/>
      <c r="S107" s="532"/>
      <c r="T107" s="535">
        <v>-15</v>
      </c>
      <c r="U107" s="451"/>
      <c r="V107" s="405"/>
      <c r="W107" s="452"/>
    </row>
    <row r="108" spans="1:23" x14ac:dyDescent="0.3">
      <c r="A108" s="569" t="s">
        <v>246</v>
      </c>
      <c r="B108" s="532" t="s">
        <v>221</v>
      </c>
      <c r="C108" s="532"/>
      <c r="D108" s="532"/>
      <c r="E108" s="532"/>
      <c r="F108" s="532"/>
      <c r="G108" s="532"/>
      <c r="H108" s="532"/>
      <c r="I108" s="532"/>
      <c r="J108" s="532"/>
      <c r="K108" s="532"/>
      <c r="L108" s="532"/>
      <c r="M108" s="532"/>
      <c r="N108" s="532"/>
      <c r="O108" s="532"/>
      <c r="P108" s="532"/>
      <c r="Q108" s="532"/>
      <c r="R108" s="532"/>
      <c r="S108" s="532"/>
      <c r="T108" s="535">
        <v>-47</v>
      </c>
      <c r="U108" s="451"/>
      <c r="V108" s="405"/>
      <c r="W108" s="452"/>
    </row>
    <row r="109" spans="1:23" x14ac:dyDescent="0.3">
      <c r="A109" s="569" t="s">
        <v>247</v>
      </c>
      <c r="B109" s="532" t="s">
        <v>222</v>
      </c>
      <c r="C109" s="532"/>
      <c r="D109" s="532"/>
      <c r="E109" s="532"/>
      <c r="F109" s="532"/>
      <c r="G109" s="532"/>
      <c r="H109" s="532"/>
      <c r="I109" s="532"/>
      <c r="J109" s="532"/>
      <c r="K109" s="532"/>
      <c r="L109" s="532"/>
      <c r="M109" s="532"/>
      <c r="N109" s="532"/>
      <c r="O109" s="532"/>
      <c r="P109" s="532"/>
      <c r="Q109" s="532"/>
      <c r="R109" s="532"/>
      <c r="S109" s="532"/>
      <c r="T109" s="535">
        <v>-9</v>
      </c>
      <c r="U109" s="451"/>
      <c r="V109" s="405"/>
      <c r="W109" s="452"/>
    </row>
    <row r="110" spans="1:23" x14ac:dyDescent="0.3">
      <c r="A110" s="569" t="s">
        <v>248</v>
      </c>
      <c r="B110" s="532" t="s">
        <v>223</v>
      </c>
      <c r="C110" s="532"/>
      <c r="D110" s="532"/>
      <c r="E110" s="532"/>
      <c r="F110" s="532"/>
      <c r="G110" s="532"/>
      <c r="H110" s="532"/>
      <c r="I110" s="532"/>
      <c r="J110" s="532"/>
      <c r="K110" s="532"/>
      <c r="L110" s="532"/>
      <c r="M110" s="532"/>
      <c r="N110" s="532"/>
      <c r="O110" s="532"/>
      <c r="P110" s="532"/>
      <c r="Q110" s="532"/>
      <c r="R110" s="532"/>
      <c r="S110" s="532"/>
      <c r="T110" s="535">
        <v>-139</v>
      </c>
      <c r="U110" s="451"/>
      <c r="V110" s="405"/>
      <c r="W110" s="452"/>
    </row>
    <row r="111" spans="1:23" x14ac:dyDescent="0.3">
      <c r="A111" s="569">
        <v>7</v>
      </c>
      <c r="B111" s="532" t="s">
        <v>318</v>
      </c>
      <c r="C111" s="532"/>
      <c r="D111" s="532"/>
      <c r="E111" s="532"/>
      <c r="F111" s="532"/>
      <c r="G111" s="532"/>
      <c r="H111" s="532"/>
      <c r="I111" s="532"/>
      <c r="J111" s="532"/>
      <c r="K111" s="532"/>
      <c r="L111" s="532"/>
      <c r="M111" s="532"/>
      <c r="N111" s="532"/>
      <c r="O111" s="532"/>
      <c r="P111" s="532"/>
      <c r="Q111" s="532"/>
      <c r="R111" s="532"/>
      <c r="S111" s="532"/>
      <c r="T111" s="535">
        <v>0</v>
      </c>
      <c r="U111" s="451"/>
      <c r="V111" s="405"/>
      <c r="W111" s="452"/>
    </row>
    <row r="112" spans="1:23" x14ac:dyDescent="0.3">
      <c r="A112" s="569">
        <v>8</v>
      </c>
      <c r="B112" s="532" t="s">
        <v>38</v>
      </c>
      <c r="C112" s="532"/>
      <c r="D112" s="532"/>
      <c r="E112" s="532"/>
      <c r="F112" s="532"/>
      <c r="G112" s="532"/>
      <c r="H112" s="532"/>
      <c r="I112" s="532"/>
      <c r="J112" s="532"/>
      <c r="K112" s="532"/>
      <c r="L112" s="532"/>
      <c r="M112" s="532"/>
      <c r="N112" s="532"/>
      <c r="O112" s="532"/>
      <c r="P112" s="532"/>
      <c r="Q112" s="532"/>
      <c r="R112" s="532"/>
      <c r="S112" s="532"/>
      <c r="T112" s="535">
        <v>-6</v>
      </c>
      <c r="U112" s="451"/>
      <c r="V112" s="405"/>
    </row>
    <row r="113" spans="1:22" x14ac:dyDescent="0.3">
      <c r="A113" s="569">
        <f t="shared" ref="A113:A118" si="0">+A112+1</f>
        <v>9</v>
      </c>
      <c r="B113" s="532" t="s">
        <v>49</v>
      </c>
      <c r="C113" s="532"/>
      <c r="D113" s="532"/>
      <c r="E113" s="532"/>
      <c r="F113" s="532"/>
      <c r="G113" s="532"/>
      <c r="H113" s="532"/>
      <c r="I113" s="532"/>
      <c r="J113" s="532"/>
      <c r="K113" s="532"/>
      <c r="L113" s="532"/>
      <c r="M113" s="532"/>
      <c r="N113" s="532"/>
      <c r="O113" s="532"/>
      <c r="P113" s="532"/>
      <c r="Q113" s="532"/>
      <c r="R113" s="531">
        <f>-T113</f>
        <v>18</v>
      </c>
      <c r="S113" s="532"/>
      <c r="T113" s="535">
        <v>-18</v>
      </c>
      <c r="U113" s="451"/>
      <c r="V113" s="405"/>
    </row>
    <row r="114" spans="1:22" x14ac:dyDescent="0.3">
      <c r="A114" s="569">
        <f t="shared" si="0"/>
        <v>10</v>
      </c>
      <c r="B114" s="532" t="s">
        <v>134</v>
      </c>
      <c r="C114" s="532"/>
      <c r="D114" s="532"/>
      <c r="E114" s="532"/>
      <c r="F114" s="532"/>
      <c r="G114" s="532"/>
      <c r="H114" s="532"/>
      <c r="I114" s="532"/>
      <c r="J114" s="532"/>
      <c r="K114" s="532"/>
      <c r="L114" s="532"/>
      <c r="M114" s="532"/>
      <c r="N114" s="532"/>
      <c r="O114" s="532"/>
      <c r="P114" s="532"/>
      <c r="Q114" s="532"/>
      <c r="R114" s="532"/>
      <c r="S114" s="532"/>
      <c r="T114" s="535">
        <v>0</v>
      </c>
      <c r="U114" s="451"/>
      <c r="V114" s="405"/>
    </row>
    <row r="115" spans="1:22" x14ac:dyDescent="0.3">
      <c r="A115" s="569">
        <f t="shared" si="0"/>
        <v>11</v>
      </c>
      <c r="B115" s="532" t="s">
        <v>39</v>
      </c>
      <c r="C115" s="532"/>
      <c r="D115" s="532"/>
      <c r="E115" s="532"/>
      <c r="F115" s="532"/>
      <c r="G115" s="532"/>
      <c r="H115" s="532"/>
      <c r="I115" s="532"/>
      <c r="J115" s="532"/>
      <c r="K115" s="532"/>
      <c r="L115" s="532"/>
      <c r="M115" s="532"/>
      <c r="N115" s="532"/>
      <c r="O115" s="532"/>
      <c r="P115" s="532"/>
      <c r="Q115" s="532"/>
      <c r="R115" s="532"/>
      <c r="S115" s="532"/>
      <c r="T115" s="535">
        <v>0</v>
      </c>
      <c r="U115" s="451"/>
      <c r="V115" s="405"/>
    </row>
    <row r="116" spans="1:22" x14ac:dyDescent="0.3">
      <c r="A116" s="569">
        <f t="shared" si="0"/>
        <v>12</v>
      </c>
      <c r="B116" s="532" t="s">
        <v>40</v>
      </c>
      <c r="C116" s="532"/>
      <c r="D116" s="532"/>
      <c r="E116" s="532"/>
      <c r="F116" s="532"/>
      <c r="G116" s="532"/>
      <c r="H116" s="532"/>
      <c r="I116" s="532"/>
      <c r="J116" s="532"/>
      <c r="K116" s="532"/>
      <c r="L116" s="532"/>
      <c r="M116" s="532"/>
      <c r="N116" s="532"/>
      <c r="O116" s="532"/>
      <c r="P116" s="532"/>
      <c r="Q116" s="532"/>
      <c r="R116" s="532"/>
      <c r="S116" s="532"/>
      <c r="T116" s="535">
        <v>0</v>
      </c>
      <c r="U116" s="451"/>
      <c r="V116" s="405"/>
    </row>
    <row r="117" spans="1:22" x14ac:dyDescent="0.3">
      <c r="A117" s="569">
        <f t="shared" si="0"/>
        <v>13</v>
      </c>
      <c r="B117" s="532" t="s">
        <v>161</v>
      </c>
      <c r="C117" s="532"/>
      <c r="D117" s="532"/>
      <c r="E117" s="532"/>
      <c r="F117" s="532"/>
      <c r="G117" s="532"/>
      <c r="H117" s="532"/>
      <c r="I117" s="532"/>
      <c r="J117" s="532"/>
      <c r="K117" s="532"/>
      <c r="L117" s="532"/>
      <c r="M117" s="532"/>
      <c r="N117" s="532"/>
      <c r="O117" s="532"/>
      <c r="P117" s="532"/>
      <c r="Q117" s="532"/>
      <c r="R117" s="532"/>
      <c r="S117" s="532"/>
      <c r="T117" s="535">
        <v>-85</v>
      </c>
      <c r="U117" s="451"/>
      <c r="V117" s="405"/>
    </row>
    <row r="118" spans="1:22" x14ac:dyDescent="0.3">
      <c r="A118" s="569">
        <f t="shared" si="0"/>
        <v>14</v>
      </c>
      <c r="B118" s="532" t="s">
        <v>135</v>
      </c>
      <c r="C118" s="532"/>
      <c r="D118" s="532"/>
      <c r="E118" s="532"/>
      <c r="F118" s="532"/>
      <c r="G118" s="532"/>
      <c r="H118" s="532"/>
      <c r="I118" s="532"/>
      <c r="J118" s="532"/>
      <c r="K118" s="532"/>
      <c r="L118" s="532"/>
      <c r="M118" s="532"/>
      <c r="N118" s="532"/>
      <c r="O118" s="532"/>
      <c r="P118" s="532"/>
      <c r="Q118" s="532"/>
      <c r="R118" s="532"/>
      <c r="S118" s="532"/>
      <c r="T118" s="535">
        <f>-T97-SUM(T99:T117)</f>
        <v>-697</v>
      </c>
      <c r="U118" s="451"/>
      <c r="V118" s="405"/>
    </row>
    <row r="119" spans="1:22" x14ac:dyDescent="0.3">
      <c r="A119" s="418"/>
      <c r="B119" s="522" t="s">
        <v>41</v>
      </c>
      <c r="C119" s="448"/>
      <c r="D119" s="448"/>
      <c r="E119" s="448"/>
      <c r="F119" s="448"/>
      <c r="G119" s="448"/>
      <c r="H119" s="448"/>
      <c r="I119" s="448"/>
      <c r="J119" s="448"/>
      <c r="K119" s="448"/>
      <c r="L119" s="448"/>
      <c r="M119" s="448"/>
      <c r="N119" s="448"/>
      <c r="O119" s="448"/>
      <c r="P119" s="448"/>
      <c r="Q119" s="448"/>
      <c r="R119" s="448"/>
      <c r="S119" s="448"/>
      <c r="T119" s="454"/>
      <c r="U119" s="451"/>
      <c r="V119" s="405"/>
    </row>
    <row r="120" spans="1:22" x14ac:dyDescent="0.3">
      <c r="A120" s="428"/>
      <c r="B120" s="532" t="s">
        <v>229</v>
      </c>
      <c r="C120" s="532"/>
      <c r="D120" s="532"/>
      <c r="E120" s="532"/>
      <c r="F120" s="532"/>
      <c r="G120" s="532"/>
      <c r="H120" s="532"/>
      <c r="I120" s="532"/>
      <c r="J120" s="532"/>
      <c r="K120" s="532"/>
      <c r="L120" s="532"/>
      <c r="M120" s="532"/>
      <c r="N120" s="532"/>
      <c r="O120" s="532"/>
      <c r="P120" s="532"/>
      <c r="Q120" s="532"/>
      <c r="R120" s="531">
        <f>-R180</f>
        <v>0</v>
      </c>
      <c r="S120" s="531"/>
      <c r="T120" s="535"/>
      <c r="U120" s="562"/>
      <c r="V120" s="405"/>
    </row>
    <row r="121" spans="1:22" x14ac:dyDescent="0.3">
      <c r="A121" s="428"/>
      <c r="B121" s="532" t="s">
        <v>230</v>
      </c>
      <c r="C121" s="532"/>
      <c r="D121" s="532"/>
      <c r="E121" s="532"/>
      <c r="F121" s="532"/>
      <c r="G121" s="532"/>
      <c r="H121" s="532"/>
      <c r="I121" s="532"/>
      <c r="J121" s="532"/>
      <c r="K121" s="532"/>
      <c r="L121" s="532"/>
      <c r="M121" s="532"/>
      <c r="N121" s="532"/>
      <c r="O121" s="532"/>
      <c r="P121" s="532"/>
      <c r="Q121" s="532"/>
      <c r="R121" s="531">
        <v>0</v>
      </c>
      <c r="S121" s="531"/>
      <c r="T121" s="535"/>
      <c r="U121" s="562"/>
      <c r="V121" s="405"/>
    </row>
    <row r="122" spans="1:22" x14ac:dyDescent="0.3">
      <c r="A122" s="428"/>
      <c r="B122" s="532" t="s">
        <v>42</v>
      </c>
      <c r="C122" s="532"/>
      <c r="D122" s="532"/>
      <c r="E122" s="532"/>
      <c r="F122" s="532"/>
      <c r="G122" s="532"/>
      <c r="H122" s="532"/>
      <c r="I122" s="532"/>
      <c r="J122" s="532"/>
      <c r="K122" s="532"/>
      <c r="L122" s="532"/>
      <c r="M122" s="532"/>
      <c r="N122" s="532"/>
      <c r="O122" s="532"/>
      <c r="P122" s="532"/>
      <c r="Q122" s="532"/>
      <c r="R122" s="531">
        <f>-Q180</f>
        <v>-491</v>
      </c>
      <c r="S122" s="531"/>
      <c r="T122" s="535"/>
      <c r="U122" s="562"/>
      <c r="V122" s="405"/>
    </row>
    <row r="123" spans="1:22" x14ac:dyDescent="0.3">
      <c r="A123" s="428"/>
      <c r="B123" s="532" t="s">
        <v>235</v>
      </c>
      <c r="C123" s="532"/>
      <c r="D123" s="532"/>
      <c r="E123" s="532"/>
      <c r="F123" s="532"/>
      <c r="G123" s="532"/>
      <c r="H123" s="532"/>
      <c r="I123" s="532"/>
      <c r="J123" s="532"/>
      <c r="K123" s="532"/>
      <c r="L123" s="532"/>
      <c r="M123" s="532"/>
      <c r="N123" s="532"/>
      <c r="O123" s="532"/>
      <c r="P123" s="532"/>
      <c r="Q123" s="532"/>
      <c r="R123" s="531">
        <v>-1810</v>
      </c>
      <c r="S123" s="531"/>
      <c r="T123" s="535"/>
      <c r="U123" s="562"/>
      <c r="V123" s="405"/>
    </row>
    <row r="124" spans="1:22" x14ac:dyDescent="0.3">
      <c r="A124" s="428"/>
      <c r="B124" s="532" t="s">
        <v>236</v>
      </c>
      <c r="C124" s="532"/>
      <c r="D124" s="532"/>
      <c r="E124" s="532"/>
      <c r="F124" s="532"/>
      <c r="G124" s="532"/>
      <c r="H124" s="532"/>
      <c r="I124" s="532"/>
      <c r="J124" s="532"/>
      <c r="K124" s="532"/>
      <c r="L124" s="532"/>
      <c r="M124" s="532"/>
      <c r="N124" s="532"/>
      <c r="O124" s="532"/>
      <c r="P124" s="532"/>
      <c r="Q124" s="532"/>
      <c r="R124" s="531">
        <v>-1279</v>
      </c>
      <c r="S124" s="531"/>
      <c r="T124" s="535"/>
      <c r="U124" s="562"/>
      <c r="V124" s="405"/>
    </row>
    <row r="125" spans="1:22" x14ac:dyDescent="0.3">
      <c r="A125" s="428"/>
      <c r="B125" s="532" t="s">
        <v>241</v>
      </c>
      <c r="C125" s="532"/>
      <c r="D125" s="532"/>
      <c r="E125" s="532"/>
      <c r="F125" s="532"/>
      <c r="G125" s="532"/>
      <c r="H125" s="532"/>
      <c r="I125" s="532"/>
      <c r="J125" s="532"/>
      <c r="K125" s="532"/>
      <c r="L125" s="532"/>
      <c r="M125" s="532"/>
      <c r="N125" s="532"/>
      <c r="O125" s="532"/>
      <c r="P125" s="532"/>
      <c r="Q125" s="532"/>
      <c r="R125" s="531">
        <v>-177</v>
      </c>
      <c r="S125" s="531"/>
      <c r="T125" s="535"/>
      <c r="U125" s="562"/>
      <c r="V125" s="405"/>
    </row>
    <row r="126" spans="1:22" x14ac:dyDescent="0.3">
      <c r="A126" s="428"/>
      <c r="B126" s="532" t="s">
        <v>237</v>
      </c>
      <c r="C126" s="532"/>
      <c r="D126" s="532"/>
      <c r="E126" s="532"/>
      <c r="F126" s="532"/>
      <c r="G126" s="532"/>
      <c r="H126" s="532"/>
      <c r="I126" s="532"/>
      <c r="J126" s="532"/>
      <c r="K126" s="532"/>
      <c r="L126" s="532"/>
      <c r="M126" s="532"/>
      <c r="N126" s="532"/>
      <c r="O126" s="532"/>
      <c r="P126" s="532"/>
      <c r="Q126" s="532"/>
      <c r="R126" s="531">
        <v>-83</v>
      </c>
      <c r="S126" s="531"/>
      <c r="T126" s="535"/>
      <c r="U126" s="562"/>
      <c r="V126" s="405"/>
    </row>
    <row r="127" spans="1:22" x14ac:dyDescent="0.3">
      <c r="A127" s="428"/>
      <c r="B127" s="532" t="s">
        <v>238</v>
      </c>
      <c r="C127" s="532"/>
      <c r="D127" s="532"/>
      <c r="E127" s="532"/>
      <c r="F127" s="532"/>
      <c r="G127" s="532"/>
      <c r="H127" s="532"/>
      <c r="I127" s="532"/>
      <c r="J127" s="532"/>
      <c r="K127" s="532"/>
      <c r="L127" s="532"/>
      <c r="M127" s="532"/>
      <c r="N127" s="532"/>
      <c r="O127" s="532"/>
      <c r="P127" s="532"/>
      <c r="Q127" s="532"/>
      <c r="R127" s="531">
        <v>-242</v>
      </c>
      <c r="S127" s="531"/>
      <c r="T127" s="535"/>
      <c r="U127" s="562"/>
      <c r="V127" s="405"/>
    </row>
    <row r="128" spans="1:22" x14ac:dyDescent="0.3">
      <c r="A128" s="428"/>
      <c r="B128" s="532" t="s">
        <v>239</v>
      </c>
      <c r="C128" s="532"/>
      <c r="D128" s="532"/>
      <c r="E128" s="532"/>
      <c r="F128" s="532"/>
      <c r="G128" s="532"/>
      <c r="H128" s="532"/>
      <c r="I128" s="532"/>
      <c r="J128" s="532"/>
      <c r="K128" s="532"/>
      <c r="L128" s="532"/>
      <c r="M128" s="532"/>
      <c r="N128" s="532"/>
      <c r="O128" s="532"/>
      <c r="P128" s="532"/>
      <c r="Q128" s="532"/>
      <c r="R128" s="531">
        <v>-36</v>
      </c>
      <c r="S128" s="531"/>
      <c r="T128" s="535"/>
      <c r="U128" s="562"/>
      <c r="V128" s="405"/>
    </row>
    <row r="129" spans="1:22" x14ac:dyDescent="0.3">
      <c r="A129" s="428"/>
      <c r="B129" s="532" t="s">
        <v>240</v>
      </c>
      <c r="C129" s="532"/>
      <c r="D129" s="532"/>
      <c r="E129" s="532"/>
      <c r="F129" s="532"/>
      <c r="G129" s="532"/>
      <c r="H129" s="532"/>
      <c r="I129" s="532"/>
      <c r="J129" s="532"/>
      <c r="K129" s="532"/>
      <c r="L129" s="532"/>
      <c r="M129" s="532"/>
      <c r="N129" s="532"/>
      <c r="O129" s="532"/>
      <c r="P129" s="532"/>
      <c r="Q129" s="532"/>
      <c r="R129" s="531">
        <v>-540</v>
      </c>
      <c r="S129" s="531"/>
      <c r="T129" s="535"/>
      <c r="U129" s="562"/>
      <c r="V129" s="405"/>
    </row>
    <row r="130" spans="1:22" x14ac:dyDescent="0.3">
      <c r="A130" s="428"/>
      <c r="B130" s="532" t="s">
        <v>43</v>
      </c>
      <c r="C130" s="532"/>
      <c r="D130" s="532"/>
      <c r="E130" s="532"/>
      <c r="F130" s="532"/>
      <c r="G130" s="532"/>
      <c r="H130" s="532"/>
      <c r="I130" s="532"/>
      <c r="J130" s="532"/>
      <c r="K130" s="532"/>
      <c r="L130" s="532"/>
      <c r="M130" s="532"/>
      <c r="N130" s="532"/>
      <c r="O130" s="532"/>
      <c r="P130" s="532"/>
      <c r="Q130" s="532"/>
      <c r="R130" s="531">
        <f>SUM(R120:R129)</f>
        <v>-4658</v>
      </c>
      <c r="S130" s="531"/>
      <c r="T130" s="531">
        <f>SUM(T98:T128)</f>
        <v>-1644</v>
      </c>
      <c r="U130" s="562"/>
      <c r="V130" s="405"/>
    </row>
    <row r="131" spans="1:22" x14ac:dyDescent="0.3">
      <c r="A131" s="428"/>
      <c r="B131" s="532" t="s">
        <v>44</v>
      </c>
      <c r="C131" s="532"/>
      <c r="D131" s="532"/>
      <c r="E131" s="532"/>
      <c r="F131" s="532"/>
      <c r="G131" s="532"/>
      <c r="H131" s="532"/>
      <c r="I131" s="532"/>
      <c r="J131" s="532"/>
      <c r="K131" s="532"/>
      <c r="L131" s="532"/>
      <c r="M131" s="532"/>
      <c r="N131" s="532"/>
      <c r="O131" s="532"/>
      <c r="P131" s="532"/>
      <c r="Q131" s="532"/>
      <c r="R131" s="531">
        <f>R97+R130+R113</f>
        <v>0</v>
      </c>
      <c r="S131" s="531"/>
      <c r="T131" s="531">
        <f>T97+T130</f>
        <v>0</v>
      </c>
      <c r="U131" s="562"/>
      <c r="V131" s="405"/>
    </row>
    <row r="132" spans="1:22" x14ac:dyDescent="0.3">
      <c r="A132" s="430"/>
      <c r="B132" s="431"/>
      <c r="C132" s="431"/>
      <c r="D132" s="431"/>
      <c r="E132" s="431"/>
      <c r="F132" s="431"/>
      <c r="G132" s="431"/>
      <c r="H132" s="431"/>
      <c r="I132" s="431"/>
      <c r="J132" s="431"/>
      <c r="K132" s="431"/>
      <c r="L132" s="431"/>
      <c r="M132" s="431"/>
      <c r="N132" s="431"/>
      <c r="O132" s="431"/>
      <c r="P132" s="431"/>
      <c r="Q132" s="431"/>
      <c r="R132" s="455"/>
      <c r="S132" s="455"/>
      <c r="T132" s="455"/>
      <c r="U132" s="431"/>
      <c r="V132" s="405"/>
    </row>
    <row r="133" spans="1:22" x14ac:dyDescent="0.3">
      <c r="A133" s="430"/>
      <c r="B133" s="434"/>
      <c r="C133" s="434"/>
      <c r="D133" s="434"/>
      <c r="E133" s="434"/>
      <c r="F133" s="434"/>
      <c r="G133" s="434"/>
      <c r="H133" s="434"/>
      <c r="I133" s="434"/>
      <c r="J133" s="434"/>
      <c r="K133" s="434"/>
      <c r="L133" s="434"/>
      <c r="M133" s="434"/>
      <c r="N133" s="434"/>
      <c r="O133" s="434"/>
      <c r="P133" s="434"/>
      <c r="Q133" s="434"/>
      <c r="R133" s="434"/>
      <c r="S133" s="434"/>
      <c r="T133" s="456"/>
      <c r="U133" s="434"/>
      <c r="V133" s="405"/>
    </row>
    <row r="134" spans="1:22" ht="18.600000000000001" thickBot="1" x14ac:dyDescent="0.4">
      <c r="A134" s="437"/>
      <c r="B134" s="565" t="str">
        <f>B61</f>
        <v>PM9 INVESTOR REPORT QUARTER ENDING OCTOBER 2018</v>
      </c>
      <c r="C134" s="438"/>
      <c r="D134" s="438"/>
      <c r="E134" s="438"/>
      <c r="F134" s="438"/>
      <c r="G134" s="438"/>
      <c r="H134" s="438"/>
      <c r="I134" s="438"/>
      <c r="J134" s="438"/>
      <c r="K134" s="438"/>
      <c r="L134" s="438"/>
      <c r="M134" s="438"/>
      <c r="N134" s="438"/>
      <c r="O134" s="438"/>
      <c r="P134" s="438"/>
      <c r="Q134" s="438"/>
      <c r="R134" s="438"/>
      <c r="S134" s="438"/>
      <c r="T134" s="457"/>
      <c r="U134" s="440"/>
      <c r="V134" s="405"/>
    </row>
    <row r="135" spans="1:22" x14ac:dyDescent="0.3">
      <c r="A135" s="507"/>
      <c r="B135" s="508" t="s">
        <v>45</v>
      </c>
      <c r="C135" s="509"/>
      <c r="D135" s="509"/>
      <c r="E135" s="509"/>
      <c r="F135" s="509"/>
      <c r="G135" s="509"/>
      <c r="H135" s="509"/>
      <c r="I135" s="509"/>
      <c r="J135" s="509"/>
      <c r="K135" s="509"/>
      <c r="L135" s="509"/>
      <c r="M135" s="509"/>
      <c r="N135" s="509"/>
      <c r="O135" s="509"/>
      <c r="P135" s="509"/>
      <c r="Q135" s="509"/>
      <c r="R135" s="509"/>
      <c r="S135" s="509"/>
      <c r="T135" s="510"/>
      <c r="U135" s="509"/>
      <c r="V135" s="405"/>
    </row>
    <row r="136" spans="1:22" x14ac:dyDescent="0.3">
      <c r="A136" s="407"/>
      <c r="B136" s="458"/>
      <c r="C136" s="409"/>
      <c r="D136" s="409"/>
      <c r="E136" s="409"/>
      <c r="F136" s="409"/>
      <c r="G136" s="409"/>
      <c r="H136" s="409"/>
      <c r="I136" s="409"/>
      <c r="J136" s="409"/>
      <c r="K136" s="409"/>
      <c r="L136" s="409"/>
      <c r="M136" s="409"/>
      <c r="N136" s="409"/>
      <c r="O136" s="409"/>
      <c r="P136" s="409"/>
      <c r="Q136" s="409"/>
      <c r="R136" s="409"/>
      <c r="S136" s="409"/>
      <c r="T136" s="441"/>
      <c r="U136" s="409"/>
      <c r="V136" s="405"/>
    </row>
    <row r="137" spans="1:22" x14ac:dyDescent="0.3">
      <c r="A137" s="407"/>
      <c r="B137" s="523" t="s">
        <v>46</v>
      </c>
      <c r="C137" s="409"/>
      <c r="D137" s="409"/>
      <c r="E137" s="409"/>
      <c r="F137" s="409"/>
      <c r="G137" s="409"/>
      <c r="H137" s="409"/>
      <c r="I137" s="409"/>
      <c r="J137" s="409"/>
      <c r="K137" s="409"/>
      <c r="L137" s="409"/>
      <c r="M137" s="409"/>
      <c r="N137" s="409"/>
      <c r="O137" s="409"/>
      <c r="P137" s="409"/>
      <c r="Q137" s="409"/>
      <c r="R137" s="409"/>
      <c r="S137" s="409"/>
      <c r="T137" s="441"/>
      <c r="U137" s="409"/>
      <c r="V137" s="405"/>
    </row>
    <row r="138" spans="1:22" x14ac:dyDescent="0.3">
      <c r="A138" s="418"/>
      <c r="B138" s="532" t="s">
        <v>47</v>
      </c>
      <c r="C138" s="532"/>
      <c r="D138" s="532"/>
      <c r="E138" s="532"/>
      <c r="F138" s="532"/>
      <c r="G138" s="532"/>
      <c r="H138" s="532"/>
      <c r="I138" s="532"/>
      <c r="J138" s="532"/>
      <c r="K138" s="532"/>
      <c r="L138" s="532"/>
      <c r="M138" s="532"/>
      <c r="N138" s="532"/>
      <c r="O138" s="532"/>
      <c r="P138" s="532"/>
      <c r="Q138" s="532"/>
      <c r="R138" s="532"/>
      <c r="S138" s="532"/>
      <c r="T138" s="535">
        <f>+T32*0.0176</f>
        <v>12320</v>
      </c>
      <c r="U138" s="420"/>
      <c r="V138" s="405"/>
    </row>
    <row r="139" spans="1:22" x14ac:dyDescent="0.3">
      <c r="A139" s="418"/>
      <c r="B139" s="532" t="s">
        <v>48</v>
      </c>
      <c r="C139" s="532"/>
      <c r="D139" s="532"/>
      <c r="E139" s="532"/>
      <c r="F139" s="532"/>
      <c r="G139" s="532"/>
      <c r="H139" s="532"/>
      <c r="I139" s="532"/>
      <c r="J139" s="532"/>
      <c r="K139" s="532"/>
      <c r="L139" s="532"/>
      <c r="M139" s="532"/>
      <c r="N139" s="532"/>
      <c r="O139" s="532"/>
      <c r="P139" s="532"/>
      <c r="Q139" s="532"/>
      <c r="R139" s="532"/>
      <c r="S139" s="532"/>
      <c r="T139" s="535">
        <v>12320</v>
      </c>
      <c r="U139" s="420"/>
      <c r="V139" s="405"/>
    </row>
    <row r="140" spans="1:22" x14ac:dyDescent="0.3">
      <c r="A140" s="418"/>
      <c r="B140" s="532" t="s">
        <v>145</v>
      </c>
      <c r="C140" s="532"/>
      <c r="D140" s="532"/>
      <c r="E140" s="532"/>
      <c r="F140" s="532"/>
      <c r="G140" s="532"/>
      <c r="H140" s="532"/>
      <c r="I140" s="532"/>
      <c r="J140" s="532"/>
      <c r="K140" s="532"/>
      <c r="L140" s="532"/>
      <c r="M140" s="532"/>
      <c r="N140" s="532"/>
      <c r="O140" s="532"/>
      <c r="P140" s="532"/>
      <c r="Q140" s="532"/>
      <c r="R140" s="532"/>
      <c r="S140" s="532"/>
      <c r="T140" s="535">
        <v>0</v>
      </c>
      <c r="U140" s="420"/>
      <c r="V140" s="405"/>
    </row>
    <row r="141" spans="1:22" x14ac:dyDescent="0.3">
      <c r="A141" s="418"/>
      <c r="B141" s="532" t="s">
        <v>132</v>
      </c>
      <c r="C141" s="532"/>
      <c r="D141" s="532"/>
      <c r="E141" s="532"/>
      <c r="F141" s="532"/>
      <c r="G141" s="532"/>
      <c r="H141" s="532"/>
      <c r="I141" s="532"/>
      <c r="J141" s="532"/>
      <c r="K141" s="532"/>
      <c r="L141" s="532"/>
      <c r="M141" s="532"/>
      <c r="N141" s="532"/>
      <c r="O141" s="532"/>
      <c r="P141" s="532"/>
      <c r="Q141" s="532"/>
      <c r="R141" s="532"/>
      <c r="S141" s="532"/>
      <c r="T141" s="535">
        <v>0</v>
      </c>
      <c r="U141" s="420"/>
      <c r="V141" s="405"/>
    </row>
    <row r="142" spans="1:22" x14ac:dyDescent="0.3">
      <c r="A142" s="418"/>
      <c r="B142" s="532" t="s">
        <v>133</v>
      </c>
      <c r="C142" s="532"/>
      <c r="D142" s="532"/>
      <c r="E142" s="532"/>
      <c r="F142" s="532"/>
      <c r="G142" s="532"/>
      <c r="H142" s="532"/>
      <c r="I142" s="532"/>
      <c r="J142" s="532"/>
      <c r="K142" s="532"/>
      <c r="L142" s="532"/>
      <c r="M142" s="532"/>
      <c r="N142" s="532"/>
      <c r="O142" s="532"/>
      <c r="P142" s="532"/>
      <c r="Q142" s="532"/>
      <c r="R142" s="532"/>
      <c r="S142" s="532"/>
      <c r="T142" s="535">
        <v>0</v>
      </c>
      <c r="U142" s="420"/>
      <c r="V142" s="405"/>
    </row>
    <row r="143" spans="1:22" x14ac:dyDescent="0.3">
      <c r="A143" s="418"/>
      <c r="B143" s="532" t="s">
        <v>232</v>
      </c>
      <c r="C143" s="532"/>
      <c r="D143" s="532"/>
      <c r="E143" s="532"/>
      <c r="F143" s="532"/>
      <c r="G143" s="532"/>
      <c r="H143" s="532"/>
      <c r="I143" s="532"/>
      <c r="J143" s="532"/>
      <c r="K143" s="532"/>
      <c r="L143" s="532"/>
      <c r="M143" s="532"/>
      <c r="N143" s="532"/>
      <c r="O143" s="532"/>
      <c r="P143" s="532"/>
      <c r="Q143" s="532"/>
      <c r="R143" s="532"/>
      <c r="S143" s="532"/>
      <c r="T143" s="535">
        <v>0</v>
      </c>
      <c r="U143" s="420"/>
      <c r="V143" s="405"/>
    </row>
    <row r="144" spans="1:22" x14ac:dyDescent="0.3">
      <c r="A144" s="418"/>
      <c r="B144" s="532" t="s">
        <v>49</v>
      </c>
      <c r="C144" s="532"/>
      <c r="D144" s="532"/>
      <c r="E144" s="532"/>
      <c r="F144" s="532"/>
      <c r="G144" s="532"/>
      <c r="H144" s="532"/>
      <c r="I144" s="532"/>
      <c r="J144" s="532"/>
      <c r="K144" s="532"/>
      <c r="L144" s="532"/>
      <c r="M144" s="532"/>
      <c r="N144" s="532"/>
      <c r="O144" s="532"/>
      <c r="P144" s="532"/>
      <c r="Q144" s="532"/>
      <c r="R144" s="532"/>
      <c r="S144" s="532"/>
      <c r="T144" s="535">
        <v>0</v>
      </c>
      <c r="U144" s="420"/>
      <c r="V144" s="405"/>
    </row>
    <row r="145" spans="1:23" x14ac:dyDescent="0.3">
      <c r="A145" s="418"/>
      <c r="B145" s="532" t="s">
        <v>138</v>
      </c>
      <c r="C145" s="532"/>
      <c r="D145" s="532"/>
      <c r="E145" s="532"/>
      <c r="F145" s="532"/>
      <c r="G145" s="532"/>
      <c r="H145" s="532"/>
      <c r="I145" s="532"/>
      <c r="J145" s="532"/>
      <c r="K145" s="532"/>
      <c r="L145" s="532"/>
      <c r="M145" s="532"/>
      <c r="N145" s="532"/>
      <c r="O145" s="532"/>
      <c r="P145" s="532"/>
      <c r="Q145" s="532"/>
      <c r="R145" s="532"/>
      <c r="S145" s="532"/>
      <c r="T145" s="535">
        <v>0</v>
      </c>
      <c r="U145" s="420"/>
      <c r="V145" s="405"/>
    </row>
    <row r="146" spans="1:23" x14ac:dyDescent="0.3">
      <c r="A146" s="418"/>
      <c r="B146" s="532" t="s">
        <v>231</v>
      </c>
      <c r="C146" s="532"/>
      <c r="D146" s="532"/>
      <c r="E146" s="532"/>
      <c r="F146" s="532"/>
      <c r="G146" s="532"/>
      <c r="H146" s="532"/>
      <c r="I146" s="532"/>
      <c r="J146" s="532"/>
      <c r="K146" s="532"/>
      <c r="L146" s="532"/>
      <c r="M146" s="532"/>
      <c r="N146" s="532"/>
      <c r="O146" s="532"/>
      <c r="P146" s="532"/>
      <c r="Q146" s="532"/>
      <c r="R146" s="532"/>
      <c r="S146" s="532"/>
      <c r="T146" s="535">
        <v>0</v>
      </c>
      <c r="U146" s="420"/>
      <c r="V146" s="405"/>
      <c r="W146" s="452"/>
    </row>
    <row r="147" spans="1:23" x14ac:dyDescent="0.3">
      <c r="A147" s="418"/>
      <c r="B147" s="532" t="s">
        <v>50</v>
      </c>
      <c r="C147" s="532"/>
      <c r="D147" s="532"/>
      <c r="E147" s="532"/>
      <c r="F147" s="532"/>
      <c r="G147" s="532"/>
      <c r="H147" s="532"/>
      <c r="I147" s="532"/>
      <c r="J147" s="532"/>
      <c r="K147" s="532"/>
      <c r="L147" s="532"/>
      <c r="M147" s="532"/>
      <c r="N147" s="532"/>
      <c r="O147" s="532"/>
      <c r="P147" s="532"/>
      <c r="Q147" s="532"/>
      <c r="R147" s="532"/>
      <c r="S147" s="532"/>
      <c r="T147" s="535">
        <f>SUM(T139:T146)</f>
        <v>12320</v>
      </c>
      <c r="U147" s="420"/>
      <c r="V147" s="405"/>
    </row>
    <row r="148" spans="1:23" x14ac:dyDescent="0.3">
      <c r="A148" s="418"/>
      <c r="B148" s="448"/>
      <c r="C148" s="448"/>
      <c r="D148" s="448"/>
      <c r="E148" s="448"/>
      <c r="F148" s="448"/>
      <c r="G148" s="448"/>
      <c r="H148" s="448"/>
      <c r="I148" s="448"/>
      <c r="J148" s="448"/>
      <c r="K148" s="448"/>
      <c r="L148" s="448"/>
      <c r="M148" s="448"/>
      <c r="N148" s="448"/>
      <c r="O148" s="448"/>
      <c r="P148" s="448"/>
      <c r="Q148" s="448"/>
      <c r="R148" s="448"/>
      <c r="S148" s="448"/>
      <c r="T148" s="450"/>
      <c r="U148" s="451"/>
      <c r="V148" s="405"/>
    </row>
    <row r="149" spans="1:23" x14ac:dyDescent="0.3">
      <c r="A149" s="418"/>
      <c r="B149" s="522" t="s">
        <v>264</v>
      </c>
      <c r="C149" s="448"/>
      <c r="D149" s="448"/>
      <c r="E149" s="448"/>
      <c r="F149" s="448"/>
      <c r="G149" s="448"/>
      <c r="H149" s="448"/>
      <c r="I149" s="448"/>
      <c r="J149" s="448"/>
      <c r="K149" s="448"/>
      <c r="L149" s="448"/>
      <c r="M149" s="448"/>
      <c r="N149" s="448"/>
      <c r="O149" s="448"/>
      <c r="P149" s="448"/>
      <c r="Q149" s="448"/>
      <c r="R149" s="448"/>
      <c r="S149" s="448"/>
      <c r="T149" s="450"/>
      <c r="U149" s="451"/>
      <c r="V149" s="405"/>
    </row>
    <row r="150" spans="1:23" x14ac:dyDescent="0.3">
      <c r="A150" s="418"/>
      <c r="B150" s="532" t="s">
        <v>170</v>
      </c>
      <c r="C150" s="532"/>
      <c r="D150" s="532"/>
      <c r="E150" s="532"/>
      <c r="F150" s="532"/>
      <c r="G150" s="532"/>
      <c r="H150" s="532"/>
      <c r="I150" s="532"/>
      <c r="J150" s="532"/>
      <c r="K150" s="532"/>
      <c r="L150" s="532"/>
      <c r="M150" s="532"/>
      <c r="N150" s="532"/>
      <c r="O150" s="532"/>
      <c r="P150" s="532"/>
      <c r="Q150" s="532"/>
      <c r="R150" s="532"/>
      <c r="S150" s="532"/>
      <c r="T150" s="535">
        <v>10000</v>
      </c>
      <c r="U150" s="420"/>
      <c r="V150" s="405"/>
    </row>
    <row r="151" spans="1:23" x14ac:dyDescent="0.3">
      <c r="A151" s="418"/>
      <c r="B151" s="532" t="s">
        <v>260</v>
      </c>
      <c r="C151" s="532"/>
      <c r="D151" s="532"/>
      <c r="E151" s="532"/>
      <c r="F151" s="532"/>
      <c r="G151" s="532"/>
      <c r="H151" s="532"/>
      <c r="I151" s="532"/>
      <c r="J151" s="532"/>
      <c r="K151" s="532"/>
      <c r="L151" s="532"/>
      <c r="M151" s="532"/>
      <c r="N151" s="532"/>
      <c r="O151" s="532"/>
      <c r="P151" s="532"/>
      <c r="Q151" s="532"/>
      <c r="R151" s="532"/>
      <c r="S151" s="532"/>
      <c r="T151" s="535">
        <v>0</v>
      </c>
      <c r="U151" s="420"/>
      <c r="V151" s="405"/>
    </row>
    <row r="152" spans="1:23" x14ac:dyDescent="0.3">
      <c r="A152" s="418"/>
      <c r="B152" s="532" t="s">
        <v>228</v>
      </c>
      <c r="C152" s="532"/>
      <c r="D152" s="532"/>
      <c r="E152" s="532"/>
      <c r="F152" s="532"/>
      <c r="G152" s="532"/>
      <c r="H152" s="532"/>
      <c r="I152" s="532"/>
      <c r="J152" s="532"/>
      <c r="K152" s="532"/>
      <c r="L152" s="532"/>
      <c r="M152" s="532"/>
      <c r="N152" s="532"/>
      <c r="O152" s="532"/>
      <c r="P152" s="532"/>
      <c r="Q152" s="532"/>
      <c r="R152" s="532"/>
      <c r="S152" s="532"/>
      <c r="T152" s="535">
        <v>0</v>
      </c>
      <c r="U152" s="420"/>
      <c r="V152" s="405"/>
    </row>
    <row r="153" spans="1:23" x14ac:dyDescent="0.3">
      <c r="A153" s="418"/>
      <c r="B153" s="568" t="s">
        <v>327</v>
      </c>
      <c r="C153" s="532"/>
      <c r="D153" s="532"/>
      <c r="E153" s="532"/>
      <c r="F153" s="532"/>
      <c r="G153" s="532"/>
      <c r="H153" s="532"/>
      <c r="I153" s="532"/>
      <c r="J153" s="532"/>
      <c r="K153" s="532"/>
      <c r="L153" s="532"/>
      <c r="M153" s="532"/>
      <c r="N153" s="532"/>
      <c r="O153" s="532"/>
      <c r="P153" s="532"/>
      <c r="Q153" s="532"/>
      <c r="R153" s="532"/>
      <c r="S153" s="532"/>
      <c r="T153" s="535">
        <v>0</v>
      </c>
      <c r="U153" s="420"/>
      <c r="V153" s="405"/>
    </row>
    <row r="154" spans="1:23" x14ac:dyDescent="0.3">
      <c r="A154" s="418"/>
      <c r="B154" s="448"/>
      <c r="C154" s="448"/>
      <c r="D154" s="448"/>
      <c r="E154" s="448"/>
      <c r="F154" s="448"/>
      <c r="G154" s="448"/>
      <c r="H154" s="448"/>
      <c r="I154" s="448"/>
      <c r="J154" s="448"/>
      <c r="K154" s="448"/>
      <c r="L154" s="448"/>
      <c r="M154" s="448"/>
      <c r="N154" s="448"/>
      <c r="O154" s="448"/>
      <c r="P154" s="448"/>
      <c r="Q154" s="448"/>
      <c r="R154" s="448"/>
      <c r="S154" s="448"/>
      <c r="T154" s="450"/>
      <c r="U154" s="451"/>
      <c r="V154" s="405"/>
    </row>
    <row r="155" spans="1:23" x14ac:dyDescent="0.3">
      <c r="A155" s="407"/>
      <c r="B155" s="444"/>
      <c r="C155" s="444"/>
      <c r="D155" s="444"/>
      <c r="E155" s="444"/>
      <c r="F155" s="444"/>
      <c r="G155" s="444"/>
      <c r="H155" s="444"/>
      <c r="I155" s="444"/>
      <c r="J155" s="444"/>
      <c r="K155" s="444"/>
      <c r="L155" s="444"/>
      <c r="M155" s="444"/>
      <c r="N155" s="444"/>
      <c r="O155" s="444"/>
      <c r="P155" s="444"/>
      <c r="Q155" s="444"/>
      <c r="R155" s="444"/>
      <c r="S155" s="444"/>
      <c r="T155" s="459"/>
      <c r="U155" s="444"/>
      <c r="V155" s="405"/>
    </row>
    <row r="156" spans="1:23" x14ac:dyDescent="0.3">
      <c r="A156" s="407"/>
      <c r="B156" s="523" t="s">
        <v>25</v>
      </c>
      <c r="C156" s="409"/>
      <c r="D156" s="409"/>
      <c r="E156" s="409"/>
      <c r="F156" s="409"/>
      <c r="G156" s="409"/>
      <c r="H156" s="409"/>
      <c r="I156" s="409"/>
      <c r="J156" s="409"/>
      <c r="K156" s="409"/>
      <c r="L156" s="409"/>
      <c r="M156" s="409"/>
      <c r="N156" s="409"/>
      <c r="O156" s="409"/>
      <c r="P156" s="409"/>
      <c r="Q156" s="409"/>
      <c r="R156" s="409"/>
      <c r="S156" s="409"/>
      <c r="T156" s="441"/>
      <c r="U156" s="409"/>
      <c r="V156" s="405"/>
    </row>
    <row r="157" spans="1:23" x14ac:dyDescent="0.3">
      <c r="A157" s="418"/>
      <c r="B157" s="532" t="s">
        <v>51</v>
      </c>
      <c r="C157" s="532"/>
      <c r="D157" s="532"/>
      <c r="E157" s="532"/>
      <c r="F157" s="532"/>
      <c r="G157" s="532"/>
      <c r="H157" s="532"/>
      <c r="I157" s="532"/>
      <c r="J157" s="532"/>
      <c r="K157" s="532"/>
      <c r="L157" s="532"/>
      <c r="M157" s="532"/>
      <c r="N157" s="532"/>
      <c r="O157" s="532"/>
      <c r="P157" s="532"/>
      <c r="Q157" s="532"/>
      <c r="R157" s="532"/>
      <c r="S157" s="532"/>
      <c r="T157" s="561" t="s">
        <v>127</v>
      </c>
      <c r="U157" s="451"/>
      <c r="V157" s="405"/>
    </row>
    <row r="158" spans="1:23" x14ac:dyDescent="0.3">
      <c r="A158" s="418"/>
      <c r="B158" s="532" t="s">
        <v>52</v>
      </c>
      <c r="C158" s="532"/>
      <c r="D158" s="532"/>
      <c r="E158" s="532"/>
      <c r="F158" s="532"/>
      <c r="G158" s="532"/>
      <c r="H158" s="532"/>
      <c r="I158" s="532"/>
      <c r="J158" s="532"/>
      <c r="K158" s="532"/>
      <c r="L158" s="532"/>
      <c r="M158" s="532"/>
      <c r="N158" s="532"/>
      <c r="O158" s="532"/>
      <c r="P158" s="532"/>
      <c r="Q158" s="532"/>
      <c r="R158" s="532"/>
      <c r="S158" s="532"/>
      <c r="T158" s="561" t="s">
        <v>127</v>
      </c>
      <c r="U158" s="451"/>
      <c r="V158" s="405"/>
    </row>
    <row r="159" spans="1:23" x14ac:dyDescent="0.3">
      <c r="A159" s="418"/>
      <c r="B159" s="532" t="s">
        <v>53</v>
      </c>
      <c r="C159" s="532"/>
      <c r="D159" s="532"/>
      <c r="E159" s="532"/>
      <c r="F159" s="532"/>
      <c r="G159" s="532"/>
      <c r="H159" s="532"/>
      <c r="I159" s="532"/>
      <c r="J159" s="532"/>
      <c r="K159" s="532"/>
      <c r="L159" s="532"/>
      <c r="M159" s="532"/>
      <c r="N159" s="532"/>
      <c r="O159" s="532"/>
      <c r="P159" s="532"/>
      <c r="Q159" s="532"/>
      <c r="R159" s="532"/>
      <c r="S159" s="532"/>
      <c r="T159" s="561" t="s">
        <v>127</v>
      </c>
      <c r="U159" s="451"/>
      <c r="V159" s="405"/>
    </row>
    <row r="160" spans="1:23" x14ac:dyDescent="0.3">
      <c r="A160" s="418"/>
      <c r="B160" s="532" t="s">
        <v>54</v>
      </c>
      <c r="C160" s="532"/>
      <c r="D160" s="532"/>
      <c r="E160" s="532"/>
      <c r="F160" s="532"/>
      <c r="G160" s="532"/>
      <c r="H160" s="532"/>
      <c r="I160" s="532"/>
      <c r="J160" s="532"/>
      <c r="K160" s="532"/>
      <c r="L160" s="532"/>
      <c r="M160" s="532"/>
      <c r="N160" s="532"/>
      <c r="O160" s="532"/>
      <c r="P160" s="532"/>
      <c r="Q160" s="532"/>
      <c r="R160" s="532"/>
      <c r="S160" s="532"/>
      <c r="T160" s="561" t="s">
        <v>127</v>
      </c>
      <c r="U160" s="451"/>
      <c r="V160" s="405"/>
    </row>
    <row r="161" spans="1:22" x14ac:dyDescent="0.3">
      <c r="A161" s="407"/>
      <c r="B161" s="444"/>
      <c r="C161" s="444"/>
      <c r="D161" s="444"/>
      <c r="E161" s="444"/>
      <c r="F161" s="444"/>
      <c r="G161" s="444"/>
      <c r="H161" s="444"/>
      <c r="I161" s="444"/>
      <c r="J161" s="444"/>
      <c r="K161" s="444"/>
      <c r="L161" s="444"/>
      <c r="M161" s="444"/>
      <c r="N161" s="444"/>
      <c r="O161" s="444"/>
      <c r="P161" s="444"/>
      <c r="Q161" s="444"/>
      <c r="R161" s="444"/>
      <c r="S161" s="444"/>
      <c r="T161" s="459"/>
      <c r="U161" s="444"/>
      <c r="V161" s="405"/>
    </row>
    <row r="162" spans="1:22" x14ac:dyDescent="0.3">
      <c r="A162" s="407"/>
      <c r="B162" s="523" t="s">
        <v>55</v>
      </c>
      <c r="C162" s="409"/>
      <c r="D162" s="409"/>
      <c r="E162" s="409"/>
      <c r="F162" s="409"/>
      <c r="G162" s="409"/>
      <c r="H162" s="409"/>
      <c r="I162" s="409"/>
      <c r="J162" s="409"/>
      <c r="K162" s="409"/>
      <c r="L162" s="409"/>
      <c r="M162" s="409"/>
      <c r="N162" s="409"/>
      <c r="O162" s="409"/>
      <c r="P162" s="409"/>
      <c r="Q162" s="409"/>
      <c r="R162" s="409"/>
      <c r="S162" s="409"/>
      <c r="T162" s="460"/>
      <c r="U162" s="409"/>
      <c r="V162" s="405"/>
    </row>
    <row r="163" spans="1:22" x14ac:dyDescent="0.3">
      <c r="A163" s="418"/>
      <c r="B163" s="532" t="s">
        <v>56</v>
      </c>
      <c r="C163" s="532"/>
      <c r="D163" s="532"/>
      <c r="E163" s="532"/>
      <c r="F163" s="532"/>
      <c r="G163" s="532"/>
      <c r="H163" s="532"/>
      <c r="I163" s="532"/>
      <c r="J163" s="532"/>
      <c r="K163" s="532"/>
      <c r="L163" s="532"/>
      <c r="M163" s="532"/>
      <c r="N163" s="532"/>
      <c r="O163" s="532"/>
      <c r="P163" s="532"/>
      <c r="Q163" s="532"/>
      <c r="R163" s="532"/>
      <c r="S163" s="532"/>
      <c r="T163" s="535">
        <v>0</v>
      </c>
      <c r="U163" s="451"/>
      <c r="V163" s="405"/>
    </row>
    <row r="164" spans="1:22" x14ac:dyDescent="0.3">
      <c r="A164" s="418"/>
      <c r="B164" s="532" t="s">
        <v>57</v>
      </c>
      <c r="C164" s="532"/>
      <c r="D164" s="532"/>
      <c r="E164" s="532"/>
      <c r="F164" s="532"/>
      <c r="G164" s="532"/>
      <c r="H164" s="532"/>
      <c r="I164" s="532"/>
      <c r="J164" s="532"/>
      <c r="K164" s="532"/>
      <c r="L164" s="532"/>
      <c r="M164" s="532"/>
      <c r="N164" s="532"/>
      <c r="O164" s="532"/>
      <c r="P164" s="532"/>
      <c r="Q164" s="532"/>
      <c r="R164" s="532"/>
      <c r="S164" s="532"/>
      <c r="T164" s="535">
        <f>-T113</f>
        <v>18</v>
      </c>
      <c r="U164" s="451"/>
      <c r="V164" s="405"/>
    </row>
    <row r="165" spans="1:22" x14ac:dyDescent="0.3">
      <c r="A165" s="418"/>
      <c r="B165" s="532" t="s">
        <v>58</v>
      </c>
      <c r="C165" s="532"/>
      <c r="D165" s="532"/>
      <c r="E165" s="532"/>
      <c r="F165" s="532"/>
      <c r="G165" s="532"/>
      <c r="H165" s="532"/>
      <c r="I165" s="532"/>
      <c r="J165" s="532"/>
      <c r="K165" s="532"/>
      <c r="L165" s="532"/>
      <c r="M165" s="532"/>
      <c r="N165" s="532"/>
      <c r="O165" s="532"/>
      <c r="P165" s="532"/>
      <c r="Q165" s="532"/>
      <c r="R165" s="532"/>
      <c r="S165" s="532"/>
      <c r="T165" s="535">
        <f>T164+T163</f>
        <v>18</v>
      </c>
      <c r="U165" s="451"/>
      <c r="V165" s="405"/>
    </row>
    <row r="166" spans="1:22" x14ac:dyDescent="0.3">
      <c r="A166" s="418"/>
      <c r="B166" s="568" t="s">
        <v>309</v>
      </c>
      <c r="C166" s="532"/>
      <c r="D166" s="532"/>
      <c r="E166" s="532"/>
      <c r="F166" s="532"/>
      <c r="G166" s="532"/>
      <c r="H166" s="532"/>
      <c r="I166" s="532"/>
      <c r="J166" s="532"/>
      <c r="K166" s="532"/>
      <c r="L166" s="532"/>
      <c r="M166" s="532"/>
      <c r="N166" s="532"/>
      <c r="O166" s="532"/>
      <c r="P166" s="532"/>
      <c r="Q166" s="532"/>
      <c r="R166" s="532"/>
      <c r="S166" s="532"/>
      <c r="T166" s="535">
        <f>T113</f>
        <v>-18</v>
      </c>
      <c r="U166" s="451"/>
      <c r="V166" s="405"/>
    </row>
    <row r="167" spans="1:22" x14ac:dyDescent="0.3">
      <c r="A167" s="418"/>
      <c r="B167" s="532" t="s">
        <v>59</v>
      </c>
      <c r="C167" s="532"/>
      <c r="D167" s="532"/>
      <c r="E167" s="532"/>
      <c r="F167" s="532"/>
      <c r="G167" s="532"/>
      <c r="H167" s="532"/>
      <c r="I167" s="532"/>
      <c r="J167" s="532"/>
      <c r="K167" s="532"/>
      <c r="L167" s="532"/>
      <c r="M167" s="532"/>
      <c r="N167" s="532"/>
      <c r="O167" s="532"/>
      <c r="P167" s="532"/>
      <c r="Q167" s="532"/>
      <c r="R167" s="532"/>
      <c r="S167" s="532"/>
      <c r="T167" s="535">
        <f>T165+T166</f>
        <v>0</v>
      </c>
      <c r="U167" s="451"/>
      <c r="V167" s="405"/>
    </row>
    <row r="168" spans="1:22" x14ac:dyDescent="0.3">
      <c r="A168" s="418"/>
      <c r="B168" s="532" t="s">
        <v>278</v>
      </c>
      <c r="C168" s="532"/>
      <c r="D168" s="532"/>
      <c r="E168" s="532"/>
      <c r="F168" s="532"/>
      <c r="G168" s="532"/>
      <c r="H168" s="532"/>
      <c r="I168" s="532"/>
      <c r="J168" s="532"/>
      <c r="K168" s="532"/>
      <c r="L168" s="532"/>
      <c r="M168" s="532"/>
      <c r="N168" s="532"/>
      <c r="O168" s="532"/>
      <c r="P168" s="532"/>
      <c r="Q168" s="532"/>
      <c r="R168" s="532"/>
      <c r="S168" s="532"/>
      <c r="T168" s="535">
        <v>0</v>
      </c>
      <c r="U168" s="451"/>
      <c r="V168" s="405"/>
    </row>
    <row r="169" spans="1:22" ht="16.2" thickBot="1" x14ac:dyDescent="0.35">
      <c r="A169" s="407"/>
      <c r="B169" s="431"/>
      <c r="C169" s="431"/>
      <c r="D169" s="431"/>
      <c r="E169" s="431"/>
      <c r="F169" s="431"/>
      <c r="G169" s="431"/>
      <c r="H169" s="431"/>
      <c r="I169" s="431"/>
      <c r="J169" s="431"/>
      <c r="K169" s="431"/>
      <c r="L169" s="431"/>
      <c r="M169" s="431"/>
      <c r="N169" s="431"/>
      <c r="O169" s="431"/>
      <c r="P169" s="431"/>
      <c r="Q169" s="431"/>
      <c r="R169" s="431"/>
      <c r="S169" s="431"/>
      <c r="T169" s="461"/>
      <c r="U169" s="444"/>
      <c r="V169" s="405"/>
    </row>
    <row r="170" spans="1:22" x14ac:dyDescent="0.3">
      <c r="A170" s="403"/>
      <c r="B170" s="404"/>
      <c r="C170" s="404"/>
      <c r="D170" s="404"/>
      <c r="E170" s="404"/>
      <c r="F170" s="404"/>
      <c r="G170" s="404"/>
      <c r="H170" s="404"/>
      <c r="I170" s="404"/>
      <c r="J170" s="404"/>
      <c r="K170" s="404"/>
      <c r="L170" s="404"/>
      <c r="M170" s="404"/>
      <c r="N170" s="404"/>
      <c r="O170" s="404"/>
      <c r="P170" s="404"/>
      <c r="Q170" s="404"/>
      <c r="R170" s="404"/>
      <c r="S170" s="404"/>
      <c r="T170" s="462"/>
      <c r="U170" s="404"/>
      <c r="V170" s="405"/>
    </row>
    <row r="171" spans="1:22" x14ac:dyDescent="0.3">
      <c r="A171" s="407"/>
      <c r="B171" s="523" t="s">
        <v>60</v>
      </c>
      <c r="C171" s="409"/>
      <c r="D171" s="409"/>
      <c r="E171" s="409"/>
      <c r="F171" s="409"/>
      <c r="G171" s="409"/>
      <c r="H171" s="409"/>
      <c r="I171" s="409"/>
      <c r="J171" s="409"/>
      <c r="K171" s="409"/>
      <c r="L171" s="409"/>
      <c r="M171" s="409"/>
      <c r="N171" s="409"/>
      <c r="O171" s="409"/>
      <c r="P171" s="409"/>
      <c r="Q171" s="409"/>
      <c r="R171" s="409"/>
      <c r="S171" s="409"/>
      <c r="T171" s="441"/>
      <c r="U171" s="409"/>
      <c r="V171" s="405"/>
    </row>
    <row r="172" spans="1:22" x14ac:dyDescent="0.3">
      <c r="A172" s="407"/>
      <c r="B172" s="458"/>
      <c r="C172" s="409"/>
      <c r="D172" s="409"/>
      <c r="E172" s="409"/>
      <c r="F172" s="409"/>
      <c r="G172" s="409"/>
      <c r="H172" s="409"/>
      <c r="I172" s="409"/>
      <c r="J172" s="409"/>
      <c r="K172" s="409"/>
      <c r="L172" s="409"/>
      <c r="M172" s="409"/>
      <c r="N172" s="409"/>
      <c r="O172" s="409"/>
      <c r="P172" s="409"/>
      <c r="Q172" s="409"/>
      <c r="R172" s="409"/>
      <c r="S172" s="409"/>
      <c r="T172" s="441"/>
      <c r="U172" s="409"/>
      <c r="V172" s="405"/>
    </row>
    <row r="173" spans="1:22" x14ac:dyDescent="0.3">
      <c r="A173" s="418"/>
      <c r="B173" s="532" t="s">
        <v>61</v>
      </c>
      <c r="C173" s="532"/>
      <c r="D173" s="532"/>
      <c r="E173" s="532"/>
      <c r="F173" s="532"/>
      <c r="G173" s="532"/>
      <c r="H173" s="532"/>
      <c r="I173" s="532"/>
      <c r="J173" s="532"/>
      <c r="K173" s="532"/>
      <c r="L173" s="532"/>
      <c r="M173" s="532"/>
      <c r="N173" s="532"/>
      <c r="O173" s="532"/>
      <c r="P173" s="532"/>
      <c r="Q173" s="532"/>
      <c r="R173" s="532"/>
      <c r="S173" s="532"/>
      <c r="T173" s="535">
        <f>T68</f>
        <v>216998</v>
      </c>
      <c r="U173" s="451"/>
      <c r="V173" s="405"/>
    </row>
    <row r="174" spans="1:22" x14ac:dyDescent="0.3">
      <c r="A174" s="418"/>
      <c r="B174" s="532" t="s">
        <v>62</v>
      </c>
      <c r="C174" s="532"/>
      <c r="D174" s="532"/>
      <c r="E174" s="532"/>
      <c r="F174" s="532"/>
      <c r="G174" s="532"/>
      <c r="H174" s="532"/>
      <c r="I174" s="532"/>
      <c r="J174" s="532"/>
      <c r="K174" s="532"/>
      <c r="L174" s="532"/>
      <c r="M174" s="532"/>
      <c r="N174" s="532"/>
      <c r="O174" s="532"/>
      <c r="P174" s="532"/>
      <c r="Q174" s="532"/>
      <c r="R174" s="532"/>
      <c r="S174" s="532"/>
      <c r="T174" s="535">
        <f>T81</f>
        <v>216998</v>
      </c>
      <c r="U174" s="451"/>
      <c r="V174" s="405"/>
    </row>
    <row r="175" spans="1:22" ht="16.2" thickBot="1" x14ac:dyDescent="0.35">
      <c r="A175" s="407"/>
      <c r="B175" s="444"/>
      <c r="C175" s="444"/>
      <c r="D175" s="444"/>
      <c r="E175" s="444"/>
      <c r="F175" s="444"/>
      <c r="G175" s="444"/>
      <c r="H175" s="444"/>
      <c r="I175" s="444"/>
      <c r="J175" s="444"/>
      <c r="K175" s="444"/>
      <c r="L175" s="444"/>
      <c r="M175" s="444"/>
      <c r="N175" s="444"/>
      <c r="O175" s="444"/>
      <c r="P175" s="444"/>
      <c r="Q175" s="444"/>
      <c r="R175" s="444"/>
      <c r="S175" s="444"/>
      <c r="T175" s="459"/>
      <c r="U175" s="444"/>
      <c r="V175" s="405"/>
    </row>
    <row r="176" spans="1:22" x14ac:dyDescent="0.3">
      <c r="A176" s="403"/>
      <c r="B176" s="404"/>
      <c r="C176" s="404"/>
      <c r="D176" s="404"/>
      <c r="E176" s="404"/>
      <c r="F176" s="404"/>
      <c r="G176" s="404"/>
      <c r="H176" s="404"/>
      <c r="I176" s="404"/>
      <c r="J176" s="404"/>
      <c r="K176" s="404"/>
      <c r="L176" s="404"/>
      <c r="M176" s="404"/>
      <c r="N176" s="404"/>
      <c r="O176" s="404"/>
      <c r="P176" s="404"/>
      <c r="Q176" s="404"/>
      <c r="R176" s="404"/>
      <c r="S176" s="404"/>
      <c r="T176" s="462"/>
      <c r="U176" s="404"/>
      <c r="V176" s="405"/>
    </row>
    <row r="177" spans="1:22" s="529" customFormat="1" x14ac:dyDescent="0.3">
      <c r="A177" s="524"/>
      <c r="B177" s="523" t="s">
        <v>63</v>
      </c>
      <c r="C177" s="525"/>
      <c r="D177" s="525"/>
      <c r="E177" s="525"/>
      <c r="F177" s="525"/>
      <c r="G177" s="525"/>
      <c r="H177" s="526"/>
      <c r="I177" s="526"/>
      <c r="J177" s="526"/>
      <c r="K177" s="526"/>
      <c r="L177" s="526"/>
      <c r="M177" s="526"/>
      <c r="N177" s="526"/>
      <c r="O177" s="526"/>
      <c r="P177" s="526"/>
      <c r="Q177" s="526" t="s">
        <v>107</v>
      </c>
      <c r="R177" s="526" t="s">
        <v>234</v>
      </c>
      <c r="S177" s="411"/>
      <c r="T177" s="527" t="s">
        <v>123</v>
      </c>
      <c r="U177" s="411"/>
      <c r="V177" s="528"/>
    </row>
    <row r="178" spans="1:22" x14ac:dyDescent="0.3">
      <c r="A178" s="418"/>
      <c r="B178" s="532" t="s">
        <v>64</v>
      </c>
      <c r="C178" s="532"/>
      <c r="D178" s="532"/>
      <c r="E178" s="532"/>
      <c r="F178" s="532"/>
      <c r="G178" s="532"/>
      <c r="H178" s="532"/>
      <c r="I178" s="532"/>
      <c r="J178" s="532"/>
      <c r="K178" s="532"/>
      <c r="L178" s="532"/>
      <c r="M178" s="532"/>
      <c r="N178" s="532"/>
      <c r="O178" s="532"/>
      <c r="P178" s="532"/>
      <c r="Q178" s="535">
        <v>112000</v>
      </c>
      <c r="R178" s="550"/>
      <c r="S178" s="532"/>
      <c r="T178" s="535"/>
      <c r="U178" s="420"/>
      <c r="V178" s="405"/>
    </row>
    <row r="179" spans="1:22" x14ac:dyDescent="0.3">
      <c r="A179" s="418"/>
      <c r="B179" s="532" t="s">
        <v>65</v>
      </c>
      <c r="C179" s="532"/>
      <c r="D179" s="532"/>
      <c r="E179" s="532"/>
      <c r="F179" s="532"/>
      <c r="G179" s="532"/>
      <c r="H179" s="532"/>
      <c r="I179" s="532"/>
      <c r="J179" s="532"/>
      <c r="K179" s="532"/>
      <c r="L179" s="532"/>
      <c r="M179" s="532"/>
      <c r="N179" s="532"/>
      <c r="O179" s="532"/>
      <c r="P179" s="532"/>
      <c r="Q179" s="535">
        <f>+'July 18'!Q181</f>
        <v>50391</v>
      </c>
      <c r="R179" s="535">
        <f>+'July 18'!R181</f>
        <v>2435</v>
      </c>
      <c r="S179" s="532"/>
      <c r="T179" s="535">
        <f>Q179+R179</f>
        <v>52826</v>
      </c>
      <c r="U179" s="420"/>
      <c r="V179" s="405"/>
    </row>
    <row r="180" spans="1:22" x14ac:dyDescent="0.3">
      <c r="A180" s="418"/>
      <c r="B180" s="532" t="s">
        <v>66</v>
      </c>
      <c r="C180" s="532"/>
      <c r="D180" s="532"/>
      <c r="E180" s="532"/>
      <c r="F180" s="532"/>
      <c r="G180" s="532"/>
      <c r="H180" s="532"/>
      <c r="I180" s="532"/>
      <c r="J180" s="532"/>
      <c r="K180" s="532"/>
      <c r="L180" s="532"/>
      <c r="M180" s="532"/>
      <c r="N180" s="532"/>
      <c r="O180" s="532"/>
      <c r="P180" s="532"/>
      <c r="Q180" s="531">
        <v>491</v>
      </c>
      <c r="R180" s="531">
        <v>0</v>
      </c>
      <c r="S180" s="532"/>
      <c r="T180" s="535">
        <f>Q180+R180</f>
        <v>491</v>
      </c>
      <c r="U180" s="420"/>
      <c r="V180" s="405"/>
    </row>
    <row r="181" spans="1:22" x14ac:dyDescent="0.3">
      <c r="A181" s="418"/>
      <c r="B181" s="532" t="s">
        <v>67</v>
      </c>
      <c r="C181" s="532"/>
      <c r="D181" s="532"/>
      <c r="E181" s="532"/>
      <c r="F181" s="532"/>
      <c r="G181" s="532"/>
      <c r="H181" s="532"/>
      <c r="I181" s="532"/>
      <c r="J181" s="532"/>
      <c r="K181" s="532"/>
      <c r="L181" s="532"/>
      <c r="M181" s="532"/>
      <c r="N181" s="532"/>
      <c r="O181" s="532"/>
      <c r="P181" s="532"/>
      <c r="Q181" s="535">
        <f>Q179+Q180</f>
        <v>50882</v>
      </c>
      <c r="R181" s="535">
        <f>R180+R179</f>
        <v>2435</v>
      </c>
      <c r="S181" s="532"/>
      <c r="T181" s="535">
        <f>Q181+R181</f>
        <v>53317</v>
      </c>
      <c r="U181" s="420"/>
      <c r="V181" s="405"/>
    </row>
    <row r="182" spans="1:22" x14ac:dyDescent="0.3">
      <c r="A182" s="418"/>
      <c r="B182" s="532" t="s">
        <v>68</v>
      </c>
      <c r="C182" s="532"/>
      <c r="D182" s="532"/>
      <c r="E182" s="532"/>
      <c r="F182" s="532"/>
      <c r="G182" s="532"/>
      <c r="H182" s="532"/>
      <c r="I182" s="532"/>
      <c r="J182" s="532"/>
      <c r="K182" s="532"/>
      <c r="L182" s="532"/>
      <c r="M182" s="532"/>
      <c r="N182" s="532"/>
      <c r="O182" s="532"/>
      <c r="P182" s="532"/>
      <c r="Q182" s="535">
        <f>Q178-Q181-R181</f>
        <v>58683</v>
      </c>
      <c r="R182" s="550"/>
      <c r="S182" s="532"/>
      <c r="T182" s="535"/>
      <c r="U182" s="420"/>
      <c r="V182" s="405"/>
    </row>
    <row r="183" spans="1:22" ht="16.2" thickBot="1" x14ac:dyDescent="0.35">
      <c r="A183" s="407"/>
      <c r="B183" s="444"/>
      <c r="C183" s="444"/>
      <c r="D183" s="444"/>
      <c r="E183" s="444"/>
      <c r="F183" s="444"/>
      <c r="G183" s="444"/>
      <c r="H183" s="444"/>
      <c r="I183" s="444"/>
      <c r="J183" s="444"/>
      <c r="K183" s="444"/>
      <c r="L183" s="444"/>
      <c r="M183" s="444"/>
      <c r="N183" s="444"/>
      <c r="O183" s="444"/>
      <c r="P183" s="444"/>
      <c r="Q183" s="444"/>
      <c r="R183" s="444"/>
      <c r="S183" s="444"/>
      <c r="T183" s="459"/>
      <c r="U183" s="444"/>
      <c r="V183" s="405"/>
    </row>
    <row r="184" spans="1:22" x14ac:dyDescent="0.3">
      <c r="A184" s="403"/>
      <c r="B184" s="404"/>
      <c r="C184" s="404"/>
      <c r="D184" s="404"/>
      <c r="E184" s="404"/>
      <c r="F184" s="404"/>
      <c r="G184" s="404"/>
      <c r="H184" s="404"/>
      <c r="I184" s="404"/>
      <c r="J184" s="404"/>
      <c r="K184" s="404"/>
      <c r="L184" s="404"/>
      <c r="M184" s="404"/>
      <c r="N184" s="404"/>
      <c r="O184" s="404"/>
      <c r="P184" s="404"/>
      <c r="Q184" s="404"/>
      <c r="R184" s="404"/>
      <c r="S184" s="404"/>
      <c r="T184" s="462"/>
      <c r="U184" s="404"/>
      <c r="V184" s="405"/>
    </row>
    <row r="185" spans="1:22" x14ac:dyDescent="0.3">
      <c r="A185" s="407"/>
      <c r="B185" s="523" t="s">
        <v>69</v>
      </c>
      <c r="C185" s="409"/>
      <c r="D185" s="409"/>
      <c r="E185" s="409"/>
      <c r="F185" s="409"/>
      <c r="G185" s="409"/>
      <c r="H185" s="409"/>
      <c r="I185" s="409"/>
      <c r="J185" s="409"/>
      <c r="K185" s="409"/>
      <c r="L185" s="409"/>
      <c r="M185" s="409"/>
      <c r="N185" s="409"/>
      <c r="O185" s="409"/>
      <c r="P185" s="409"/>
      <c r="Q185" s="409"/>
      <c r="R185" s="409"/>
      <c r="S185" s="409"/>
      <c r="T185" s="463"/>
      <c r="U185" s="409"/>
      <c r="V185" s="405"/>
    </row>
    <row r="186" spans="1:22" x14ac:dyDescent="0.3">
      <c r="A186" s="418"/>
      <c r="B186" s="532" t="s">
        <v>70</v>
      </c>
      <c r="C186" s="532"/>
      <c r="D186" s="532"/>
      <c r="E186" s="532"/>
      <c r="F186" s="532"/>
      <c r="G186" s="532"/>
      <c r="H186" s="532"/>
      <c r="I186" s="532"/>
      <c r="J186" s="532"/>
      <c r="K186" s="532"/>
      <c r="L186" s="532"/>
      <c r="M186" s="532"/>
      <c r="N186" s="532"/>
      <c r="O186" s="532"/>
      <c r="P186" s="532"/>
      <c r="Q186" s="532"/>
      <c r="R186" s="532"/>
      <c r="S186" s="532"/>
      <c r="T186" s="561">
        <f>(T97+T99+T100+T101+T102+T103)/-(T104+T105+T106)</f>
        <v>2.984375</v>
      </c>
      <c r="U186" s="562" t="s">
        <v>124</v>
      </c>
      <c r="V186" s="405"/>
    </row>
    <row r="187" spans="1:22" x14ac:dyDescent="0.3">
      <c r="A187" s="418"/>
      <c r="B187" s="532" t="s">
        <v>71</v>
      </c>
      <c r="C187" s="532"/>
      <c r="D187" s="532"/>
      <c r="E187" s="532"/>
      <c r="F187" s="532"/>
      <c r="G187" s="532"/>
      <c r="H187" s="532"/>
      <c r="I187" s="532"/>
      <c r="J187" s="532"/>
      <c r="K187" s="532"/>
      <c r="L187" s="532"/>
      <c r="M187" s="532"/>
      <c r="N187" s="532"/>
      <c r="O187" s="532"/>
      <c r="P187" s="532"/>
      <c r="Q187" s="532"/>
      <c r="R187" s="532"/>
      <c r="S187" s="532"/>
      <c r="T187" s="563">
        <v>1.76</v>
      </c>
      <c r="U187" s="562" t="s">
        <v>124</v>
      </c>
      <c r="V187" s="405"/>
    </row>
    <row r="188" spans="1:22" x14ac:dyDescent="0.3">
      <c r="A188" s="418"/>
      <c r="B188" s="532" t="s">
        <v>72</v>
      </c>
      <c r="C188" s="532"/>
      <c r="D188" s="532"/>
      <c r="E188" s="532"/>
      <c r="F188" s="532"/>
      <c r="G188" s="532"/>
      <c r="H188" s="532"/>
      <c r="I188" s="532"/>
      <c r="J188" s="532"/>
      <c r="K188" s="532"/>
      <c r="L188" s="532"/>
      <c r="M188" s="532"/>
      <c r="N188" s="532"/>
      <c r="O188" s="532"/>
      <c r="P188" s="532"/>
      <c r="Q188" s="532"/>
      <c r="R188" s="532"/>
      <c r="S188" s="532"/>
      <c r="T188" s="561">
        <f>(T97+T99+T100+T101+T102+T103+T104+T105+T106)/-(T107+T108)</f>
        <v>16.387096774193548</v>
      </c>
      <c r="U188" s="562" t="s">
        <v>124</v>
      </c>
      <c r="V188" s="405"/>
    </row>
    <row r="189" spans="1:22" x14ac:dyDescent="0.3">
      <c r="A189" s="418"/>
      <c r="B189" s="532" t="s">
        <v>73</v>
      </c>
      <c r="C189" s="532"/>
      <c r="D189" s="532"/>
      <c r="E189" s="532"/>
      <c r="F189" s="532"/>
      <c r="G189" s="532"/>
      <c r="H189" s="532"/>
      <c r="I189" s="532"/>
      <c r="J189" s="532"/>
      <c r="K189" s="532"/>
      <c r="L189" s="532"/>
      <c r="M189" s="532"/>
      <c r="N189" s="532"/>
      <c r="O189" s="532"/>
      <c r="P189" s="532"/>
      <c r="Q189" s="532"/>
      <c r="R189" s="532"/>
      <c r="S189" s="532"/>
      <c r="T189" s="564">
        <v>9.91</v>
      </c>
      <c r="U189" s="562" t="s">
        <v>124</v>
      </c>
      <c r="V189" s="405"/>
    </row>
    <row r="190" spans="1:22" x14ac:dyDescent="0.3">
      <c r="A190" s="418"/>
      <c r="B190" s="532" t="s">
        <v>243</v>
      </c>
      <c r="C190" s="532"/>
      <c r="D190" s="532"/>
      <c r="E190" s="532"/>
      <c r="F190" s="532"/>
      <c r="G190" s="532"/>
      <c r="H190" s="532"/>
      <c r="I190" s="532"/>
      <c r="J190" s="532"/>
      <c r="K190" s="532"/>
      <c r="L190" s="532"/>
      <c r="M190" s="532"/>
      <c r="N190" s="532"/>
      <c r="O190" s="532"/>
      <c r="P190" s="532"/>
      <c r="Q190" s="532"/>
      <c r="R190" s="532"/>
      <c r="S190" s="532"/>
      <c r="T190" s="561">
        <f>(T97+T99+T100+T101+T102+T103+T104+T105+T106+T107+T108)/-(T109+T110)</f>
        <v>6.4459459459459456</v>
      </c>
      <c r="U190" s="562" t="s">
        <v>124</v>
      </c>
      <c r="V190" s="405"/>
    </row>
    <row r="191" spans="1:22" x14ac:dyDescent="0.3">
      <c r="A191" s="418"/>
      <c r="B191" s="532" t="s">
        <v>244</v>
      </c>
      <c r="C191" s="532"/>
      <c r="D191" s="532"/>
      <c r="E191" s="532"/>
      <c r="F191" s="532"/>
      <c r="G191" s="532"/>
      <c r="H191" s="532"/>
      <c r="I191" s="532"/>
      <c r="J191" s="532"/>
      <c r="K191" s="532"/>
      <c r="L191" s="532"/>
      <c r="M191" s="532"/>
      <c r="N191" s="532"/>
      <c r="O191" s="532"/>
      <c r="P191" s="532"/>
      <c r="Q191" s="532"/>
      <c r="R191" s="532"/>
      <c r="S191" s="532"/>
      <c r="T191" s="564">
        <v>4.37</v>
      </c>
      <c r="U191" s="562" t="s">
        <v>124</v>
      </c>
      <c r="V191" s="405"/>
    </row>
    <row r="192" spans="1:22" x14ac:dyDescent="0.3">
      <c r="A192" s="418"/>
      <c r="B192" s="532"/>
      <c r="C192" s="532"/>
      <c r="D192" s="532"/>
      <c r="E192" s="532"/>
      <c r="F192" s="532"/>
      <c r="G192" s="532"/>
      <c r="H192" s="532"/>
      <c r="I192" s="532"/>
      <c r="J192" s="532"/>
      <c r="K192" s="532"/>
      <c r="L192" s="532"/>
      <c r="M192" s="532"/>
      <c r="N192" s="532"/>
      <c r="O192" s="532"/>
      <c r="P192" s="532"/>
      <c r="Q192" s="532"/>
      <c r="R192" s="532"/>
      <c r="S192" s="532"/>
      <c r="T192" s="532"/>
      <c r="U192" s="562"/>
      <c r="V192" s="405"/>
    </row>
    <row r="193" spans="1:22" x14ac:dyDescent="0.3">
      <c r="A193" s="407"/>
      <c r="B193" s="539"/>
      <c r="C193" s="539"/>
      <c r="D193" s="539"/>
      <c r="E193" s="539"/>
      <c r="F193" s="539"/>
      <c r="G193" s="539"/>
      <c r="H193" s="539"/>
      <c r="I193" s="539"/>
      <c r="J193" s="539"/>
      <c r="K193" s="539"/>
      <c r="L193" s="539"/>
      <c r="M193" s="539"/>
      <c r="N193" s="539"/>
      <c r="O193" s="539"/>
      <c r="P193" s="539"/>
      <c r="Q193" s="539"/>
      <c r="R193" s="539"/>
      <c r="S193" s="539"/>
      <c r="T193" s="539"/>
      <c r="U193" s="539"/>
      <c r="V193" s="405"/>
    </row>
    <row r="194" spans="1:22" x14ac:dyDescent="0.3">
      <c r="A194" s="407"/>
      <c r="B194" s="542"/>
      <c r="C194" s="542"/>
      <c r="D194" s="542"/>
      <c r="E194" s="542"/>
      <c r="F194" s="542"/>
      <c r="G194" s="542"/>
      <c r="H194" s="542"/>
      <c r="I194" s="542"/>
      <c r="J194" s="542"/>
      <c r="K194" s="542"/>
      <c r="L194" s="542"/>
      <c r="M194" s="542"/>
      <c r="N194" s="542"/>
      <c r="O194" s="542"/>
      <c r="P194" s="542"/>
      <c r="Q194" s="542"/>
      <c r="R194" s="542"/>
      <c r="S194" s="542"/>
      <c r="T194" s="542"/>
      <c r="U194" s="542"/>
      <c r="V194" s="405"/>
    </row>
    <row r="195" spans="1:22" ht="18.600000000000001" thickBot="1" x14ac:dyDescent="0.4">
      <c r="A195" s="464"/>
      <c r="B195" s="565" t="str">
        <f>B134</f>
        <v>PM9 INVESTOR REPORT QUARTER ENDING OCTOBER 2018</v>
      </c>
      <c r="C195" s="566"/>
      <c r="D195" s="566"/>
      <c r="E195" s="566"/>
      <c r="F195" s="566"/>
      <c r="G195" s="566"/>
      <c r="H195" s="566"/>
      <c r="I195" s="566"/>
      <c r="J195" s="566"/>
      <c r="K195" s="566"/>
      <c r="L195" s="566"/>
      <c r="M195" s="566"/>
      <c r="N195" s="566"/>
      <c r="O195" s="566"/>
      <c r="P195" s="566"/>
      <c r="Q195" s="566"/>
      <c r="R195" s="566"/>
      <c r="S195" s="566"/>
      <c r="T195" s="566"/>
      <c r="U195" s="567"/>
      <c r="V195" s="405"/>
    </row>
    <row r="196" spans="1:22" x14ac:dyDescent="0.3">
      <c r="A196" s="507"/>
      <c r="B196" s="508" t="s">
        <v>74</v>
      </c>
      <c r="C196" s="511"/>
      <c r="D196" s="511"/>
      <c r="E196" s="511"/>
      <c r="F196" s="511"/>
      <c r="G196" s="512"/>
      <c r="H196" s="512"/>
      <c r="I196" s="512"/>
      <c r="J196" s="512"/>
      <c r="K196" s="512"/>
      <c r="L196" s="512"/>
      <c r="M196" s="512"/>
      <c r="N196" s="512"/>
      <c r="O196" s="512"/>
      <c r="P196" s="512"/>
      <c r="Q196" s="512"/>
      <c r="R196" s="512">
        <v>43404</v>
      </c>
      <c r="S196" s="509"/>
      <c r="T196" s="509"/>
      <c r="U196" s="509"/>
      <c r="V196" s="405"/>
    </row>
    <row r="197" spans="1:22" x14ac:dyDescent="0.3">
      <c r="A197" s="465"/>
      <c r="B197" s="466"/>
      <c r="C197" s="467"/>
      <c r="D197" s="467"/>
      <c r="E197" s="467"/>
      <c r="F197" s="467"/>
      <c r="G197" s="468"/>
      <c r="H197" s="468"/>
      <c r="I197" s="468"/>
      <c r="J197" s="468"/>
      <c r="K197" s="468"/>
      <c r="L197" s="468"/>
      <c r="M197" s="468"/>
      <c r="N197" s="468"/>
      <c r="O197" s="468"/>
      <c r="P197" s="468"/>
      <c r="Q197" s="468"/>
      <c r="R197" s="468"/>
      <c r="S197" s="409"/>
      <c r="T197" s="409"/>
      <c r="U197" s="409"/>
      <c r="V197" s="405"/>
    </row>
    <row r="198" spans="1:22" x14ac:dyDescent="0.3">
      <c r="A198" s="469"/>
      <c r="B198" s="532" t="s">
        <v>75</v>
      </c>
      <c r="C198" s="556"/>
      <c r="D198" s="556"/>
      <c r="E198" s="556"/>
      <c r="F198" s="556"/>
      <c r="G198" s="557"/>
      <c r="H198" s="557"/>
      <c r="I198" s="557"/>
      <c r="J198" s="557"/>
      <c r="K198" s="557"/>
      <c r="L198" s="557"/>
      <c r="M198" s="557"/>
      <c r="N198" s="557"/>
      <c r="O198" s="557"/>
      <c r="P198" s="557"/>
      <c r="Q198" s="557"/>
      <c r="R198" s="558">
        <v>5.8209999999999998E-2</v>
      </c>
      <c r="S198" s="532"/>
      <c r="T198" s="419"/>
      <c r="U198" s="451"/>
      <c r="V198" s="405"/>
    </row>
    <row r="199" spans="1:22" x14ac:dyDescent="0.3">
      <c r="A199" s="469"/>
      <c r="B199" s="532" t="s">
        <v>164</v>
      </c>
      <c r="C199" s="556"/>
      <c r="D199" s="556"/>
      <c r="E199" s="556"/>
      <c r="F199" s="556"/>
      <c r="G199" s="557"/>
      <c r="H199" s="557"/>
      <c r="I199" s="557"/>
      <c r="J199" s="557"/>
      <c r="K199" s="557"/>
      <c r="L199" s="557"/>
      <c r="M199" s="557"/>
      <c r="N199" s="557"/>
      <c r="O199" s="557"/>
      <c r="P199" s="557"/>
      <c r="Q199" s="557"/>
      <c r="R199" s="558">
        <f>'Oct 05'!R193</f>
        <v>4.8438496428571419E-2</v>
      </c>
      <c r="S199" s="532"/>
      <c r="T199" s="419"/>
      <c r="U199" s="451"/>
      <c r="V199" s="405"/>
    </row>
    <row r="200" spans="1:22" x14ac:dyDescent="0.3">
      <c r="A200" s="469"/>
      <c r="B200" s="532" t="s">
        <v>76</v>
      </c>
      <c r="C200" s="556"/>
      <c r="D200" s="556"/>
      <c r="E200" s="556"/>
      <c r="F200" s="556"/>
      <c r="G200" s="557"/>
      <c r="H200" s="557"/>
      <c r="I200" s="557"/>
      <c r="J200" s="557"/>
      <c r="K200" s="557"/>
      <c r="L200" s="557"/>
      <c r="M200" s="557"/>
      <c r="N200" s="557"/>
      <c r="O200" s="557"/>
      <c r="P200" s="557"/>
      <c r="Q200" s="557"/>
      <c r="R200" s="558">
        <f>R198-R199</f>
        <v>9.7715035714285789E-3</v>
      </c>
      <c r="S200" s="532"/>
      <c r="T200" s="419"/>
      <c r="U200" s="451"/>
      <c r="V200" s="405"/>
    </row>
    <row r="201" spans="1:22" x14ac:dyDescent="0.3">
      <c r="A201" s="469"/>
      <c r="B201" s="532" t="s">
        <v>77</v>
      </c>
      <c r="C201" s="556"/>
      <c r="D201" s="556"/>
      <c r="E201" s="556"/>
      <c r="F201" s="556"/>
      <c r="G201" s="557"/>
      <c r="H201" s="557"/>
      <c r="I201" s="557"/>
      <c r="J201" s="557"/>
      <c r="K201" s="557"/>
      <c r="L201" s="557"/>
      <c r="M201" s="557"/>
      <c r="N201" s="557"/>
      <c r="O201" s="557"/>
      <c r="P201" s="557"/>
      <c r="Q201" s="557"/>
      <c r="R201" s="558">
        <v>2.6239999999999999E-2</v>
      </c>
      <c r="S201" s="532"/>
      <c r="T201" s="419"/>
      <c r="U201" s="451"/>
      <c r="V201" s="405"/>
    </row>
    <row r="202" spans="1:22" x14ac:dyDescent="0.3">
      <c r="A202" s="469"/>
      <c r="B202" s="532" t="s">
        <v>257</v>
      </c>
      <c r="C202" s="556"/>
      <c r="D202" s="556"/>
      <c r="E202" s="556"/>
      <c r="F202" s="556"/>
      <c r="G202" s="557"/>
      <c r="H202" s="557"/>
      <c r="I202" s="557"/>
      <c r="J202" s="557"/>
      <c r="K202" s="557"/>
      <c r="L202" s="557"/>
      <c r="M202" s="557"/>
      <c r="N202" s="557"/>
      <c r="O202" s="557"/>
      <c r="P202" s="557"/>
      <c r="Q202" s="557"/>
      <c r="R202" s="558">
        <f>+T41</f>
        <v>1.2956589785570653E-2</v>
      </c>
      <c r="S202" s="532"/>
      <c r="T202" s="419"/>
      <c r="U202" s="451"/>
      <c r="V202" s="405"/>
    </row>
    <row r="203" spans="1:22" x14ac:dyDescent="0.3">
      <c r="A203" s="469"/>
      <c r="B203" s="532" t="s">
        <v>78</v>
      </c>
      <c r="C203" s="556"/>
      <c r="D203" s="556"/>
      <c r="E203" s="556"/>
      <c r="F203" s="556"/>
      <c r="G203" s="557"/>
      <c r="H203" s="557"/>
      <c r="I203" s="557"/>
      <c r="J203" s="557"/>
      <c r="K203" s="557"/>
      <c r="L203" s="557"/>
      <c r="M203" s="557"/>
      <c r="N203" s="557"/>
      <c r="O203" s="557"/>
      <c r="P203" s="557"/>
      <c r="Q203" s="557"/>
      <c r="R203" s="558">
        <f>R201-R202</f>
        <v>1.3283410214429347E-2</v>
      </c>
      <c r="S203" s="532"/>
      <c r="T203" s="419"/>
      <c r="U203" s="451"/>
      <c r="V203" s="405"/>
    </row>
    <row r="204" spans="1:22" x14ac:dyDescent="0.3">
      <c r="A204" s="469"/>
      <c r="B204" s="532" t="s">
        <v>268</v>
      </c>
      <c r="C204" s="556"/>
      <c r="D204" s="556"/>
      <c r="E204" s="556"/>
      <c r="F204" s="556"/>
      <c r="G204" s="557"/>
      <c r="H204" s="557"/>
      <c r="I204" s="557"/>
      <c r="J204" s="557"/>
      <c r="K204" s="557"/>
      <c r="L204" s="557"/>
      <c r="M204" s="557"/>
      <c r="N204" s="557"/>
      <c r="O204" s="557"/>
      <c r="P204" s="557"/>
      <c r="Q204" s="557"/>
      <c r="R204" s="558">
        <f>+T97/L68</f>
        <v>7.4333642303257745E-3</v>
      </c>
      <c r="S204" s="532"/>
      <c r="T204" s="419"/>
      <c r="U204" s="451"/>
      <c r="V204" s="405"/>
    </row>
    <row r="205" spans="1:22" x14ac:dyDescent="0.3">
      <c r="A205" s="469"/>
      <c r="B205" s="532" t="s">
        <v>249</v>
      </c>
      <c r="C205" s="556"/>
      <c r="D205" s="556"/>
      <c r="E205" s="556"/>
      <c r="F205" s="556"/>
      <c r="G205" s="557"/>
      <c r="H205" s="557"/>
      <c r="I205" s="557"/>
      <c r="J205" s="557"/>
      <c r="K205" s="557"/>
      <c r="L205" s="557"/>
      <c r="M205" s="557"/>
      <c r="N205" s="557"/>
      <c r="O205" s="557"/>
      <c r="P205" s="557"/>
      <c r="Q205" s="557"/>
      <c r="R205" s="559">
        <v>51622</v>
      </c>
      <c r="S205" s="532"/>
      <c r="T205" s="419"/>
      <c r="U205" s="451"/>
      <c r="V205" s="405"/>
    </row>
    <row r="206" spans="1:22" x14ac:dyDescent="0.3">
      <c r="A206" s="469"/>
      <c r="B206" s="532" t="s">
        <v>250</v>
      </c>
      <c r="C206" s="556"/>
      <c r="D206" s="556"/>
      <c r="E206" s="556"/>
      <c r="F206" s="556"/>
      <c r="G206" s="557"/>
      <c r="H206" s="557"/>
      <c r="I206" s="557"/>
      <c r="J206" s="557"/>
      <c r="K206" s="557"/>
      <c r="L206" s="557"/>
      <c r="M206" s="557"/>
      <c r="N206" s="557"/>
      <c r="O206" s="557"/>
      <c r="P206" s="557"/>
      <c r="Q206" s="557"/>
      <c r="R206" s="559">
        <v>51622</v>
      </c>
      <c r="S206" s="532"/>
      <c r="T206" s="419"/>
      <c r="U206" s="451"/>
      <c r="V206" s="405"/>
    </row>
    <row r="207" spans="1:22" x14ac:dyDescent="0.3">
      <c r="A207" s="469"/>
      <c r="B207" s="532" t="s">
        <v>251</v>
      </c>
      <c r="C207" s="556"/>
      <c r="D207" s="556"/>
      <c r="E207" s="556"/>
      <c r="F207" s="556"/>
      <c r="G207" s="557"/>
      <c r="H207" s="557"/>
      <c r="I207" s="557"/>
      <c r="J207" s="557"/>
      <c r="K207" s="557"/>
      <c r="L207" s="557"/>
      <c r="M207" s="557"/>
      <c r="N207" s="557"/>
      <c r="O207" s="557"/>
      <c r="P207" s="557"/>
      <c r="Q207" s="557"/>
      <c r="R207" s="559">
        <v>51622</v>
      </c>
      <c r="S207" s="532"/>
      <c r="T207" s="419"/>
      <c r="U207" s="451"/>
      <c r="V207" s="405"/>
    </row>
    <row r="208" spans="1:22" x14ac:dyDescent="0.3">
      <c r="A208" s="469"/>
      <c r="B208" s="532" t="s">
        <v>79</v>
      </c>
      <c r="C208" s="556"/>
      <c r="D208" s="556"/>
      <c r="E208" s="556"/>
      <c r="F208" s="556"/>
      <c r="G208" s="557"/>
      <c r="H208" s="557"/>
      <c r="I208" s="557"/>
      <c r="J208" s="557"/>
      <c r="K208" s="557"/>
      <c r="L208" s="557"/>
      <c r="M208" s="557"/>
      <c r="N208" s="557"/>
      <c r="O208" s="557"/>
      <c r="P208" s="557"/>
      <c r="Q208" s="557"/>
      <c r="R208" s="560">
        <v>20.95</v>
      </c>
      <c r="S208" s="532" t="s">
        <v>119</v>
      </c>
      <c r="T208" s="419"/>
      <c r="U208" s="451"/>
      <c r="V208" s="405"/>
    </row>
    <row r="209" spans="1:22" x14ac:dyDescent="0.3">
      <c r="A209" s="469"/>
      <c r="B209" s="532" t="s">
        <v>80</v>
      </c>
      <c r="C209" s="556"/>
      <c r="D209" s="556"/>
      <c r="E209" s="556"/>
      <c r="F209" s="556"/>
      <c r="G209" s="557"/>
      <c r="H209" s="557"/>
      <c r="I209" s="557"/>
      <c r="J209" s="557"/>
      <c r="K209" s="557"/>
      <c r="L209" s="557"/>
      <c r="M209" s="557"/>
      <c r="N209" s="557"/>
      <c r="O209" s="557"/>
      <c r="P209" s="557"/>
      <c r="Q209" s="557"/>
      <c r="R209" s="560">
        <v>9.23</v>
      </c>
      <c r="S209" s="532" t="s">
        <v>119</v>
      </c>
      <c r="T209" s="419"/>
      <c r="U209" s="451"/>
      <c r="V209" s="405"/>
    </row>
    <row r="210" spans="1:22" x14ac:dyDescent="0.3">
      <c r="A210" s="469"/>
      <c r="B210" s="532" t="s">
        <v>81</v>
      </c>
      <c r="C210" s="556"/>
      <c r="D210" s="556"/>
      <c r="E210" s="556"/>
      <c r="F210" s="556"/>
      <c r="G210" s="557"/>
      <c r="H210" s="557"/>
      <c r="I210" s="557"/>
      <c r="J210" s="557"/>
      <c r="K210" s="557"/>
      <c r="L210" s="557"/>
      <c r="M210" s="557"/>
      <c r="N210" s="557"/>
      <c r="O210" s="557"/>
      <c r="P210" s="557"/>
      <c r="Q210" s="557"/>
      <c r="R210" s="558">
        <f>N65/L65</f>
        <v>2.1061198652589694E-2</v>
      </c>
      <c r="S210" s="532"/>
      <c r="T210" s="419"/>
      <c r="U210" s="451"/>
      <c r="V210" s="405"/>
    </row>
    <row r="211" spans="1:22" x14ac:dyDescent="0.3">
      <c r="A211" s="469"/>
      <c r="B211" s="532" t="s">
        <v>82</v>
      </c>
      <c r="C211" s="556"/>
      <c r="D211" s="556"/>
      <c r="E211" s="556"/>
      <c r="F211" s="556"/>
      <c r="G211" s="557"/>
      <c r="H211" s="557"/>
      <c r="I211" s="557"/>
      <c r="J211" s="557"/>
      <c r="K211" s="557"/>
      <c r="L211" s="557"/>
      <c r="M211" s="557"/>
      <c r="N211" s="557"/>
      <c r="O211" s="557"/>
      <c r="P211" s="557"/>
      <c r="Q211" s="557"/>
      <c r="R211" s="558">
        <v>9.1999999999999998E-2</v>
      </c>
      <c r="S211" s="532"/>
      <c r="T211" s="419"/>
      <c r="U211" s="451"/>
      <c r="V211" s="405"/>
    </row>
    <row r="212" spans="1:22" x14ac:dyDescent="0.3">
      <c r="A212" s="465"/>
      <c r="B212" s="431"/>
      <c r="C212" s="431"/>
      <c r="D212" s="431"/>
      <c r="E212" s="431"/>
      <c r="F212" s="431"/>
      <c r="G212" s="431"/>
      <c r="H212" s="431"/>
      <c r="I212" s="431"/>
      <c r="J212" s="431"/>
      <c r="K212" s="431"/>
      <c r="L212" s="431"/>
      <c r="M212" s="431"/>
      <c r="N212" s="431"/>
      <c r="O212" s="431"/>
      <c r="P212" s="431"/>
      <c r="Q212" s="431"/>
      <c r="R212" s="461"/>
      <c r="S212" s="431"/>
      <c r="T212" s="470"/>
      <c r="U212" s="444"/>
      <c r="V212" s="405"/>
    </row>
    <row r="213" spans="1:22" x14ac:dyDescent="0.3">
      <c r="A213" s="513"/>
      <c r="B213" s="612" t="s">
        <v>83</v>
      </c>
      <c r="C213" s="613"/>
      <c r="D213" s="613"/>
      <c r="E213" s="613"/>
      <c r="F213" s="620"/>
      <c r="G213" s="613"/>
      <c r="H213" s="613"/>
      <c r="I213" s="613"/>
      <c r="J213" s="613"/>
      <c r="K213" s="613"/>
      <c r="L213" s="613"/>
      <c r="M213" s="613"/>
      <c r="N213" s="613"/>
      <c r="O213" s="613"/>
      <c r="P213" s="613"/>
      <c r="Q213" s="613" t="s">
        <v>108</v>
      </c>
      <c r="R213" s="620" t="s">
        <v>115</v>
      </c>
      <c r="S213" s="608"/>
      <c r="T213" s="608"/>
      <c r="U213" s="611"/>
      <c r="V213" s="405"/>
    </row>
    <row r="214" spans="1:22" x14ac:dyDescent="0.3">
      <c r="A214" s="487"/>
      <c r="B214" s="539" t="s">
        <v>84</v>
      </c>
      <c r="C214" s="455"/>
      <c r="D214" s="455"/>
      <c r="E214" s="455"/>
      <c r="F214" s="431"/>
      <c r="G214" s="431"/>
      <c r="H214" s="616"/>
      <c r="I214" s="616"/>
      <c r="J214" s="616"/>
      <c r="K214" s="616"/>
      <c r="L214" s="616"/>
      <c r="M214" s="616"/>
      <c r="N214" s="616"/>
      <c r="O214" s="616"/>
      <c r="P214" s="616"/>
      <c r="Q214" s="617">
        <v>0</v>
      </c>
      <c r="R214" s="618">
        <v>0</v>
      </c>
      <c r="S214" s="431"/>
      <c r="T214" s="470"/>
      <c r="U214" s="619"/>
      <c r="V214" s="405"/>
    </row>
    <row r="215" spans="1:22" x14ac:dyDescent="0.3">
      <c r="A215" s="471"/>
      <c r="B215" s="532" t="s">
        <v>156</v>
      </c>
      <c r="C215" s="443"/>
      <c r="D215" s="443"/>
      <c r="E215" s="443"/>
      <c r="F215" s="419"/>
      <c r="G215" s="419"/>
      <c r="H215" s="422"/>
      <c r="I215" s="422"/>
      <c r="J215" s="422"/>
      <c r="K215" s="422"/>
      <c r="L215" s="422"/>
      <c r="M215" s="422"/>
      <c r="N215" s="422"/>
      <c r="O215" s="422"/>
      <c r="P215" s="422"/>
      <c r="Q215" s="555">
        <f>+P266</f>
        <v>25</v>
      </c>
      <c r="R215" s="553">
        <f>+R266</f>
        <v>3386</v>
      </c>
      <c r="S215" s="419"/>
      <c r="T215" s="472"/>
      <c r="U215" s="473"/>
      <c r="V215" s="405"/>
    </row>
    <row r="216" spans="1:22" x14ac:dyDescent="0.3">
      <c r="A216" s="471"/>
      <c r="B216" s="532" t="s">
        <v>85</v>
      </c>
      <c r="C216" s="443"/>
      <c r="D216" s="443"/>
      <c r="E216" s="443"/>
      <c r="F216" s="419"/>
      <c r="G216" s="419"/>
      <c r="H216" s="422"/>
      <c r="I216" s="422"/>
      <c r="J216" s="422"/>
      <c r="K216" s="422"/>
      <c r="L216" s="422"/>
      <c r="M216" s="422"/>
      <c r="N216" s="422"/>
      <c r="O216" s="422"/>
      <c r="P216" s="422"/>
      <c r="Q216" s="555">
        <f>+P278</f>
        <v>0</v>
      </c>
      <c r="R216" s="553">
        <f>+R278</f>
        <v>0</v>
      </c>
      <c r="S216" s="419"/>
      <c r="T216" s="472"/>
      <c r="U216" s="473"/>
      <c r="V216" s="405"/>
    </row>
    <row r="217" spans="1:22" x14ac:dyDescent="0.3">
      <c r="A217" s="471"/>
      <c r="B217" s="514" t="s">
        <v>86</v>
      </c>
      <c r="C217" s="474"/>
      <c r="D217" s="474"/>
      <c r="E217" s="474"/>
      <c r="F217" s="448"/>
      <c r="G217" s="448"/>
      <c r="H217" s="448"/>
      <c r="I217" s="448"/>
      <c r="J217" s="448"/>
      <c r="K217" s="448"/>
      <c r="L217" s="448"/>
      <c r="M217" s="448"/>
      <c r="N217" s="448"/>
      <c r="O217" s="448"/>
      <c r="P217" s="448"/>
      <c r="Q217" s="532"/>
      <c r="R217" s="553">
        <v>0</v>
      </c>
      <c r="S217" s="448"/>
      <c r="T217" s="475"/>
      <c r="U217" s="473"/>
      <c r="V217" s="405"/>
    </row>
    <row r="218" spans="1:22" x14ac:dyDescent="0.3">
      <c r="A218" s="471"/>
      <c r="B218" s="514" t="s">
        <v>87</v>
      </c>
      <c r="C218" s="474"/>
      <c r="D218" s="474"/>
      <c r="E218" s="474"/>
      <c r="F218" s="448"/>
      <c r="G218" s="448"/>
      <c r="H218" s="448"/>
      <c r="I218" s="448"/>
      <c r="J218" s="448"/>
      <c r="K218" s="448"/>
      <c r="L218" s="448"/>
      <c r="M218" s="448"/>
      <c r="N218" s="448"/>
      <c r="O218" s="448"/>
      <c r="P218" s="448"/>
      <c r="Q218" s="532"/>
      <c r="R218" s="554" t="s">
        <v>116</v>
      </c>
      <c r="S218" s="448"/>
      <c r="T218" s="475"/>
      <c r="U218" s="473"/>
      <c r="V218" s="405"/>
    </row>
    <row r="219" spans="1:22" x14ac:dyDescent="0.3">
      <c r="A219" s="476"/>
      <c r="B219" s="514" t="s">
        <v>88</v>
      </c>
      <c r="C219" s="477"/>
      <c r="D219" s="477"/>
      <c r="E219" s="477"/>
      <c r="F219" s="477"/>
      <c r="G219" s="448"/>
      <c r="H219" s="448"/>
      <c r="I219" s="448"/>
      <c r="J219" s="448"/>
      <c r="K219" s="448"/>
      <c r="L219" s="448"/>
      <c r="M219" s="448"/>
      <c r="N219" s="448"/>
      <c r="O219" s="448"/>
      <c r="P219" s="448"/>
      <c r="Q219" s="448"/>
      <c r="R219" s="478"/>
      <c r="S219" s="448"/>
      <c r="T219" s="475"/>
      <c r="U219" s="479"/>
      <c r="V219" s="405"/>
    </row>
    <row r="220" spans="1:22" x14ac:dyDescent="0.3">
      <c r="A220" s="476"/>
      <c r="B220" s="532" t="s">
        <v>89</v>
      </c>
      <c r="C220" s="532"/>
      <c r="D220" s="532"/>
      <c r="E220" s="532"/>
      <c r="F220" s="532"/>
      <c r="G220" s="532"/>
      <c r="H220" s="532"/>
      <c r="I220" s="532"/>
      <c r="J220" s="532"/>
      <c r="K220" s="532"/>
      <c r="L220" s="532"/>
      <c r="M220" s="532"/>
      <c r="N220" s="532"/>
      <c r="O220" s="532"/>
      <c r="P220" s="532"/>
      <c r="Q220" s="552"/>
      <c r="R220" s="553">
        <f>T164</f>
        <v>18</v>
      </c>
      <c r="S220" s="419"/>
      <c r="T220" s="475"/>
      <c r="U220" s="479"/>
      <c r="V220" s="405"/>
    </row>
    <row r="221" spans="1:22" x14ac:dyDescent="0.3">
      <c r="A221" s="471"/>
      <c r="B221" s="532" t="s">
        <v>90</v>
      </c>
      <c r="C221" s="531"/>
      <c r="D221" s="531"/>
      <c r="E221" s="531"/>
      <c r="F221" s="531"/>
      <c r="G221" s="532"/>
      <c r="H221" s="532"/>
      <c r="I221" s="532"/>
      <c r="J221" s="532"/>
      <c r="K221" s="532"/>
      <c r="L221" s="532"/>
      <c r="M221" s="532"/>
      <c r="N221" s="532"/>
      <c r="O221" s="532"/>
      <c r="P221" s="532"/>
      <c r="Q221" s="552"/>
      <c r="R221" s="553">
        <f>'July 18'!R221+'Oct 18'!R220</f>
        <v>4411</v>
      </c>
      <c r="S221" s="419"/>
      <c r="T221" s="475"/>
      <c r="U221" s="479"/>
      <c r="V221" s="405"/>
    </row>
    <row r="222" spans="1:22" x14ac:dyDescent="0.3">
      <c r="A222" s="476"/>
      <c r="B222" s="514" t="s">
        <v>288</v>
      </c>
      <c r="C222" s="477"/>
      <c r="D222" s="477"/>
      <c r="E222" s="477"/>
      <c r="F222" s="477"/>
      <c r="G222" s="448"/>
      <c r="H222" s="448"/>
      <c r="I222" s="448"/>
      <c r="J222" s="448"/>
      <c r="K222" s="448"/>
      <c r="L222" s="448"/>
      <c r="M222" s="448"/>
      <c r="N222" s="448"/>
      <c r="O222" s="448"/>
      <c r="P222" s="448"/>
      <c r="Q222" s="480"/>
      <c r="R222" s="478"/>
      <c r="S222" s="448"/>
      <c r="T222" s="475"/>
      <c r="U222" s="479"/>
      <c r="V222" s="405"/>
    </row>
    <row r="223" spans="1:22" x14ac:dyDescent="0.3">
      <c r="A223" s="481"/>
      <c r="B223" s="532" t="s">
        <v>286</v>
      </c>
      <c r="C223" s="532"/>
      <c r="D223" s="532"/>
      <c r="E223" s="532"/>
      <c r="F223" s="532"/>
      <c r="G223" s="532"/>
      <c r="H223" s="532"/>
      <c r="I223" s="532"/>
      <c r="J223" s="532"/>
      <c r="K223" s="532"/>
      <c r="L223" s="532"/>
      <c r="M223" s="532"/>
      <c r="N223" s="532"/>
      <c r="O223" s="532"/>
      <c r="P223" s="532"/>
      <c r="Q223" s="552">
        <v>0</v>
      </c>
      <c r="R223" s="553">
        <v>0</v>
      </c>
      <c r="S223" s="419"/>
      <c r="T223" s="472"/>
      <c r="U223" s="479"/>
      <c r="V223" s="405"/>
    </row>
    <row r="224" spans="1:22" x14ac:dyDescent="0.3">
      <c r="A224" s="482"/>
      <c r="B224" s="532" t="s">
        <v>92</v>
      </c>
      <c r="C224" s="550"/>
      <c r="D224" s="550"/>
      <c r="E224" s="550"/>
      <c r="F224" s="551"/>
      <c r="G224" s="532"/>
      <c r="H224" s="532"/>
      <c r="I224" s="532"/>
      <c r="J224" s="532"/>
      <c r="K224" s="532"/>
      <c r="L224" s="532"/>
      <c r="M224" s="532"/>
      <c r="N224" s="532"/>
      <c r="O224" s="532"/>
      <c r="P224" s="532"/>
      <c r="Q224" s="552"/>
      <c r="R224" s="554">
        <v>0</v>
      </c>
      <c r="S224" s="419"/>
      <c r="T224" s="472"/>
      <c r="U224" s="479"/>
      <c r="V224" s="405"/>
    </row>
    <row r="225" spans="1:23" x14ac:dyDescent="0.3">
      <c r="A225" s="482"/>
      <c r="B225" s="532" t="s">
        <v>93</v>
      </c>
      <c r="C225" s="550"/>
      <c r="D225" s="550"/>
      <c r="E225" s="550"/>
      <c r="F225" s="551"/>
      <c r="G225" s="532"/>
      <c r="H225" s="532"/>
      <c r="I225" s="532"/>
      <c r="J225" s="532"/>
      <c r="K225" s="532"/>
      <c r="L225" s="532"/>
      <c r="M225" s="532"/>
      <c r="N225" s="532"/>
      <c r="O225" s="532"/>
      <c r="P225" s="532"/>
      <c r="Q225" s="552"/>
      <c r="R225" s="554">
        <v>0</v>
      </c>
      <c r="S225" s="419"/>
      <c r="T225" s="472"/>
      <c r="U225" s="479"/>
      <c r="V225" s="405"/>
    </row>
    <row r="226" spans="1:23" x14ac:dyDescent="0.3">
      <c r="A226" s="471"/>
      <c r="B226" s="514" t="s">
        <v>258</v>
      </c>
      <c r="C226" s="483"/>
      <c r="D226" s="483"/>
      <c r="E226" s="483"/>
      <c r="F226" s="484"/>
      <c r="G226" s="448"/>
      <c r="H226" s="448"/>
      <c r="I226" s="448"/>
      <c r="J226" s="448"/>
      <c r="K226" s="448"/>
      <c r="L226" s="448"/>
      <c r="M226" s="448"/>
      <c r="N226" s="448"/>
      <c r="O226" s="448"/>
      <c r="P226" s="448"/>
      <c r="Q226" s="480"/>
      <c r="R226" s="485"/>
      <c r="S226" s="448"/>
      <c r="T226" s="475"/>
      <c r="U226" s="479"/>
      <c r="V226" s="405"/>
    </row>
    <row r="227" spans="1:23" x14ac:dyDescent="0.3">
      <c r="A227" s="482"/>
      <c r="B227" s="532" t="s">
        <v>286</v>
      </c>
      <c r="C227" s="550"/>
      <c r="D227" s="550"/>
      <c r="E227" s="550"/>
      <c r="F227" s="551"/>
      <c r="G227" s="532"/>
      <c r="H227" s="532"/>
      <c r="I227" s="532"/>
      <c r="J227" s="532"/>
      <c r="K227" s="532"/>
      <c r="L227" s="532"/>
      <c r="M227" s="532"/>
      <c r="N227" s="532"/>
      <c r="O227" s="532"/>
      <c r="P227" s="532"/>
      <c r="Q227" s="552">
        <v>2</v>
      </c>
      <c r="R227" s="553">
        <v>123</v>
      </c>
      <c r="S227" s="419"/>
      <c r="T227" s="475"/>
      <c r="U227" s="479"/>
      <c r="V227" s="405"/>
    </row>
    <row r="228" spans="1:23" x14ac:dyDescent="0.3">
      <c r="A228" s="482"/>
      <c r="B228" s="532" t="s">
        <v>259</v>
      </c>
      <c r="C228" s="550"/>
      <c r="D228" s="550"/>
      <c r="E228" s="550"/>
      <c r="F228" s="551"/>
      <c r="G228" s="532"/>
      <c r="H228" s="532"/>
      <c r="I228" s="532"/>
      <c r="J228" s="532"/>
      <c r="K228" s="532"/>
      <c r="L228" s="532"/>
      <c r="M228" s="532"/>
      <c r="N228" s="532"/>
      <c r="O228" s="532"/>
      <c r="P228" s="532"/>
      <c r="Q228" s="532"/>
      <c r="R228" s="554">
        <v>9.64</v>
      </c>
      <c r="S228" s="419"/>
      <c r="T228" s="475"/>
      <c r="U228" s="479"/>
      <c r="V228" s="405"/>
    </row>
    <row r="229" spans="1:23" x14ac:dyDescent="0.3">
      <c r="A229" s="471"/>
      <c r="B229" s="477"/>
      <c r="C229" s="483"/>
      <c r="D229" s="483"/>
      <c r="E229" s="483"/>
      <c r="F229" s="484"/>
      <c r="G229" s="448"/>
      <c r="H229" s="448"/>
      <c r="I229" s="448"/>
      <c r="J229" s="448"/>
      <c r="K229" s="448"/>
      <c r="L229" s="448"/>
      <c r="M229" s="448"/>
      <c r="N229" s="448"/>
      <c r="O229" s="448"/>
      <c r="P229" s="448"/>
      <c r="Q229" s="448"/>
      <c r="R229" s="486"/>
      <c r="S229" s="448"/>
      <c r="T229" s="475"/>
      <c r="U229" s="479"/>
      <c r="V229" s="405"/>
    </row>
    <row r="230" spans="1:23" ht="18" x14ac:dyDescent="0.35">
      <c r="A230" s="471"/>
      <c r="B230" s="530" t="s">
        <v>208</v>
      </c>
      <c r="C230" s="483"/>
      <c r="D230" s="483"/>
      <c r="E230" s="483"/>
      <c r="F230" s="484"/>
      <c r="G230" s="448"/>
      <c r="H230" s="448"/>
      <c r="I230" s="448"/>
      <c r="J230" s="448"/>
      <c r="K230" s="448"/>
      <c r="L230" s="448"/>
      <c r="M230" s="448"/>
      <c r="N230" s="603" t="s">
        <v>347</v>
      </c>
      <c r="O230" s="448"/>
      <c r="P230" s="448"/>
      <c r="Q230" s="448"/>
      <c r="R230" s="486"/>
      <c r="S230" s="448"/>
      <c r="T230" s="475"/>
      <c r="U230" s="479"/>
      <c r="V230" s="405"/>
    </row>
    <row r="231" spans="1:23" x14ac:dyDescent="0.3">
      <c r="A231" s="487"/>
      <c r="B231" s="488"/>
      <c r="C231" s="489"/>
      <c r="D231" s="489"/>
      <c r="E231" s="489"/>
      <c r="F231" s="490"/>
      <c r="G231" s="444"/>
      <c r="H231" s="444"/>
      <c r="I231" s="444"/>
      <c r="J231" s="444"/>
      <c r="K231" s="444"/>
      <c r="L231" s="444"/>
      <c r="M231" s="444"/>
      <c r="N231" s="444"/>
      <c r="O231" s="444"/>
      <c r="P231" s="444"/>
      <c r="Q231" s="444"/>
      <c r="R231" s="491"/>
      <c r="S231" s="444"/>
      <c r="T231" s="492"/>
      <c r="U231" s="493"/>
      <c r="V231" s="405"/>
    </row>
    <row r="232" spans="1:23" x14ac:dyDescent="0.3">
      <c r="A232" s="503"/>
      <c r="B232" s="612" t="s">
        <v>302</v>
      </c>
      <c r="C232" s="613"/>
      <c r="D232" s="613"/>
      <c r="E232" s="613"/>
      <c r="F232" s="620"/>
      <c r="G232" s="613"/>
      <c r="H232" s="613"/>
      <c r="I232" s="613"/>
      <c r="J232" s="613"/>
      <c r="K232" s="613"/>
      <c r="L232" s="613"/>
      <c r="M232" s="613"/>
      <c r="N232" s="613"/>
      <c r="O232" s="613"/>
      <c r="P232" s="620" t="s">
        <v>108</v>
      </c>
      <c r="Q232" s="613" t="s">
        <v>109</v>
      </c>
      <c r="R232" s="620" t="s">
        <v>117</v>
      </c>
      <c r="S232" s="613" t="s">
        <v>109</v>
      </c>
      <c r="T232" s="608"/>
      <c r="U232" s="626"/>
      <c r="V232" s="405"/>
    </row>
    <row r="233" spans="1:23" x14ac:dyDescent="0.3">
      <c r="A233" s="430"/>
      <c r="B233" s="572" t="s">
        <v>94</v>
      </c>
      <c r="C233" s="621"/>
      <c r="D233" s="621"/>
      <c r="E233" s="621"/>
      <c r="F233" s="539"/>
      <c r="G233" s="621"/>
      <c r="H233" s="621"/>
      <c r="I233" s="621"/>
      <c r="J233" s="621"/>
      <c r="K233" s="621"/>
      <c r="L233" s="621"/>
      <c r="M233" s="621"/>
      <c r="N233" s="621"/>
      <c r="O233" s="621"/>
      <c r="P233" s="622">
        <f t="shared" ref="P233:P240" si="1">+P245+P257+P269</f>
        <v>1780</v>
      </c>
      <c r="Q233" s="623">
        <f t="shared" ref="Q233:Q240" si="2">P233/$P$242</f>
        <v>0.9994385176866929</v>
      </c>
      <c r="R233" s="624">
        <f t="shared" ref="R233:R240" si="3">+R245+R257+R269</f>
        <v>216762</v>
      </c>
      <c r="S233" s="623">
        <f t="shared" ref="S233:S240" si="4">R233/$R$242</f>
        <v>0.9989124323726486</v>
      </c>
      <c r="T233" s="470"/>
      <c r="U233" s="625"/>
      <c r="V233" s="405"/>
    </row>
    <row r="234" spans="1:23" x14ac:dyDescent="0.3">
      <c r="A234" s="428"/>
      <c r="B234" s="531" t="s">
        <v>95</v>
      </c>
      <c r="C234" s="549"/>
      <c r="D234" s="549"/>
      <c r="E234" s="549"/>
      <c r="F234" s="532"/>
      <c r="G234" s="534"/>
      <c r="H234" s="549"/>
      <c r="I234" s="549"/>
      <c r="J234" s="549"/>
      <c r="K234" s="549"/>
      <c r="L234" s="549"/>
      <c r="M234" s="549"/>
      <c r="N234" s="549"/>
      <c r="O234" s="549"/>
      <c r="P234" s="531">
        <f t="shared" si="1"/>
        <v>0</v>
      </c>
      <c r="Q234" s="534">
        <f t="shared" si="2"/>
        <v>0</v>
      </c>
      <c r="R234" s="535">
        <f t="shared" si="3"/>
        <v>0</v>
      </c>
      <c r="S234" s="534">
        <f t="shared" si="4"/>
        <v>0</v>
      </c>
      <c r="T234" s="472"/>
      <c r="U234" s="494"/>
      <c r="V234" s="405"/>
      <c r="W234" s="452"/>
    </row>
    <row r="235" spans="1:23" x14ac:dyDescent="0.3">
      <c r="A235" s="428"/>
      <c r="B235" s="531" t="s">
        <v>96</v>
      </c>
      <c r="C235" s="549"/>
      <c r="D235" s="549"/>
      <c r="E235" s="549"/>
      <c r="F235" s="532"/>
      <c r="G235" s="534"/>
      <c r="H235" s="549"/>
      <c r="I235" s="549"/>
      <c r="J235" s="549"/>
      <c r="K235" s="549"/>
      <c r="L235" s="549"/>
      <c r="M235" s="549"/>
      <c r="N235" s="549"/>
      <c r="O235" s="549"/>
      <c r="P235" s="531">
        <f t="shared" si="1"/>
        <v>1</v>
      </c>
      <c r="Q235" s="534">
        <f t="shared" si="2"/>
        <v>5.6148231330713087E-4</v>
      </c>
      <c r="R235" s="535">
        <f t="shared" si="3"/>
        <v>236</v>
      </c>
      <c r="S235" s="534">
        <f t="shared" si="4"/>
        <v>1.0875676273514041E-3</v>
      </c>
      <c r="T235" s="472"/>
      <c r="U235" s="494"/>
      <c r="V235" s="405"/>
    </row>
    <row r="236" spans="1:23" x14ac:dyDescent="0.3">
      <c r="A236" s="428"/>
      <c r="B236" s="531" t="s">
        <v>171</v>
      </c>
      <c r="C236" s="549"/>
      <c r="D236" s="549"/>
      <c r="E236" s="549"/>
      <c r="F236" s="532"/>
      <c r="G236" s="534"/>
      <c r="H236" s="549"/>
      <c r="I236" s="549"/>
      <c r="J236" s="549"/>
      <c r="K236" s="549"/>
      <c r="L236" s="549"/>
      <c r="M236" s="549"/>
      <c r="N236" s="549"/>
      <c r="O236" s="549"/>
      <c r="P236" s="531">
        <f t="shared" si="1"/>
        <v>0</v>
      </c>
      <c r="Q236" s="534">
        <f t="shared" si="2"/>
        <v>0</v>
      </c>
      <c r="R236" s="535">
        <f t="shared" si="3"/>
        <v>0</v>
      </c>
      <c r="S236" s="534">
        <f t="shared" si="4"/>
        <v>0</v>
      </c>
      <c r="T236" s="472"/>
      <c r="U236" s="494"/>
      <c r="V236" s="405"/>
      <c r="W236" s="452"/>
    </row>
    <row r="237" spans="1:23" x14ac:dyDescent="0.3">
      <c r="A237" s="428"/>
      <c r="B237" s="531" t="s">
        <v>172</v>
      </c>
      <c r="C237" s="549"/>
      <c r="D237" s="549"/>
      <c r="E237" s="549"/>
      <c r="F237" s="532"/>
      <c r="G237" s="534"/>
      <c r="H237" s="549"/>
      <c r="I237" s="549"/>
      <c r="J237" s="549"/>
      <c r="K237" s="549"/>
      <c r="L237" s="549"/>
      <c r="M237" s="549"/>
      <c r="N237" s="549"/>
      <c r="O237" s="549"/>
      <c r="P237" s="531">
        <f t="shared" si="1"/>
        <v>0</v>
      </c>
      <c r="Q237" s="534">
        <f t="shared" si="2"/>
        <v>0</v>
      </c>
      <c r="R237" s="535">
        <f t="shared" si="3"/>
        <v>0</v>
      </c>
      <c r="S237" s="534">
        <f t="shared" si="4"/>
        <v>0</v>
      </c>
      <c r="T237" s="472"/>
      <c r="U237" s="494"/>
      <c r="V237" s="405"/>
    </row>
    <row r="238" spans="1:23" x14ac:dyDescent="0.3">
      <c r="A238" s="428"/>
      <c r="B238" s="531" t="s">
        <v>173</v>
      </c>
      <c r="C238" s="549"/>
      <c r="D238" s="549"/>
      <c r="E238" s="549"/>
      <c r="F238" s="532"/>
      <c r="G238" s="534"/>
      <c r="H238" s="549"/>
      <c r="I238" s="549"/>
      <c r="J238" s="549"/>
      <c r="K238" s="549"/>
      <c r="L238" s="549"/>
      <c r="M238" s="549"/>
      <c r="N238" s="549"/>
      <c r="O238" s="549"/>
      <c r="P238" s="531">
        <f t="shared" si="1"/>
        <v>0</v>
      </c>
      <c r="Q238" s="534">
        <f t="shared" si="2"/>
        <v>0</v>
      </c>
      <c r="R238" s="535">
        <f t="shared" si="3"/>
        <v>0</v>
      </c>
      <c r="S238" s="534">
        <f t="shared" si="4"/>
        <v>0</v>
      </c>
      <c r="T238" s="472"/>
      <c r="U238" s="494"/>
      <c r="V238" s="405"/>
      <c r="W238" s="452"/>
    </row>
    <row r="239" spans="1:23" x14ac:dyDescent="0.3">
      <c r="A239" s="428"/>
      <c r="B239" s="531" t="s">
        <v>174</v>
      </c>
      <c r="C239" s="549"/>
      <c r="D239" s="549"/>
      <c r="E239" s="549"/>
      <c r="F239" s="532"/>
      <c r="G239" s="534"/>
      <c r="H239" s="549"/>
      <c r="I239" s="549"/>
      <c r="J239" s="549"/>
      <c r="K239" s="549"/>
      <c r="L239" s="549"/>
      <c r="M239" s="549"/>
      <c r="N239" s="549"/>
      <c r="O239" s="549"/>
      <c r="P239" s="531">
        <f t="shared" si="1"/>
        <v>0</v>
      </c>
      <c r="Q239" s="534">
        <f t="shared" si="2"/>
        <v>0</v>
      </c>
      <c r="R239" s="535">
        <f t="shared" si="3"/>
        <v>0</v>
      </c>
      <c r="S239" s="534">
        <f t="shared" si="4"/>
        <v>0</v>
      </c>
      <c r="T239" s="472"/>
      <c r="U239" s="494"/>
      <c r="V239" s="405"/>
    </row>
    <row r="240" spans="1:23" x14ac:dyDescent="0.3">
      <c r="A240" s="428"/>
      <c r="B240" s="531" t="s">
        <v>175</v>
      </c>
      <c r="C240" s="549"/>
      <c r="D240" s="549"/>
      <c r="E240" s="549"/>
      <c r="F240" s="532"/>
      <c r="G240" s="534"/>
      <c r="H240" s="549"/>
      <c r="I240" s="549"/>
      <c r="J240" s="549"/>
      <c r="K240" s="549"/>
      <c r="L240" s="549"/>
      <c r="M240" s="549"/>
      <c r="N240" s="549"/>
      <c r="O240" s="549"/>
      <c r="P240" s="531">
        <f t="shared" si="1"/>
        <v>0</v>
      </c>
      <c r="Q240" s="534">
        <f t="shared" si="2"/>
        <v>0</v>
      </c>
      <c r="R240" s="535">
        <f t="shared" si="3"/>
        <v>0</v>
      </c>
      <c r="S240" s="534">
        <f t="shared" si="4"/>
        <v>0</v>
      </c>
      <c r="T240" s="472"/>
      <c r="U240" s="494"/>
      <c r="V240" s="405"/>
      <c r="W240" s="452"/>
    </row>
    <row r="241" spans="1:23" x14ac:dyDescent="0.3">
      <c r="A241" s="428"/>
      <c r="B241" s="531"/>
      <c r="C241" s="549"/>
      <c r="D241" s="549"/>
      <c r="E241" s="549"/>
      <c r="F241" s="532"/>
      <c r="G241" s="534"/>
      <c r="H241" s="549"/>
      <c r="I241" s="549"/>
      <c r="J241" s="549"/>
      <c r="K241" s="549"/>
      <c r="L241" s="549"/>
      <c r="M241" s="549"/>
      <c r="N241" s="549"/>
      <c r="O241" s="549"/>
      <c r="P241" s="531"/>
      <c r="Q241" s="534"/>
      <c r="R241" s="535"/>
      <c r="S241" s="534"/>
      <c r="T241" s="472"/>
      <c r="U241" s="494"/>
      <c r="V241" s="405"/>
    </row>
    <row r="242" spans="1:23" x14ac:dyDescent="0.3">
      <c r="A242" s="428"/>
      <c r="B242" s="532"/>
      <c r="C242" s="532"/>
      <c r="D242" s="532"/>
      <c r="E242" s="532"/>
      <c r="F242" s="532"/>
      <c r="G242" s="532"/>
      <c r="H242" s="533"/>
      <c r="I242" s="533"/>
      <c r="J242" s="533"/>
      <c r="K242" s="533"/>
      <c r="L242" s="533"/>
      <c r="M242" s="533"/>
      <c r="N242" s="533"/>
      <c r="O242" s="533"/>
      <c r="P242" s="531">
        <f>SUM(P233:P241)</f>
        <v>1781</v>
      </c>
      <c r="Q242" s="534">
        <f>SUM(Q233:Q241)</f>
        <v>1</v>
      </c>
      <c r="R242" s="535">
        <f>SUM(R233:R241)</f>
        <v>216998</v>
      </c>
      <c r="S242" s="534">
        <f>SUM(S233:S241)</f>
        <v>1</v>
      </c>
      <c r="T242" s="419"/>
      <c r="U242" s="420"/>
      <c r="V242" s="405"/>
    </row>
    <row r="243" spans="1:23" x14ac:dyDescent="0.3">
      <c r="A243" s="487"/>
      <c r="B243" s="488"/>
      <c r="C243" s="489"/>
      <c r="D243" s="489"/>
      <c r="E243" s="489"/>
      <c r="F243" s="490"/>
      <c r="G243" s="444"/>
      <c r="H243" s="444"/>
      <c r="I243" s="444"/>
      <c r="J243" s="444"/>
      <c r="K243" s="444"/>
      <c r="L243" s="444"/>
      <c r="M243" s="444"/>
      <c r="N243" s="444"/>
      <c r="O243" s="444"/>
      <c r="P243" s="444"/>
      <c r="Q243" s="444"/>
      <c r="R243" s="491"/>
      <c r="S243" s="444"/>
      <c r="T243" s="492"/>
      <c r="U243" s="493"/>
      <c r="V243" s="405"/>
    </row>
    <row r="244" spans="1:23" x14ac:dyDescent="0.3">
      <c r="A244" s="503"/>
      <c r="B244" s="612" t="s">
        <v>177</v>
      </c>
      <c r="C244" s="613"/>
      <c r="D244" s="613"/>
      <c r="E244" s="613"/>
      <c r="F244" s="620"/>
      <c r="G244" s="613"/>
      <c r="H244" s="613"/>
      <c r="I244" s="613"/>
      <c r="J244" s="613"/>
      <c r="K244" s="613"/>
      <c r="L244" s="613"/>
      <c r="M244" s="613"/>
      <c r="N244" s="613"/>
      <c r="O244" s="613"/>
      <c r="P244" s="620" t="s">
        <v>108</v>
      </c>
      <c r="Q244" s="613" t="s">
        <v>109</v>
      </c>
      <c r="R244" s="620" t="s">
        <v>117</v>
      </c>
      <c r="S244" s="613" t="s">
        <v>109</v>
      </c>
      <c r="T244" s="608"/>
      <c r="U244" s="626"/>
      <c r="V244" s="405"/>
    </row>
    <row r="245" spans="1:23" x14ac:dyDescent="0.3">
      <c r="A245" s="430"/>
      <c r="B245" s="572" t="s">
        <v>94</v>
      </c>
      <c r="C245" s="621"/>
      <c r="D245" s="621"/>
      <c r="E245" s="621"/>
      <c r="F245" s="539"/>
      <c r="G245" s="621"/>
      <c r="H245" s="621"/>
      <c r="I245" s="621"/>
      <c r="J245" s="621"/>
      <c r="K245" s="621"/>
      <c r="L245" s="621"/>
      <c r="M245" s="621"/>
      <c r="N245" s="621"/>
      <c r="O245" s="621"/>
      <c r="P245" s="572">
        <v>1755</v>
      </c>
      <c r="Q245" s="627">
        <f t="shared" ref="Q245:Q252" si="5">P245/$P$254</f>
        <v>0.99943052391799547</v>
      </c>
      <c r="R245" s="541">
        <v>213376</v>
      </c>
      <c r="S245" s="627">
        <f t="shared" ref="S245:S252" si="6">R245/$R$254</f>
        <v>0.99889519315394271</v>
      </c>
      <c r="T245" s="470"/>
      <c r="U245" s="625"/>
      <c r="V245" s="405"/>
    </row>
    <row r="246" spans="1:23" x14ac:dyDescent="0.3">
      <c r="A246" s="428"/>
      <c r="B246" s="531" t="s">
        <v>95</v>
      </c>
      <c r="C246" s="549"/>
      <c r="D246" s="549"/>
      <c r="E246" s="549"/>
      <c r="F246" s="532"/>
      <c r="G246" s="534"/>
      <c r="H246" s="549"/>
      <c r="I246" s="549"/>
      <c r="J246" s="549"/>
      <c r="K246" s="549"/>
      <c r="L246" s="549"/>
      <c r="M246" s="549"/>
      <c r="N246" s="549"/>
      <c r="O246" s="549"/>
      <c r="P246" s="531">
        <v>0</v>
      </c>
      <c r="Q246" s="534">
        <f t="shared" si="5"/>
        <v>0</v>
      </c>
      <c r="R246" s="535">
        <v>0</v>
      </c>
      <c r="S246" s="534">
        <f t="shared" si="6"/>
        <v>0</v>
      </c>
      <c r="T246" s="472"/>
      <c r="U246" s="494"/>
      <c r="V246" s="405"/>
      <c r="W246" s="452"/>
    </row>
    <row r="247" spans="1:23" x14ac:dyDescent="0.3">
      <c r="A247" s="428"/>
      <c r="B247" s="531" t="s">
        <v>96</v>
      </c>
      <c r="C247" s="549"/>
      <c r="D247" s="549"/>
      <c r="E247" s="549"/>
      <c r="F247" s="532"/>
      <c r="G247" s="534"/>
      <c r="H247" s="549"/>
      <c r="I247" s="549"/>
      <c r="J247" s="549"/>
      <c r="K247" s="549"/>
      <c r="L247" s="549"/>
      <c r="M247" s="549"/>
      <c r="N247" s="549"/>
      <c r="O247" s="549"/>
      <c r="P247" s="531">
        <v>1</v>
      </c>
      <c r="Q247" s="534">
        <f t="shared" si="5"/>
        <v>5.6947608200455578E-4</v>
      </c>
      <c r="R247" s="535">
        <v>236</v>
      </c>
      <c r="S247" s="534">
        <f t="shared" si="6"/>
        <v>1.1048068460573375E-3</v>
      </c>
      <c r="T247" s="472"/>
      <c r="U247" s="494"/>
      <c r="V247" s="405"/>
    </row>
    <row r="248" spans="1:23" x14ac:dyDescent="0.3">
      <c r="A248" s="428"/>
      <c r="B248" s="531" t="s">
        <v>171</v>
      </c>
      <c r="C248" s="549"/>
      <c r="D248" s="549"/>
      <c r="E248" s="549"/>
      <c r="F248" s="532"/>
      <c r="G248" s="534"/>
      <c r="H248" s="549"/>
      <c r="I248" s="549"/>
      <c r="J248" s="549"/>
      <c r="K248" s="549"/>
      <c r="L248" s="549"/>
      <c r="M248" s="549"/>
      <c r="N248" s="549"/>
      <c r="O248" s="549"/>
      <c r="P248" s="531">
        <v>0</v>
      </c>
      <c r="Q248" s="534">
        <f t="shared" si="5"/>
        <v>0</v>
      </c>
      <c r="R248" s="535">
        <v>0</v>
      </c>
      <c r="S248" s="534">
        <f t="shared" si="6"/>
        <v>0</v>
      </c>
      <c r="T248" s="472"/>
      <c r="U248" s="494"/>
      <c r="V248" s="405"/>
      <c r="W248" s="452"/>
    </row>
    <row r="249" spans="1:23" x14ac:dyDescent="0.3">
      <c r="A249" s="428"/>
      <c r="B249" s="531" t="s">
        <v>172</v>
      </c>
      <c r="C249" s="549"/>
      <c r="D249" s="549"/>
      <c r="E249" s="549"/>
      <c r="F249" s="532"/>
      <c r="G249" s="534"/>
      <c r="H249" s="549"/>
      <c r="I249" s="549"/>
      <c r="J249" s="549"/>
      <c r="K249" s="549"/>
      <c r="L249" s="549"/>
      <c r="M249" s="549"/>
      <c r="N249" s="549"/>
      <c r="O249" s="549"/>
      <c r="P249" s="531">
        <v>0</v>
      </c>
      <c r="Q249" s="534">
        <f t="shared" si="5"/>
        <v>0</v>
      </c>
      <c r="R249" s="535">
        <v>0</v>
      </c>
      <c r="S249" s="534">
        <f t="shared" si="6"/>
        <v>0</v>
      </c>
      <c r="T249" s="472"/>
      <c r="U249" s="494"/>
      <c r="V249" s="405"/>
    </row>
    <row r="250" spans="1:23" x14ac:dyDescent="0.3">
      <c r="A250" s="428"/>
      <c r="B250" s="531" t="s">
        <v>173</v>
      </c>
      <c r="C250" s="549"/>
      <c r="D250" s="549"/>
      <c r="E250" s="549"/>
      <c r="F250" s="532"/>
      <c r="G250" s="534"/>
      <c r="H250" s="549"/>
      <c r="I250" s="549"/>
      <c r="J250" s="549"/>
      <c r="K250" s="549"/>
      <c r="L250" s="549"/>
      <c r="M250" s="549"/>
      <c r="N250" s="549"/>
      <c r="O250" s="549"/>
      <c r="P250" s="531">
        <v>0</v>
      </c>
      <c r="Q250" s="534">
        <f t="shared" si="5"/>
        <v>0</v>
      </c>
      <c r="R250" s="535">
        <v>0</v>
      </c>
      <c r="S250" s="534">
        <f t="shared" si="6"/>
        <v>0</v>
      </c>
      <c r="T250" s="472"/>
      <c r="U250" s="494"/>
      <c r="V250" s="405"/>
      <c r="W250" s="452"/>
    </row>
    <row r="251" spans="1:23" x14ac:dyDescent="0.3">
      <c r="A251" s="428"/>
      <c r="B251" s="531" t="s">
        <v>174</v>
      </c>
      <c r="C251" s="549"/>
      <c r="D251" s="549"/>
      <c r="E251" s="549"/>
      <c r="F251" s="532"/>
      <c r="G251" s="534"/>
      <c r="H251" s="549"/>
      <c r="I251" s="549"/>
      <c r="J251" s="549"/>
      <c r="K251" s="549"/>
      <c r="L251" s="549"/>
      <c r="M251" s="549"/>
      <c r="N251" s="549"/>
      <c r="O251" s="549"/>
      <c r="P251" s="531">
        <v>0</v>
      </c>
      <c r="Q251" s="534">
        <f t="shared" si="5"/>
        <v>0</v>
      </c>
      <c r="R251" s="535">
        <v>0</v>
      </c>
      <c r="S251" s="534">
        <f t="shared" si="6"/>
        <v>0</v>
      </c>
      <c r="T251" s="472"/>
      <c r="U251" s="494"/>
      <c r="V251" s="405"/>
    </row>
    <row r="252" spans="1:23" x14ac:dyDescent="0.3">
      <c r="A252" s="428"/>
      <c r="B252" s="531" t="s">
        <v>175</v>
      </c>
      <c r="C252" s="549"/>
      <c r="D252" s="549"/>
      <c r="E252" s="549"/>
      <c r="F252" s="532"/>
      <c r="G252" s="534"/>
      <c r="H252" s="549"/>
      <c r="I252" s="549"/>
      <c r="J252" s="549"/>
      <c r="K252" s="549"/>
      <c r="L252" s="549"/>
      <c r="M252" s="549"/>
      <c r="N252" s="549"/>
      <c r="O252" s="549"/>
      <c r="P252" s="531">
        <v>0</v>
      </c>
      <c r="Q252" s="534">
        <f t="shared" si="5"/>
        <v>0</v>
      </c>
      <c r="R252" s="535">
        <v>0</v>
      </c>
      <c r="S252" s="534">
        <f t="shared" si="6"/>
        <v>0</v>
      </c>
      <c r="T252" s="472"/>
      <c r="U252" s="494"/>
      <c r="V252" s="405"/>
      <c r="W252" s="452"/>
    </row>
    <row r="253" spans="1:23" x14ac:dyDescent="0.3">
      <c r="A253" s="428"/>
      <c r="B253" s="531"/>
      <c r="C253" s="549"/>
      <c r="D253" s="549"/>
      <c r="E253" s="549"/>
      <c r="F253" s="532"/>
      <c r="G253" s="534"/>
      <c r="H253" s="549"/>
      <c r="I253" s="549"/>
      <c r="J253" s="549"/>
      <c r="K253" s="549"/>
      <c r="L253" s="549"/>
      <c r="M253" s="549"/>
      <c r="N253" s="549"/>
      <c r="O253" s="549"/>
      <c r="P253" s="531"/>
      <c r="Q253" s="534"/>
      <c r="R253" s="535"/>
      <c r="S253" s="534"/>
      <c r="T253" s="472"/>
      <c r="U253" s="494"/>
      <c r="V253" s="405"/>
    </row>
    <row r="254" spans="1:23" x14ac:dyDescent="0.3">
      <c r="A254" s="428"/>
      <c r="B254" s="532"/>
      <c r="C254" s="532"/>
      <c r="D254" s="532"/>
      <c r="E254" s="532"/>
      <c r="F254" s="532"/>
      <c r="G254" s="532"/>
      <c r="H254" s="533"/>
      <c r="I254" s="533"/>
      <c r="J254" s="533"/>
      <c r="K254" s="533"/>
      <c r="L254" s="533"/>
      <c r="M254" s="533"/>
      <c r="N254" s="533"/>
      <c r="O254" s="533"/>
      <c r="P254" s="531">
        <f>SUM(P245:P253)</f>
        <v>1756</v>
      </c>
      <c r="Q254" s="534">
        <f>SUM(Q245:Q253)</f>
        <v>1</v>
      </c>
      <c r="R254" s="535">
        <f>SUM(R245:R253)</f>
        <v>213612</v>
      </c>
      <c r="S254" s="534">
        <f>SUM(S245:S253)</f>
        <v>1</v>
      </c>
      <c r="T254" s="419"/>
      <c r="U254" s="420"/>
      <c r="V254" s="405"/>
    </row>
    <row r="255" spans="1:23" x14ac:dyDescent="0.3">
      <c r="A255" s="407"/>
      <c r="B255" s="444"/>
      <c r="C255" s="444"/>
      <c r="D255" s="444"/>
      <c r="E255" s="444"/>
      <c r="F255" s="444"/>
      <c r="G255" s="444"/>
      <c r="H255" s="495"/>
      <c r="I255" s="495"/>
      <c r="J255" s="495"/>
      <c r="K255" s="495"/>
      <c r="L255" s="495"/>
      <c r="M255" s="495"/>
      <c r="N255" s="495"/>
      <c r="O255" s="495"/>
      <c r="P255" s="445"/>
      <c r="Q255" s="496"/>
      <c r="R255" s="497"/>
      <c r="S255" s="496"/>
      <c r="T255" s="444"/>
      <c r="U255" s="444"/>
      <c r="V255" s="405"/>
    </row>
    <row r="256" spans="1:23" x14ac:dyDescent="0.3">
      <c r="A256" s="503"/>
      <c r="B256" s="612" t="s">
        <v>279</v>
      </c>
      <c r="C256" s="613"/>
      <c r="D256" s="613"/>
      <c r="E256" s="613"/>
      <c r="F256" s="620"/>
      <c r="G256" s="613"/>
      <c r="H256" s="613"/>
      <c r="I256" s="613"/>
      <c r="J256" s="613"/>
      <c r="K256" s="613"/>
      <c r="L256" s="613"/>
      <c r="M256" s="613"/>
      <c r="N256" s="613"/>
      <c r="O256" s="613"/>
      <c r="P256" s="620" t="s">
        <v>108</v>
      </c>
      <c r="Q256" s="613" t="s">
        <v>109</v>
      </c>
      <c r="R256" s="620" t="s">
        <v>117</v>
      </c>
      <c r="S256" s="613" t="s">
        <v>109</v>
      </c>
      <c r="T256" s="608"/>
      <c r="U256" s="611"/>
      <c r="V256" s="405"/>
    </row>
    <row r="257" spans="1:22" x14ac:dyDescent="0.3">
      <c r="A257" s="430"/>
      <c r="B257" s="572" t="s">
        <v>94</v>
      </c>
      <c r="C257" s="621"/>
      <c r="D257" s="621"/>
      <c r="E257" s="621"/>
      <c r="F257" s="539"/>
      <c r="G257" s="621"/>
      <c r="H257" s="621"/>
      <c r="I257" s="621"/>
      <c r="J257" s="621"/>
      <c r="K257" s="621"/>
      <c r="L257" s="621"/>
      <c r="M257" s="621"/>
      <c r="N257" s="621"/>
      <c r="O257" s="621"/>
      <c r="P257" s="572">
        <v>25</v>
      </c>
      <c r="Q257" s="627">
        <f t="shared" ref="Q257:Q264" si="7">P257/$P$266</f>
        <v>1</v>
      </c>
      <c r="R257" s="541">
        <v>3386</v>
      </c>
      <c r="S257" s="627">
        <f t="shared" ref="S257:S264" si="8">R257/$R$266</f>
        <v>1</v>
      </c>
      <c r="T257" s="431"/>
      <c r="U257" s="444"/>
      <c r="V257" s="405"/>
    </row>
    <row r="258" spans="1:22" x14ac:dyDescent="0.3">
      <c r="A258" s="428"/>
      <c r="B258" s="531" t="s">
        <v>95</v>
      </c>
      <c r="C258" s="549"/>
      <c r="D258" s="549"/>
      <c r="E258" s="549"/>
      <c r="F258" s="532"/>
      <c r="G258" s="534"/>
      <c r="H258" s="549"/>
      <c r="I258" s="549"/>
      <c r="J258" s="549"/>
      <c r="K258" s="549"/>
      <c r="L258" s="549"/>
      <c r="M258" s="549"/>
      <c r="N258" s="549"/>
      <c r="O258" s="549"/>
      <c r="P258" s="531">
        <v>0</v>
      </c>
      <c r="Q258" s="534">
        <f t="shared" si="7"/>
        <v>0</v>
      </c>
      <c r="R258" s="535">
        <v>0</v>
      </c>
      <c r="S258" s="534">
        <f t="shared" si="8"/>
        <v>0</v>
      </c>
      <c r="T258" s="419"/>
      <c r="U258" s="451"/>
      <c r="V258" s="405"/>
    </row>
    <row r="259" spans="1:22" x14ac:dyDescent="0.3">
      <c r="A259" s="428"/>
      <c r="B259" s="531" t="s">
        <v>96</v>
      </c>
      <c r="C259" s="549"/>
      <c r="D259" s="549"/>
      <c r="E259" s="549"/>
      <c r="F259" s="532"/>
      <c r="G259" s="534"/>
      <c r="H259" s="549"/>
      <c r="I259" s="549"/>
      <c r="J259" s="549"/>
      <c r="K259" s="549"/>
      <c r="L259" s="549"/>
      <c r="M259" s="549"/>
      <c r="N259" s="549"/>
      <c r="O259" s="549"/>
      <c r="P259" s="531">
        <v>0</v>
      </c>
      <c r="Q259" s="534">
        <f t="shared" si="7"/>
        <v>0</v>
      </c>
      <c r="R259" s="535">
        <v>0</v>
      </c>
      <c r="S259" s="534">
        <f t="shared" si="8"/>
        <v>0</v>
      </c>
      <c r="T259" s="419"/>
      <c r="U259" s="451"/>
      <c r="V259" s="405"/>
    </row>
    <row r="260" spans="1:22" x14ac:dyDescent="0.3">
      <c r="A260" s="428"/>
      <c r="B260" s="531" t="s">
        <v>171</v>
      </c>
      <c r="C260" s="549"/>
      <c r="D260" s="549"/>
      <c r="E260" s="549"/>
      <c r="F260" s="532"/>
      <c r="G260" s="534"/>
      <c r="H260" s="549"/>
      <c r="I260" s="549"/>
      <c r="J260" s="549"/>
      <c r="K260" s="549"/>
      <c r="L260" s="549"/>
      <c r="M260" s="549"/>
      <c r="N260" s="549"/>
      <c r="O260" s="549"/>
      <c r="P260" s="531">
        <v>0</v>
      </c>
      <c r="Q260" s="534">
        <f t="shared" si="7"/>
        <v>0</v>
      </c>
      <c r="R260" s="535">
        <v>0</v>
      </c>
      <c r="S260" s="534">
        <f t="shared" si="8"/>
        <v>0</v>
      </c>
      <c r="T260" s="419"/>
      <c r="U260" s="451"/>
      <c r="V260" s="405"/>
    </row>
    <row r="261" spans="1:22" x14ac:dyDescent="0.3">
      <c r="A261" s="428"/>
      <c r="B261" s="531" t="s">
        <v>172</v>
      </c>
      <c r="C261" s="549"/>
      <c r="D261" s="549"/>
      <c r="E261" s="549"/>
      <c r="F261" s="532"/>
      <c r="G261" s="534"/>
      <c r="H261" s="549"/>
      <c r="I261" s="549"/>
      <c r="J261" s="549"/>
      <c r="K261" s="549"/>
      <c r="L261" s="549"/>
      <c r="M261" s="549"/>
      <c r="N261" s="549"/>
      <c r="O261" s="549"/>
      <c r="P261" s="531">
        <v>0</v>
      </c>
      <c r="Q261" s="534">
        <f t="shared" si="7"/>
        <v>0</v>
      </c>
      <c r="R261" s="535">
        <v>0</v>
      </c>
      <c r="S261" s="534">
        <f t="shared" si="8"/>
        <v>0</v>
      </c>
      <c r="T261" s="419"/>
      <c r="U261" s="451"/>
      <c r="V261" s="405"/>
    </row>
    <row r="262" spans="1:22" x14ac:dyDescent="0.3">
      <c r="A262" s="428"/>
      <c r="B262" s="531" t="s">
        <v>173</v>
      </c>
      <c r="C262" s="549"/>
      <c r="D262" s="549"/>
      <c r="E262" s="549"/>
      <c r="F262" s="532"/>
      <c r="G262" s="534"/>
      <c r="H262" s="549"/>
      <c r="I262" s="549"/>
      <c r="J262" s="549"/>
      <c r="K262" s="549"/>
      <c r="L262" s="549"/>
      <c r="M262" s="549"/>
      <c r="N262" s="549"/>
      <c r="O262" s="549"/>
      <c r="P262" s="531">
        <v>0</v>
      </c>
      <c r="Q262" s="534">
        <f t="shared" si="7"/>
        <v>0</v>
      </c>
      <c r="R262" s="535">
        <v>0</v>
      </c>
      <c r="S262" s="534">
        <f t="shared" si="8"/>
        <v>0</v>
      </c>
      <c r="T262" s="419"/>
      <c r="U262" s="451"/>
      <c r="V262" s="405"/>
    </row>
    <row r="263" spans="1:22" x14ac:dyDescent="0.3">
      <c r="A263" s="428"/>
      <c r="B263" s="531" t="s">
        <v>174</v>
      </c>
      <c r="C263" s="549"/>
      <c r="D263" s="549"/>
      <c r="E263" s="549"/>
      <c r="F263" s="532"/>
      <c r="G263" s="534"/>
      <c r="H263" s="549"/>
      <c r="I263" s="549"/>
      <c r="J263" s="549"/>
      <c r="K263" s="549"/>
      <c r="L263" s="549"/>
      <c r="M263" s="549"/>
      <c r="N263" s="549"/>
      <c r="O263" s="549"/>
      <c r="P263" s="531">
        <v>0</v>
      </c>
      <c r="Q263" s="534">
        <f t="shared" si="7"/>
        <v>0</v>
      </c>
      <c r="R263" s="535">
        <v>0</v>
      </c>
      <c r="S263" s="534">
        <f t="shared" si="8"/>
        <v>0</v>
      </c>
      <c r="T263" s="419"/>
      <c r="U263" s="451"/>
      <c r="V263" s="405"/>
    </row>
    <row r="264" spans="1:22" x14ac:dyDescent="0.3">
      <c r="A264" s="428"/>
      <c r="B264" s="531" t="s">
        <v>175</v>
      </c>
      <c r="C264" s="549"/>
      <c r="D264" s="549"/>
      <c r="E264" s="549"/>
      <c r="F264" s="532"/>
      <c r="G264" s="534"/>
      <c r="H264" s="549"/>
      <c r="I264" s="549"/>
      <c r="J264" s="549"/>
      <c r="K264" s="549"/>
      <c r="L264" s="549"/>
      <c r="M264" s="549"/>
      <c r="N264" s="549"/>
      <c r="O264" s="549"/>
      <c r="P264" s="531">
        <v>0</v>
      </c>
      <c r="Q264" s="534">
        <f t="shared" si="7"/>
        <v>0</v>
      </c>
      <c r="R264" s="535">
        <v>0</v>
      </c>
      <c r="S264" s="534">
        <f t="shared" si="8"/>
        <v>0</v>
      </c>
      <c r="T264" s="419"/>
      <c r="U264" s="451"/>
      <c r="V264" s="405"/>
    </row>
    <row r="265" spans="1:22" x14ac:dyDescent="0.3">
      <c r="A265" s="428"/>
      <c r="B265" s="531"/>
      <c r="C265" s="549"/>
      <c r="D265" s="549"/>
      <c r="E265" s="549"/>
      <c r="F265" s="532"/>
      <c r="G265" s="534"/>
      <c r="H265" s="549"/>
      <c r="I265" s="549"/>
      <c r="J265" s="549"/>
      <c r="K265" s="549"/>
      <c r="L265" s="549"/>
      <c r="M265" s="549"/>
      <c r="N265" s="549"/>
      <c r="O265" s="549"/>
      <c r="P265" s="531"/>
      <c r="Q265" s="534"/>
      <c r="R265" s="535"/>
      <c r="S265" s="534"/>
      <c r="T265" s="419"/>
      <c r="U265" s="451"/>
      <c r="V265" s="405"/>
    </row>
    <row r="266" spans="1:22" x14ac:dyDescent="0.3">
      <c r="A266" s="428"/>
      <c r="B266" s="532"/>
      <c r="C266" s="532"/>
      <c r="D266" s="532"/>
      <c r="E266" s="532"/>
      <c r="F266" s="532"/>
      <c r="G266" s="532"/>
      <c r="H266" s="533"/>
      <c r="I266" s="533"/>
      <c r="J266" s="533"/>
      <c r="K266" s="533"/>
      <c r="L266" s="533"/>
      <c r="M266" s="533"/>
      <c r="N266" s="533"/>
      <c r="O266" s="533"/>
      <c r="P266" s="531">
        <f>SUM(P257:P265)</f>
        <v>25</v>
      </c>
      <c r="Q266" s="534">
        <f>SUM(Q257:Q265)</f>
        <v>1</v>
      </c>
      <c r="R266" s="535">
        <f>SUM(R257:R265)</f>
        <v>3386</v>
      </c>
      <c r="S266" s="534">
        <f>SUM(S257:S265)</f>
        <v>1</v>
      </c>
      <c r="T266" s="419"/>
      <c r="U266" s="451"/>
      <c r="V266" s="405"/>
    </row>
    <row r="267" spans="1:22" x14ac:dyDescent="0.3">
      <c r="A267" s="430"/>
      <c r="B267" s="431"/>
      <c r="C267" s="431"/>
      <c r="D267" s="431"/>
      <c r="E267" s="431"/>
      <c r="F267" s="431"/>
      <c r="G267" s="431"/>
      <c r="H267" s="498"/>
      <c r="I267" s="498"/>
      <c r="J267" s="498"/>
      <c r="K267" s="498"/>
      <c r="L267" s="498"/>
      <c r="M267" s="498"/>
      <c r="N267" s="498"/>
      <c r="O267" s="498"/>
      <c r="P267" s="455"/>
      <c r="Q267" s="499"/>
      <c r="R267" s="500"/>
      <c r="S267" s="499"/>
      <c r="T267" s="431"/>
      <c r="U267" s="444"/>
      <c r="V267" s="405"/>
    </row>
    <row r="268" spans="1:22" x14ac:dyDescent="0.3">
      <c r="A268" s="503"/>
      <c r="B268" s="612" t="s">
        <v>179</v>
      </c>
      <c r="C268" s="608"/>
      <c r="D268" s="608"/>
      <c r="E268" s="608"/>
      <c r="F268" s="608"/>
      <c r="G268" s="608"/>
      <c r="H268" s="628"/>
      <c r="I268" s="628"/>
      <c r="J268" s="628"/>
      <c r="K268" s="628"/>
      <c r="L268" s="628"/>
      <c r="M268" s="628"/>
      <c r="N268" s="628"/>
      <c r="O268" s="628"/>
      <c r="P268" s="620" t="s">
        <v>108</v>
      </c>
      <c r="Q268" s="613" t="s">
        <v>109</v>
      </c>
      <c r="R268" s="620" t="s">
        <v>117</v>
      </c>
      <c r="S268" s="613" t="s">
        <v>109</v>
      </c>
      <c r="T268" s="608"/>
      <c r="U268" s="611"/>
      <c r="V268" s="405"/>
    </row>
    <row r="269" spans="1:22" x14ac:dyDescent="0.3">
      <c r="A269" s="430"/>
      <c r="B269" s="572" t="s">
        <v>94</v>
      </c>
      <c r="C269" s="539"/>
      <c r="D269" s="539"/>
      <c r="E269" s="539"/>
      <c r="F269" s="539"/>
      <c r="G269" s="539"/>
      <c r="H269" s="540"/>
      <c r="I269" s="540"/>
      <c r="J269" s="540"/>
      <c r="K269" s="540"/>
      <c r="L269" s="540"/>
      <c r="M269" s="540"/>
      <c r="N269" s="540"/>
      <c r="O269" s="540"/>
      <c r="P269" s="572">
        <v>0</v>
      </c>
      <c r="Q269" s="627">
        <v>0</v>
      </c>
      <c r="R269" s="541">
        <v>0</v>
      </c>
      <c r="S269" s="627">
        <v>0</v>
      </c>
      <c r="T269" s="431"/>
      <c r="U269" s="444"/>
      <c r="V269" s="405"/>
    </row>
    <row r="270" spans="1:22" x14ac:dyDescent="0.3">
      <c r="A270" s="428"/>
      <c r="B270" s="531" t="s">
        <v>95</v>
      </c>
      <c r="C270" s="532"/>
      <c r="D270" s="532"/>
      <c r="E270" s="532"/>
      <c r="F270" s="532"/>
      <c r="G270" s="532"/>
      <c r="H270" s="533"/>
      <c r="I270" s="533"/>
      <c r="J270" s="533"/>
      <c r="K270" s="533"/>
      <c r="L270" s="533"/>
      <c r="M270" s="533"/>
      <c r="N270" s="533"/>
      <c r="O270" s="533"/>
      <c r="P270" s="531">
        <v>0</v>
      </c>
      <c r="Q270" s="534">
        <v>0</v>
      </c>
      <c r="R270" s="535">
        <v>0</v>
      </c>
      <c r="S270" s="534">
        <v>0</v>
      </c>
      <c r="T270" s="419"/>
      <c r="U270" s="451"/>
      <c r="V270" s="405"/>
    </row>
    <row r="271" spans="1:22" x14ac:dyDescent="0.3">
      <c r="A271" s="428"/>
      <c r="B271" s="531" t="s">
        <v>96</v>
      </c>
      <c r="C271" s="532"/>
      <c r="D271" s="532"/>
      <c r="E271" s="532"/>
      <c r="F271" s="532"/>
      <c r="G271" s="532"/>
      <c r="H271" s="533"/>
      <c r="I271" s="533"/>
      <c r="J271" s="533"/>
      <c r="K271" s="533"/>
      <c r="L271" s="533"/>
      <c r="M271" s="533"/>
      <c r="N271" s="533"/>
      <c r="O271" s="533"/>
      <c r="P271" s="531">
        <v>0</v>
      </c>
      <c r="Q271" s="534">
        <v>0</v>
      </c>
      <c r="R271" s="535">
        <v>0</v>
      </c>
      <c r="S271" s="534">
        <v>0</v>
      </c>
      <c r="T271" s="419"/>
      <c r="U271" s="451"/>
      <c r="V271" s="405"/>
    </row>
    <row r="272" spans="1:22" x14ac:dyDescent="0.3">
      <c r="A272" s="428"/>
      <c r="B272" s="531" t="s">
        <v>171</v>
      </c>
      <c r="C272" s="532"/>
      <c r="D272" s="532"/>
      <c r="E272" s="532"/>
      <c r="F272" s="532"/>
      <c r="G272" s="532"/>
      <c r="H272" s="533"/>
      <c r="I272" s="533"/>
      <c r="J272" s="533"/>
      <c r="K272" s="533"/>
      <c r="L272" s="533"/>
      <c r="M272" s="533"/>
      <c r="N272" s="533"/>
      <c r="O272" s="533"/>
      <c r="P272" s="531">
        <v>0</v>
      </c>
      <c r="Q272" s="534">
        <v>0</v>
      </c>
      <c r="R272" s="535">
        <v>0</v>
      </c>
      <c r="S272" s="534">
        <v>0</v>
      </c>
      <c r="T272" s="419"/>
      <c r="U272" s="451"/>
      <c r="V272" s="405"/>
    </row>
    <row r="273" spans="1:22" x14ac:dyDescent="0.3">
      <c r="A273" s="428"/>
      <c r="B273" s="531" t="s">
        <v>172</v>
      </c>
      <c r="C273" s="532"/>
      <c r="D273" s="532"/>
      <c r="E273" s="532"/>
      <c r="F273" s="532"/>
      <c r="G273" s="532"/>
      <c r="H273" s="533"/>
      <c r="I273" s="533"/>
      <c r="J273" s="533"/>
      <c r="K273" s="533"/>
      <c r="L273" s="533"/>
      <c r="M273" s="533"/>
      <c r="N273" s="533"/>
      <c r="O273" s="533"/>
      <c r="P273" s="531">
        <v>0</v>
      </c>
      <c r="Q273" s="534">
        <v>0</v>
      </c>
      <c r="R273" s="535">
        <v>0</v>
      </c>
      <c r="S273" s="534">
        <v>0</v>
      </c>
      <c r="T273" s="419"/>
      <c r="U273" s="451"/>
      <c r="V273" s="405"/>
    </row>
    <row r="274" spans="1:22" x14ac:dyDescent="0.3">
      <c r="A274" s="428"/>
      <c r="B274" s="531" t="s">
        <v>173</v>
      </c>
      <c r="C274" s="532"/>
      <c r="D274" s="532"/>
      <c r="E274" s="532"/>
      <c r="F274" s="532"/>
      <c r="G274" s="532"/>
      <c r="H274" s="533"/>
      <c r="I274" s="533"/>
      <c r="J274" s="533"/>
      <c r="K274" s="533"/>
      <c r="L274" s="533"/>
      <c r="M274" s="533"/>
      <c r="N274" s="533"/>
      <c r="O274" s="533"/>
      <c r="P274" s="531">
        <v>0</v>
      </c>
      <c r="Q274" s="534">
        <v>0</v>
      </c>
      <c r="R274" s="535">
        <v>0</v>
      </c>
      <c r="S274" s="534">
        <v>0</v>
      </c>
      <c r="T274" s="419"/>
      <c r="U274" s="451"/>
      <c r="V274" s="405"/>
    </row>
    <row r="275" spans="1:22" x14ac:dyDescent="0.3">
      <c r="A275" s="428"/>
      <c r="B275" s="531" t="s">
        <v>174</v>
      </c>
      <c r="C275" s="532"/>
      <c r="D275" s="532"/>
      <c r="E275" s="532"/>
      <c r="F275" s="532"/>
      <c r="G275" s="532"/>
      <c r="H275" s="533"/>
      <c r="I275" s="533"/>
      <c r="J275" s="533"/>
      <c r="K275" s="533"/>
      <c r="L275" s="533"/>
      <c r="M275" s="533"/>
      <c r="N275" s="533"/>
      <c r="O275" s="533"/>
      <c r="P275" s="531">
        <v>0</v>
      </c>
      <c r="Q275" s="534">
        <v>0</v>
      </c>
      <c r="R275" s="535">
        <v>0</v>
      </c>
      <c r="S275" s="534">
        <v>0</v>
      </c>
      <c r="T275" s="419"/>
      <c r="U275" s="451"/>
      <c r="V275" s="405"/>
    </row>
    <row r="276" spans="1:22" x14ac:dyDescent="0.3">
      <c r="A276" s="428"/>
      <c r="B276" s="531" t="s">
        <v>175</v>
      </c>
      <c r="C276" s="532"/>
      <c r="D276" s="532"/>
      <c r="E276" s="532"/>
      <c r="F276" s="532"/>
      <c r="G276" s="532"/>
      <c r="H276" s="533"/>
      <c r="I276" s="533"/>
      <c r="J276" s="533"/>
      <c r="K276" s="533"/>
      <c r="L276" s="533"/>
      <c r="M276" s="533"/>
      <c r="N276" s="533"/>
      <c r="O276" s="533"/>
      <c r="P276" s="531">
        <v>0</v>
      </c>
      <c r="Q276" s="534">
        <v>0</v>
      </c>
      <c r="R276" s="535">
        <v>0</v>
      </c>
      <c r="S276" s="534">
        <v>0</v>
      </c>
      <c r="T276" s="419"/>
      <c r="U276" s="451"/>
      <c r="V276" s="405"/>
    </row>
    <row r="277" spans="1:22" x14ac:dyDescent="0.3">
      <c r="A277" s="428"/>
      <c r="B277" s="531"/>
      <c r="C277" s="532"/>
      <c r="D277" s="532"/>
      <c r="E277" s="532"/>
      <c r="F277" s="532"/>
      <c r="G277" s="532"/>
      <c r="H277" s="533"/>
      <c r="I277" s="533"/>
      <c r="J277" s="533"/>
      <c r="K277" s="533"/>
      <c r="L277" s="533"/>
      <c r="M277" s="533"/>
      <c r="N277" s="533"/>
      <c r="O277" s="533"/>
      <c r="P277" s="531"/>
      <c r="Q277" s="534"/>
      <c r="R277" s="535"/>
      <c r="S277" s="534"/>
      <c r="T277" s="419"/>
      <c r="U277" s="451"/>
      <c r="V277" s="405"/>
    </row>
    <row r="278" spans="1:22" x14ac:dyDescent="0.3">
      <c r="A278" s="428"/>
      <c r="B278" s="532" t="s">
        <v>123</v>
      </c>
      <c r="C278" s="532"/>
      <c r="D278" s="532"/>
      <c r="E278" s="532"/>
      <c r="F278" s="532"/>
      <c r="G278" s="532"/>
      <c r="H278" s="533"/>
      <c r="I278" s="533"/>
      <c r="J278" s="533"/>
      <c r="K278" s="533"/>
      <c r="L278" s="533"/>
      <c r="M278" s="533"/>
      <c r="N278" s="533"/>
      <c r="O278" s="533"/>
      <c r="P278" s="531">
        <f>SUM(P269:P276)</f>
        <v>0</v>
      </c>
      <c r="Q278" s="534">
        <f>SUM(Q269:Q276)</f>
        <v>0</v>
      </c>
      <c r="R278" s="535">
        <f>SUM(R269:R276)</f>
        <v>0</v>
      </c>
      <c r="S278" s="534">
        <f>SUM(S269:S276)</f>
        <v>0</v>
      </c>
      <c r="T278" s="419"/>
      <c r="U278" s="451"/>
      <c r="V278" s="405"/>
    </row>
    <row r="279" spans="1:22" x14ac:dyDescent="0.3">
      <c r="A279" s="428"/>
      <c r="B279" s="532"/>
      <c r="C279" s="532"/>
      <c r="D279" s="532"/>
      <c r="E279" s="532"/>
      <c r="F279" s="532"/>
      <c r="G279" s="532"/>
      <c r="H279" s="533"/>
      <c r="I279" s="533"/>
      <c r="J279" s="533"/>
      <c r="K279" s="533"/>
      <c r="L279" s="533"/>
      <c r="M279" s="533"/>
      <c r="N279" s="533"/>
      <c r="O279" s="533"/>
      <c r="P279" s="531"/>
      <c r="Q279" s="534"/>
      <c r="R279" s="535"/>
      <c r="S279" s="534"/>
      <c r="T279" s="419"/>
      <c r="U279" s="451"/>
      <c r="V279" s="405"/>
    </row>
    <row r="280" spans="1:22" x14ac:dyDescent="0.3">
      <c r="A280" s="428"/>
      <c r="B280" s="536" t="s">
        <v>180</v>
      </c>
      <c r="C280" s="532"/>
      <c r="D280" s="532"/>
      <c r="E280" s="532"/>
      <c r="F280" s="532"/>
      <c r="G280" s="532"/>
      <c r="H280" s="533"/>
      <c r="I280" s="533"/>
      <c r="J280" s="533"/>
      <c r="K280" s="533"/>
      <c r="L280" s="533"/>
      <c r="M280" s="533"/>
      <c r="N280" s="533"/>
      <c r="O280" s="533"/>
      <c r="P280" s="537">
        <f>+P254+P266+P278</f>
        <v>1781</v>
      </c>
      <c r="Q280" s="534"/>
      <c r="R280" s="538">
        <f>+R278+R266+R254</f>
        <v>216998</v>
      </c>
      <c r="S280" s="534"/>
      <c r="T280" s="419"/>
      <c r="U280" s="451"/>
      <c r="V280" s="405"/>
    </row>
    <row r="281" spans="1:22" x14ac:dyDescent="0.3">
      <c r="A281" s="430"/>
      <c r="B281" s="539"/>
      <c r="C281" s="539"/>
      <c r="D281" s="539"/>
      <c r="E281" s="539"/>
      <c r="F281" s="539"/>
      <c r="G281" s="539"/>
      <c r="H281" s="540"/>
      <c r="I281" s="540"/>
      <c r="J281" s="540"/>
      <c r="K281" s="540"/>
      <c r="L281" s="540"/>
      <c r="M281" s="540"/>
      <c r="N281" s="540"/>
      <c r="O281" s="540"/>
      <c r="P281" s="540"/>
      <c r="Q281" s="540"/>
      <c r="R281" s="541"/>
      <c r="S281" s="540"/>
      <c r="T281" s="431"/>
      <c r="U281" s="444"/>
      <c r="V281" s="405"/>
    </row>
    <row r="282" spans="1:22" x14ac:dyDescent="0.3">
      <c r="A282" s="430"/>
      <c r="B282" s="542"/>
      <c r="C282" s="542"/>
      <c r="D282" s="542"/>
      <c r="E282" s="542"/>
      <c r="F282" s="542"/>
      <c r="G282" s="542"/>
      <c r="H282" s="543"/>
      <c r="I282" s="543"/>
      <c r="J282" s="543"/>
      <c r="K282" s="543"/>
      <c r="L282" s="543"/>
      <c r="M282" s="543"/>
      <c r="N282" s="543"/>
      <c r="O282" s="543"/>
      <c r="P282" s="543"/>
      <c r="Q282" s="543"/>
      <c r="R282" s="544"/>
      <c r="S282" s="543"/>
      <c r="T282" s="434"/>
      <c r="U282" s="409"/>
      <c r="V282" s="405"/>
    </row>
    <row r="283" spans="1:22" x14ac:dyDescent="0.3">
      <c r="A283" s="430"/>
      <c r="B283" s="545" t="s">
        <v>97</v>
      </c>
      <c r="C283" s="542"/>
      <c r="D283" s="542"/>
      <c r="E283" s="542"/>
      <c r="F283" s="546" t="s">
        <v>103</v>
      </c>
      <c r="G283" s="542"/>
      <c r="H283" s="545" t="s">
        <v>105</v>
      </c>
      <c r="I283" s="542"/>
      <c r="J283" s="542"/>
      <c r="K283" s="542"/>
      <c r="L283" s="542"/>
      <c r="M283" s="542"/>
      <c r="N283" s="542"/>
      <c r="O283" s="542"/>
      <c r="P283" s="542"/>
      <c r="Q283" s="542"/>
      <c r="R283" s="542"/>
      <c r="S283" s="542"/>
      <c r="T283" s="434"/>
      <c r="U283" s="409"/>
      <c r="V283" s="405"/>
    </row>
    <row r="284" spans="1:22" x14ac:dyDescent="0.3">
      <c r="A284" s="430"/>
      <c r="B284" s="542"/>
      <c r="C284" s="542"/>
      <c r="D284" s="542"/>
      <c r="E284" s="542"/>
      <c r="F284" s="542"/>
      <c r="G284" s="542"/>
      <c r="H284" s="542"/>
      <c r="I284" s="542"/>
      <c r="J284" s="542"/>
      <c r="K284" s="542"/>
      <c r="L284" s="542"/>
      <c r="M284" s="542"/>
      <c r="N284" s="542"/>
      <c r="O284" s="542"/>
      <c r="P284" s="542"/>
      <c r="Q284" s="542"/>
      <c r="R284" s="542"/>
      <c r="S284" s="542"/>
      <c r="T284" s="434"/>
      <c r="U284" s="409"/>
      <c r="V284" s="405"/>
    </row>
    <row r="285" spans="1:22" x14ac:dyDescent="0.3">
      <c r="A285" s="430"/>
      <c r="B285" s="545" t="s">
        <v>323</v>
      </c>
      <c r="C285" s="545"/>
      <c r="D285" s="545"/>
      <c r="E285" s="545"/>
      <c r="F285" s="547" t="s">
        <v>274</v>
      </c>
      <c r="G285" s="545"/>
      <c r="H285" s="501" t="s">
        <v>348</v>
      </c>
      <c r="I285" s="542"/>
      <c r="J285" s="542"/>
      <c r="K285" s="542"/>
      <c r="L285" s="542"/>
      <c r="M285" s="542"/>
      <c r="N285" s="542"/>
      <c r="O285" s="542"/>
      <c r="P285" s="542"/>
      <c r="Q285" s="542"/>
      <c r="R285" s="542"/>
      <c r="S285" s="542"/>
      <c r="T285" s="434"/>
      <c r="U285" s="409"/>
      <c r="V285" s="405"/>
    </row>
    <row r="286" spans="1:22" x14ac:dyDescent="0.3">
      <c r="A286" s="430"/>
      <c r="B286" s="545" t="s">
        <v>324</v>
      </c>
      <c r="C286" s="545"/>
      <c r="D286" s="545"/>
      <c r="E286" s="545"/>
      <c r="F286" s="547" t="s">
        <v>158</v>
      </c>
      <c r="G286" s="545"/>
      <c r="H286" s="501" t="s">
        <v>349</v>
      </c>
      <c r="I286" s="542"/>
      <c r="J286" s="542"/>
      <c r="K286" s="542"/>
      <c r="L286" s="542"/>
      <c r="M286" s="542"/>
      <c r="N286" s="542"/>
      <c r="O286" s="542"/>
      <c r="P286" s="542"/>
      <c r="Q286" s="542"/>
      <c r="R286" s="542"/>
      <c r="S286" s="542"/>
      <c r="T286" s="434"/>
      <c r="U286" s="409"/>
      <c r="V286" s="405"/>
    </row>
    <row r="287" spans="1:22" x14ac:dyDescent="0.3">
      <c r="A287" s="430"/>
      <c r="B287" s="545"/>
      <c r="C287" s="545"/>
      <c r="D287" s="545"/>
      <c r="E287" s="545"/>
      <c r="F287" s="545"/>
      <c r="G287" s="545"/>
      <c r="H287" s="542"/>
      <c r="I287" s="542"/>
      <c r="J287" s="542"/>
      <c r="K287" s="542"/>
      <c r="L287" s="542"/>
      <c r="M287" s="542"/>
      <c r="N287" s="542"/>
      <c r="O287" s="542"/>
      <c r="P287" s="542"/>
      <c r="Q287" s="542"/>
      <c r="R287" s="542"/>
      <c r="S287" s="542"/>
      <c r="T287" s="434"/>
      <c r="U287" s="409"/>
      <c r="V287" s="405"/>
    </row>
    <row r="288" spans="1:22" x14ac:dyDescent="0.3">
      <c r="A288" s="407"/>
      <c r="B288" s="545"/>
      <c r="C288" s="545"/>
      <c r="D288" s="545"/>
      <c r="E288" s="545"/>
      <c r="F288" s="545"/>
      <c r="G288" s="545"/>
      <c r="H288" s="542"/>
      <c r="I288" s="542"/>
      <c r="J288" s="542"/>
      <c r="K288" s="542"/>
      <c r="L288" s="542"/>
      <c r="M288" s="542"/>
      <c r="N288" s="542"/>
      <c r="O288" s="542"/>
      <c r="P288" s="542"/>
      <c r="Q288" s="542"/>
      <c r="R288" s="542"/>
      <c r="S288" s="542"/>
      <c r="T288" s="409"/>
      <c r="U288" s="409"/>
      <c r="V288" s="405"/>
    </row>
    <row r="289" spans="1:22" ht="18.600000000000001" thickBot="1" x14ac:dyDescent="0.4">
      <c r="A289" s="407"/>
      <c r="B289" s="548" t="str">
        <f>B195</f>
        <v>PM9 INVESTOR REPORT QUARTER ENDING OCTOBER 2018</v>
      </c>
      <c r="C289" s="545"/>
      <c r="D289" s="545"/>
      <c r="E289" s="545"/>
      <c r="F289" s="545"/>
      <c r="G289" s="545"/>
      <c r="H289" s="542"/>
      <c r="I289" s="542"/>
      <c r="J289" s="542"/>
      <c r="K289" s="542"/>
      <c r="L289" s="542"/>
      <c r="M289" s="542"/>
      <c r="N289" s="542"/>
      <c r="O289" s="542"/>
      <c r="P289" s="542"/>
      <c r="Q289" s="542"/>
      <c r="R289" s="542"/>
      <c r="S289" s="542"/>
      <c r="T289" s="409"/>
      <c r="U289" s="409"/>
      <c r="V289" s="405"/>
    </row>
    <row r="290" spans="1:22" x14ac:dyDescent="0.3">
      <c r="A290" s="502"/>
      <c r="B290" s="502"/>
      <c r="C290" s="502"/>
      <c r="D290" s="502"/>
      <c r="E290" s="502"/>
      <c r="F290" s="502"/>
      <c r="G290" s="502"/>
      <c r="H290" s="502"/>
      <c r="I290" s="502"/>
      <c r="J290" s="502"/>
      <c r="K290" s="502"/>
      <c r="L290" s="502"/>
      <c r="M290" s="502"/>
      <c r="N290" s="502"/>
      <c r="O290" s="502"/>
      <c r="P290" s="502"/>
      <c r="Q290" s="502"/>
      <c r="R290" s="502"/>
      <c r="S290" s="502"/>
      <c r="T290" s="502"/>
      <c r="U290" s="502"/>
    </row>
  </sheetData>
  <hyperlinks>
    <hyperlink ref="J9" r:id="rId1" xr:uid="{00000000-0004-0000-3400-000000000000}"/>
    <hyperlink ref="N230" r:id="rId2" xr:uid="{00000000-0004-0000-3400-000001000000}"/>
  </hyperlinks>
  <printOptions horizontalCentered="1" verticalCentered="1"/>
  <pageMargins left="0.19685039370078741" right="0.19685039370078741" top="0.27559055118110237" bottom="0.27559055118110237" header="0" footer="0"/>
  <pageSetup scale="40" orientation="landscape" r:id="rId3"/>
  <headerFooter alignWithMargins="0"/>
  <rowBreaks count="3" manualBreakCount="3">
    <brk id="61" max="20" man="1"/>
    <brk id="134" max="20" man="1"/>
    <brk id="195" max="20" man="1"/>
  </rowBreaks>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2D2926"/>
  </sheetPr>
  <dimension ref="A1:W290"/>
  <sheetViews>
    <sheetView showGridLines="0" showOutlineSymbols="0" zoomScale="70" zoomScaleNormal="70" workbookViewId="0"/>
  </sheetViews>
  <sheetFormatPr defaultColWidth="9.6328125" defaultRowHeight="15.6" x14ac:dyDescent="0.3"/>
  <cols>
    <col min="1" max="1" width="4" style="406" customWidth="1"/>
    <col min="2" max="2" width="71.1796875" style="406" customWidth="1"/>
    <col min="3" max="3" width="2.1796875" style="406" customWidth="1"/>
    <col min="4" max="4" width="19.36328125" style="406" customWidth="1"/>
    <col min="5" max="5" width="2.1796875" style="406" customWidth="1"/>
    <col min="6" max="6" width="25.08984375" style="406" customWidth="1"/>
    <col min="7" max="7" width="2.1796875" style="406" customWidth="1"/>
    <col min="8" max="8" width="16.1796875" style="406" customWidth="1"/>
    <col min="9" max="9" width="2.1796875" style="406" customWidth="1"/>
    <col min="10" max="10" width="17.90625" style="406" customWidth="1"/>
    <col min="11" max="11" width="2.36328125" style="406" customWidth="1"/>
    <col min="12" max="12" width="14.90625" style="406" customWidth="1"/>
    <col min="13" max="13" width="2.36328125" style="406" customWidth="1"/>
    <col min="14" max="14" width="15.54296875" style="406" customWidth="1"/>
    <col min="15" max="15" width="2.1796875" style="406" customWidth="1"/>
    <col min="16" max="16" width="15.54296875" style="406" customWidth="1"/>
    <col min="17" max="18" width="12.6328125" style="406" customWidth="1"/>
    <col min="19" max="19" width="9.6328125" style="406" customWidth="1"/>
    <col min="20" max="20" width="14.6328125" style="406" customWidth="1"/>
    <col min="21" max="21" width="11.81640625" style="406" customWidth="1"/>
    <col min="22" max="16384" width="9.6328125" style="406"/>
  </cols>
  <sheetData>
    <row r="1" spans="1:22" ht="21" x14ac:dyDescent="0.4">
      <c r="A1" s="403"/>
      <c r="B1" s="602" t="s">
        <v>181</v>
      </c>
      <c r="C1" s="404" t="s">
        <v>263</v>
      </c>
      <c r="D1" s="404"/>
      <c r="E1" s="404"/>
      <c r="F1" s="404"/>
      <c r="G1" s="404"/>
      <c r="H1" s="404"/>
      <c r="I1" s="404"/>
      <c r="J1" s="404"/>
      <c r="K1" s="404"/>
      <c r="L1" s="404"/>
      <c r="M1" s="404"/>
      <c r="N1" s="404"/>
      <c r="O1" s="404"/>
      <c r="P1" s="404"/>
      <c r="Q1" s="404"/>
      <c r="R1" s="404"/>
      <c r="S1" s="404"/>
      <c r="T1" s="404"/>
      <c r="U1" s="404"/>
      <c r="V1" s="405"/>
    </row>
    <row r="2" spans="1:22" x14ac:dyDescent="0.3">
      <c r="A2" s="407"/>
      <c r="B2" s="408"/>
      <c r="C2" s="409"/>
      <c r="D2" s="409"/>
      <c r="E2" s="409"/>
      <c r="F2" s="409"/>
      <c r="G2" s="409"/>
      <c r="H2" s="409"/>
      <c r="I2" s="409"/>
      <c r="J2" s="409"/>
      <c r="K2" s="409"/>
      <c r="L2" s="409"/>
      <c r="M2" s="409"/>
      <c r="N2" s="409"/>
      <c r="O2" s="409"/>
      <c r="P2" s="409"/>
      <c r="Q2" s="409"/>
      <c r="R2" s="409"/>
      <c r="S2" s="409"/>
      <c r="T2" s="409"/>
      <c r="U2" s="409"/>
      <c r="V2" s="405"/>
    </row>
    <row r="3" spans="1:22" x14ac:dyDescent="0.3">
      <c r="A3" s="410"/>
      <c r="B3" s="411" t="s">
        <v>182</v>
      </c>
      <c r="C3" s="409"/>
      <c r="D3" s="409"/>
      <c r="E3" s="409"/>
      <c r="F3" s="409"/>
      <c r="G3" s="409"/>
      <c r="H3" s="409"/>
      <c r="I3" s="409"/>
      <c r="J3" s="409"/>
      <c r="K3" s="409"/>
      <c r="L3" s="409"/>
      <c r="M3" s="409"/>
      <c r="N3" s="409"/>
      <c r="O3" s="409"/>
      <c r="P3" s="409"/>
      <c r="Q3" s="409"/>
      <c r="R3" s="409"/>
      <c r="S3" s="409"/>
      <c r="T3" s="409"/>
      <c r="U3" s="409"/>
      <c r="V3" s="405"/>
    </row>
    <row r="4" spans="1:22" x14ac:dyDescent="0.3">
      <c r="A4" s="407"/>
      <c r="B4" s="408"/>
      <c r="C4" s="409"/>
      <c r="D4" s="409"/>
      <c r="E4" s="409"/>
      <c r="F4" s="409"/>
      <c r="G4" s="409"/>
      <c r="H4" s="409"/>
      <c r="I4" s="409"/>
      <c r="J4" s="409"/>
      <c r="K4" s="409"/>
      <c r="L4" s="409"/>
      <c r="M4" s="409"/>
      <c r="N4" s="409"/>
      <c r="O4" s="409"/>
      <c r="P4" s="409"/>
      <c r="Q4" s="409"/>
      <c r="R4" s="409"/>
      <c r="S4" s="409"/>
      <c r="T4" s="409"/>
      <c r="U4" s="409"/>
      <c r="V4" s="405"/>
    </row>
    <row r="5" spans="1:22" x14ac:dyDescent="0.3">
      <c r="A5" s="407"/>
      <c r="B5" s="601" t="s">
        <v>146</v>
      </c>
      <c r="C5" s="409"/>
      <c r="D5" s="409"/>
      <c r="E5" s="409"/>
      <c r="F5" s="409"/>
      <c r="G5" s="409"/>
      <c r="H5" s="409"/>
      <c r="I5" s="409"/>
      <c r="J5" s="409"/>
      <c r="K5" s="409"/>
      <c r="L5" s="409"/>
      <c r="M5" s="409"/>
      <c r="N5" s="409"/>
      <c r="O5" s="409"/>
      <c r="P5" s="409"/>
      <c r="Q5" s="409"/>
      <c r="R5" s="409"/>
      <c r="S5" s="409"/>
      <c r="T5" s="409"/>
      <c r="U5" s="409"/>
      <c r="V5" s="405"/>
    </row>
    <row r="6" spans="1:22" x14ac:dyDescent="0.3">
      <c r="A6" s="407"/>
      <c r="B6" s="601" t="s">
        <v>148</v>
      </c>
      <c r="C6" s="409"/>
      <c r="D6" s="409"/>
      <c r="E6" s="409"/>
      <c r="F6" s="409"/>
      <c r="G6" s="409"/>
      <c r="H6" s="409"/>
      <c r="I6" s="409"/>
      <c r="J6" s="409"/>
      <c r="K6" s="409"/>
      <c r="L6" s="409"/>
      <c r="M6" s="409"/>
      <c r="N6" s="409"/>
      <c r="O6" s="409"/>
      <c r="P6" s="409"/>
      <c r="Q6" s="409"/>
      <c r="R6" s="409"/>
      <c r="S6" s="409"/>
      <c r="T6" s="409"/>
      <c r="U6" s="409"/>
      <c r="V6" s="405"/>
    </row>
    <row r="7" spans="1:22" x14ac:dyDescent="0.3">
      <c r="A7" s="407"/>
      <c r="B7" s="601" t="s">
        <v>147</v>
      </c>
      <c r="C7" s="409"/>
      <c r="D7" s="409"/>
      <c r="E7" s="409"/>
      <c r="F7" s="409"/>
      <c r="G7" s="409"/>
      <c r="H7" s="409"/>
      <c r="I7" s="409"/>
      <c r="J7" s="409"/>
      <c r="K7" s="409"/>
      <c r="L7" s="409"/>
      <c r="M7" s="409"/>
      <c r="N7" s="409"/>
      <c r="O7" s="409"/>
      <c r="P7" s="409"/>
      <c r="Q7" s="409"/>
      <c r="R7" s="409"/>
      <c r="S7" s="409"/>
      <c r="T7" s="409"/>
      <c r="U7" s="409"/>
      <c r="V7" s="405"/>
    </row>
    <row r="8" spans="1:22" x14ac:dyDescent="0.3">
      <c r="A8" s="407"/>
      <c r="B8" s="412"/>
      <c r="C8" s="409"/>
      <c r="D8" s="409"/>
      <c r="E8" s="409"/>
      <c r="F8" s="409"/>
      <c r="G8" s="409"/>
      <c r="H8" s="409"/>
      <c r="I8" s="409"/>
      <c r="J8" s="409"/>
      <c r="K8" s="409"/>
      <c r="L8" s="409"/>
      <c r="M8" s="409"/>
      <c r="N8" s="409"/>
      <c r="O8" s="409"/>
      <c r="P8" s="409"/>
      <c r="Q8" s="409"/>
      <c r="R8" s="409"/>
      <c r="S8" s="409"/>
      <c r="T8" s="409"/>
      <c r="U8" s="409"/>
      <c r="V8" s="405"/>
    </row>
    <row r="9" spans="1:22" ht="18" x14ac:dyDescent="0.35">
      <c r="A9" s="407"/>
      <c r="B9" s="413" t="s">
        <v>206</v>
      </c>
      <c r="C9" s="409"/>
      <c r="D9" s="409"/>
      <c r="E9" s="409"/>
      <c r="F9" s="409"/>
      <c r="G9" s="409"/>
      <c r="H9" s="409"/>
      <c r="I9" s="409"/>
      <c r="J9" s="414" t="s">
        <v>347</v>
      </c>
      <c r="K9" s="409"/>
      <c r="L9" s="409"/>
      <c r="M9" s="409"/>
      <c r="N9" s="409"/>
      <c r="O9" s="409"/>
      <c r="P9" s="409"/>
      <c r="Q9" s="409"/>
      <c r="R9" s="409"/>
      <c r="S9" s="409"/>
      <c r="T9" s="409"/>
      <c r="U9" s="409"/>
      <c r="V9" s="405"/>
    </row>
    <row r="10" spans="1:22" x14ac:dyDescent="0.3">
      <c r="A10" s="407"/>
      <c r="B10" s="412"/>
      <c r="C10" s="415"/>
      <c r="D10" s="415"/>
      <c r="E10" s="415"/>
      <c r="F10" s="409"/>
      <c r="G10" s="409"/>
      <c r="H10" s="409"/>
      <c r="I10" s="409"/>
      <c r="J10" s="409"/>
      <c r="K10" s="409"/>
      <c r="L10" s="409"/>
      <c r="M10" s="409"/>
      <c r="N10" s="409"/>
      <c r="O10" s="409"/>
      <c r="P10" s="409"/>
      <c r="Q10" s="409"/>
      <c r="R10" s="409"/>
      <c r="S10" s="409"/>
      <c r="T10" s="409"/>
      <c r="U10" s="409"/>
      <c r="V10" s="405"/>
    </row>
    <row r="11" spans="1:22" x14ac:dyDescent="0.3">
      <c r="A11" s="407"/>
      <c r="B11" s="545" t="s">
        <v>0</v>
      </c>
      <c r="C11" s="542"/>
      <c r="D11" s="542"/>
      <c r="E11" s="542"/>
      <c r="F11" s="542"/>
      <c r="G11" s="542"/>
      <c r="H11" s="542"/>
      <c r="I11" s="542"/>
      <c r="J11" s="542"/>
      <c r="K11" s="542"/>
      <c r="L11" s="542"/>
      <c r="M11" s="542"/>
      <c r="N11" s="542"/>
      <c r="O11" s="542"/>
      <c r="P11" s="542"/>
      <c r="Q11" s="542"/>
      <c r="R11" s="542"/>
      <c r="S11" s="542"/>
      <c r="T11" s="542"/>
      <c r="U11" s="409"/>
      <c r="V11" s="405"/>
    </row>
    <row r="12" spans="1:22" ht="16.2" thickBot="1" x14ac:dyDescent="0.35">
      <c r="A12" s="407"/>
      <c r="B12" s="545"/>
      <c r="C12" s="542"/>
      <c r="D12" s="542"/>
      <c r="E12" s="542"/>
      <c r="F12" s="542"/>
      <c r="G12" s="542"/>
      <c r="H12" s="542"/>
      <c r="I12" s="542"/>
      <c r="J12" s="542"/>
      <c r="K12" s="542"/>
      <c r="L12" s="542"/>
      <c r="M12" s="542"/>
      <c r="N12" s="542"/>
      <c r="O12" s="542"/>
      <c r="P12" s="542"/>
      <c r="Q12" s="542"/>
      <c r="R12" s="542"/>
      <c r="S12" s="542"/>
      <c r="T12" s="542"/>
      <c r="U12" s="409"/>
      <c r="V12" s="405"/>
    </row>
    <row r="13" spans="1:22" x14ac:dyDescent="0.3">
      <c r="A13" s="403"/>
      <c r="B13" s="593"/>
      <c r="C13" s="593"/>
      <c r="D13" s="593"/>
      <c r="E13" s="593"/>
      <c r="F13" s="593"/>
      <c r="G13" s="593"/>
      <c r="H13" s="593"/>
      <c r="I13" s="593"/>
      <c r="J13" s="593"/>
      <c r="K13" s="593"/>
      <c r="L13" s="593"/>
      <c r="M13" s="593"/>
      <c r="N13" s="593"/>
      <c r="O13" s="593"/>
      <c r="P13" s="593"/>
      <c r="Q13" s="593"/>
      <c r="R13" s="593"/>
      <c r="S13" s="593"/>
      <c r="T13" s="593"/>
      <c r="U13" s="404"/>
      <c r="V13" s="405"/>
    </row>
    <row r="14" spans="1:22" x14ac:dyDescent="0.3">
      <c r="A14" s="407"/>
      <c r="B14" s="545" t="s">
        <v>1</v>
      </c>
      <c r="C14" s="542"/>
      <c r="D14" s="542"/>
      <c r="E14" s="542"/>
      <c r="F14" s="542"/>
      <c r="G14" s="542"/>
      <c r="H14" s="542"/>
      <c r="I14" s="542"/>
      <c r="J14" s="542"/>
      <c r="K14" s="542"/>
      <c r="L14" s="542"/>
      <c r="M14" s="542"/>
      <c r="N14" s="542"/>
      <c r="O14" s="542"/>
      <c r="P14" s="542"/>
      <c r="Q14" s="542"/>
      <c r="R14" s="542"/>
      <c r="S14" s="542"/>
      <c r="T14" s="594" t="s">
        <v>183</v>
      </c>
      <c r="U14" s="416"/>
      <c r="V14" s="405"/>
    </row>
    <row r="15" spans="1:22" x14ac:dyDescent="0.3">
      <c r="A15" s="407"/>
      <c r="B15" s="545" t="s">
        <v>2</v>
      </c>
      <c r="C15" s="542"/>
      <c r="D15" s="542"/>
      <c r="E15" s="542"/>
      <c r="F15" s="542"/>
      <c r="G15" s="542"/>
      <c r="H15" s="595"/>
      <c r="I15" s="595"/>
      <c r="J15" s="595"/>
      <c r="K15" s="595"/>
      <c r="L15" s="595"/>
      <c r="M15" s="595"/>
      <c r="N15" s="595"/>
      <c r="O15" s="595"/>
      <c r="P15" s="595" t="s">
        <v>110</v>
      </c>
      <c r="Q15" s="596">
        <v>0.59430000000000005</v>
      </c>
      <c r="R15" s="546" t="s">
        <v>149</v>
      </c>
      <c r="S15" s="596">
        <v>0.40570000000000001</v>
      </c>
      <c r="T15" s="594"/>
      <c r="U15" s="416"/>
      <c r="V15" s="405"/>
    </row>
    <row r="16" spans="1:22" x14ac:dyDescent="0.3">
      <c r="A16" s="407"/>
      <c r="B16" s="545" t="s">
        <v>3</v>
      </c>
      <c r="C16" s="542"/>
      <c r="D16" s="542"/>
      <c r="E16" s="542"/>
      <c r="F16" s="542"/>
      <c r="G16" s="542"/>
      <c r="H16" s="595"/>
      <c r="I16" s="595"/>
      <c r="J16" s="595"/>
      <c r="K16" s="595"/>
      <c r="L16" s="595"/>
      <c r="M16" s="595"/>
      <c r="N16" s="595"/>
      <c r="O16" s="595"/>
      <c r="P16" s="595" t="s">
        <v>110</v>
      </c>
      <c r="Q16" s="596">
        <v>0.73350000000000004</v>
      </c>
      <c r="R16" s="546" t="s">
        <v>149</v>
      </c>
      <c r="S16" s="596">
        <v>0.26650000000000001</v>
      </c>
      <c r="T16" s="594"/>
      <c r="U16" s="416"/>
      <c r="V16" s="405"/>
    </row>
    <row r="17" spans="1:22" x14ac:dyDescent="0.3">
      <c r="A17" s="407"/>
      <c r="B17" s="545" t="s">
        <v>4</v>
      </c>
      <c r="C17" s="542"/>
      <c r="D17" s="542"/>
      <c r="E17" s="542"/>
      <c r="F17" s="542"/>
      <c r="G17" s="542"/>
      <c r="H17" s="542"/>
      <c r="I17" s="542"/>
      <c r="J17" s="542"/>
      <c r="K17" s="542"/>
      <c r="L17" s="542"/>
      <c r="M17" s="542"/>
      <c r="N17" s="542"/>
      <c r="O17" s="542"/>
      <c r="P17" s="542"/>
      <c r="Q17" s="597"/>
      <c r="R17" s="542"/>
      <c r="S17" s="542"/>
      <c r="T17" s="598">
        <v>38552</v>
      </c>
      <c r="U17" s="416"/>
      <c r="V17" s="405"/>
    </row>
    <row r="18" spans="1:22" x14ac:dyDescent="0.3">
      <c r="A18" s="407"/>
      <c r="B18" s="545" t="s">
        <v>5</v>
      </c>
      <c r="C18" s="542"/>
      <c r="D18" s="542"/>
      <c r="E18" s="542"/>
      <c r="F18" s="542"/>
      <c r="G18" s="542"/>
      <c r="H18" s="542"/>
      <c r="I18" s="542"/>
      <c r="J18" s="542"/>
      <c r="K18" s="542"/>
      <c r="L18" s="542"/>
      <c r="M18" s="542"/>
      <c r="N18" s="542"/>
      <c r="O18" s="542"/>
      <c r="P18" s="542"/>
      <c r="Q18" s="542"/>
      <c r="R18" s="542"/>
      <c r="S18" s="542"/>
      <c r="T18" s="598">
        <v>43511</v>
      </c>
      <c r="U18" s="416"/>
      <c r="V18" s="405"/>
    </row>
    <row r="19" spans="1:22" x14ac:dyDescent="0.3">
      <c r="A19" s="407"/>
      <c r="B19" s="542"/>
      <c r="C19" s="542"/>
      <c r="D19" s="542"/>
      <c r="E19" s="542"/>
      <c r="F19" s="542"/>
      <c r="G19" s="542"/>
      <c r="H19" s="542"/>
      <c r="I19" s="542"/>
      <c r="J19" s="542"/>
      <c r="K19" s="542"/>
      <c r="L19" s="542"/>
      <c r="M19" s="542"/>
      <c r="N19" s="542"/>
      <c r="O19" s="542"/>
      <c r="P19" s="542"/>
      <c r="Q19" s="542"/>
      <c r="R19" s="542"/>
      <c r="S19" s="542"/>
      <c r="T19" s="599"/>
      <c r="U19" s="409"/>
      <c r="V19" s="405"/>
    </row>
    <row r="20" spans="1:22" x14ac:dyDescent="0.3">
      <c r="A20" s="407"/>
      <c r="B20" s="600" t="s">
        <v>6</v>
      </c>
      <c r="C20" s="542"/>
      <c r="D20" s="542"/>
      <c r="E20" s="542"/>
      <c r="F20" s="542"/>
      <c r="G20" s="542"/>
      <c r="H20" s="542"/>
      <c r="I20" s="542"/>
      <c r="J20" s="542"/>
      <c r="K20" s="542"/>
      <c r="L20" s="542"/>
      <c r="M20" s="542"/>
      <c r="N20" s="542"/>
      <c r="O20" s="542"/>
      <c r="P20" s="542"/>
      <c r="Q20" s="542"/>
      <c r="R20" s="599" t="s">
        <v>111</v>
      </c>
      <c r="S20" s="542"/>
      <c r="T20" s="542"/>
      <c r="U20" s="409"/>
      <c r="V20" s="405"/>
    </row>
    <row r="21" spans="1:22" x14ac:dyDescent="0.3">
      <c r="A21" s="407"/>
      <c r="B21" s="409"/>
      <c r="C21" s="409"/>
      <c r="D21" s="409"/>
      <c r="E21" s="409"/>
      <c r="F21" s="409"/>
      <c r="G21" s="409"/>
      <c r="H21" s="409"/>
      <c r="I21" s="409"/>
      <c r="J21" s="409"/>
      <c r="K21" s="409"/>
      <c r="L21" s="409"/>
      <c r="M21" s="409"/>
      <c r="N21" s="409"/>
      <c r="O21" s="409"/>
      <c r="P21" s="409"/>
      <c r="Q21" s="409"/>
      <c r="R21" s="409"/>
      <c r="S21" s="409"/>
      <c r="T21" s="417"/>
      <c r="U21" s="409"/>
      <c r="V21" s="405"/>
    </row>
    <row r="22" spans="1:22" x14ac:dyDescent="0.3">
      <c r="A22" s="503"/>
      <c r="B22" s="608"/>
      <c r="C22" s="609"/>
      <c r="D22" s="609" t="s">
        <v>185</v>
      </c>
      <c r="E22" s="609"/>
      <c r="F22" s="609" t="s">
        <v>186</v>
      </c>
      <c r="G22" s="609"/>
      <c r="H22" s="609" t="s">
        <v>187</v>
      </c>
      <c r="I22" s="609"/>
      <c r="J22" s="609" t="s">
        <v>188</v>
      </c>
      <c r="K22" s="609"/>
      <c r="L22" s="609" t="s">
        <v>189</v>
      </c>
      <c r="M22" s="609"/>
      <c r="N22" s="609" t="s">
        <v>190</v>
      </c>
      <c r="O22" s="609"/>
      <c r="P22" s="609" t="s">
        <v>191</v>
      </c>
      <c r="Q22" s="610"/>
      <c r="R22" s="610"/>
      <c r="S22" s="608"/>
      <c r="T22" s="608"/>
      <c r="U22" s="611"/>
      <c r="V22" s="405"/>
    </row>
    <row r="23" spans="1:22" x14ac:dyDescent="0.3">
      <c r="A23" s="604"/>
      <c r="B23" s="605" t="s">
        <v>7</v>
      </c>
      <c r="C23" s="606"/>
      <c r="D23" s="606" t="s">
        <v>150</v>
      </c>
      <c r="E23" s="606"/>
      <c r="F23" s="606" t="s">
        <v>150</v>
      </c>
      <c r="G23" s="606"/>
      <c r="H23" s="606" t="s">
        <v>150</v>
      </c>
      <c r="I23" s="606"/>
      <c r="J23" s="606" t="s">
        <v>192</v>
      </c>
      <c r="K23" s="606"/>
      <c r="L23" s="606" t="s">
        <v>192</v>
      </c>
      <c r="M23" s="606"/>
      <c r="N23" s="606" t="s">
        <v>151</v>
      </c>
      <c r="O23" s="606"/>
      <c r="P23" s="606" t="s">
        <v>151</v>
      </c>
      <c r="Q23" s="606"/>
      <c r="R23" s="606"/>
      <c r="S23" s="605"/>
      <c r="T23" s="605"/>
      <c r="U23" s="607"/>
      <c r="V23" s="405"/>
    </row>
    <row r="24" spans="1:22" x14ac:dyDescent="0.3">
      <c r="A24" s="418"/>
      <c r="B24" s="532" t="s">
        <v>8</v>
      </c>
      <c r="C24" s="582"/>
      <c r="D24" s="582" t="s">
        <v>152</v>
      </c>
      <c r="E24" s="582"/>
      <c r="F24" s="582" t="s">
        <v>152</v>
      </c>
      <c r="G24" s="582"/>
      <c r="H24" s="582" t="s">
        <v>152</v>
      </c>
      <c r="I24" s="582"/>
      <c r="J24" s="582" t="s">
        <v>193</v>
      </c>
      <c r="K24" s="582"/>
      <c r="L24" s="582" t="s">
        <v>193</v>
      </c>
      <c r="M24" s="582"/>
      <c r="N24" s="582" t="s">
        <v>153</v>
      </c>
      <c r="O24" s="582"/>
      <c r="P24" s="582" t="s">
        <v>153</v>
      </c>
      <c r="Q24" s="582"/>
      <c r="R24" s="582"/>
      <c r="S24" s="532"/>
      <c r="T24" s="532"/>
      <c r="U24" s="420"/>
      <c r="V24" s="405"/>
    </row>
    <row r="25" spans="1:22" x14ac:dyDescent="0.3">
      <c r="A25" s="421"/>
      <c r="B25" s="536" t="s">
        <v>9</v>
      </c>
      <c r="C25" s="583"/>
      <c r="D25" s="583" t="s">
        <v>329</v>
      </c>
      <c r="E25" s="583"/>
      <c r="F25" s="583" t="s">
        <v>329</v>
      </c>
      <c r="G25" s="583"/>
      <c r="H25" s="583" t="s">
        <v>329</v>
      </c>
      <c r="I25" s="583"/>
      <c r="J25" s="583" t="s">
        <v>334</v>
      </c>
      <c r="K25" s="583"/>
      <c r="L25" s="583" t="s">
        <v>334</v>
      </c>
      <c r="M25" s="583"/>
      <c r="N25" s="583" t="s">
        <v>330</v>
      </c>
      <c r="O25" s="583"/>
      <c r="P25" s="583" t="s">
        <v>330</v>
      </c>
      <c r="Q25" s="583"/>
      <c r="R25" s="582"/>
      <c r="S25" s="532"/>
      <c r="T25" s="532"/>
      <c r="U25" s="420"/>
      <c r="V25" s="405"/>
    </row>
    <row r="26" spans="1:22" x14ac:dyDescent="0.3">
      <c r="A26" s="421"/>
      <c r="B26" s="536" t="s">
        <v>10</v>
      </c>
      <c r="C26" s="583"/>
      <c r="D26" s="583" t="s">
        <v>339</v>
      </c>
      <c r="E26" s="583"/>
      <c r="F26" s="583" t="s">
        <v>339</v>
      </c>
      <c r="G26" s="583"/>
      <c r="H26" s="583" t="s">
        <v>339</v>
      </c>
      <c r="I26" s="583"/>
      <c r="J26" s="583" t="s">
        <v>339</v>
      </c>
      <c r="K26" s="583"/>
      <c r="L26" s="583" t="s">
        <v>339</v>
      </c>
      <c r="M26" s="583"/>
      <c r="N26" s="583" t="s">
        <v>339</v>
      </c>
      <c r="O26" s="583"/>
      <c r="P26" s="583" t="s">
        <v>339</v>
      </c>
      <c r="Q26" s="583"/>
      <c r="R26" s="582"/>
      <c r="S26" s="532"/>
      <c r="T26" s="532"/>
      <c r="U26" s="420"/>
      <c r="V26" s="405"/>
    </row>
    <row r="27" spans="1:22" x14ac:dyDescent="0.3">
      <c r="A27" s="418"/>
      <c r="B27" s="532" t="s">
        <v>11</v>
      </c>
      <c r="C27" s="582"/>
      <c r="D27" s="582" t="s">
        <v>194</v>
      </c>
      <c r="E27" s="582"/>
      <c r="F27" s="552" t="s">
        <v>195</v>
      </c>
      <c r="G27" s="582"/>
      <c r="H27" s="582" t="s">
        <v>196</v>
      </c>
      <c r="I27" s="582"/>
      <c r="J27" s="582" t="s">
        <v>198</v>
      </c>
      <c r="K27" s="582"/>
      <c r="L27" s="582" t="s">
        <v>199</v>
      </c>
      <c r="M27" s="582"/>
      <c r="N27" s="582" t="s">
        <v>200</v>
      </c>
      <c r="O27" s="582"/>
      <c r="P27" s="582" t="s">
        <v>201</v>
      </c>
      <c r="Q27" s="582"/>
      <c r="R27" s="552"/>
      <c r="S27" s="532"/>
      <c r="T27" s="532"/>
      <c r="U27" s="420"/>
      <c r="V27" s="405"/>
    </row>
    <row r="28" spans="1:22" x14ac:dyDescent="0.3">
      <c r="A28" s="418"/>
      <c r="B28" s="532" t="s">
        <v>11</v>
      </c>
      <c r="C28" s="582"/>
      <c r="D28" s="582" t="s">
        <v>127</v>
      </c>
      <c r="E28" s="582"/>
      <c r="F28" s="552" t="s">
        <v>127</v>
      </c>
      <c r="G28" s="582"/>
      <c r="H28" s="582" t="s">
        <v>197</v>
      </c>
      <c r="I28" s="582"/>
      <c r="J28" s="582" t="s">
        <v>127</v>
      </c>
      <c r="K28" s="582"/>
      <c r="L28" s="582" t="s">
        <v>127</v>
      </c>
      <c r="M28" s="582"/>
      <c r="N28" s="582" t="s">
        <v>127</v>
      </c>
      <c r="O28" s="582"/>
      <c r="P28" s="582" t="s">
        <v>127</v>
      </c>
      <c r="Q28" s="582"/>
      <c r="R28" s="552"/>
      <c r="S28" s="532"/>
      <c r="T28" s="532"/>
      <c r="U28" s="420"/>
      <c r="V28" s="405"/>
    </row>
    <row r="29" spans="1:22" x14ac:dyDescent="0.3">
      <c r="A29" s="418"/>
      <c r="B29" s="532" t="s">
        <v>142</v>
      </c>
      <c r="C29" s="584"/>
      <c r="D29" s="577">
        <v>346000</v>
      </c>
      <c r="E29" s="584"/>
      <c r="F29" s="585">
        <v>355000</v>
      </c>
      <c r="G29" s="577"/>
      <c r="H29" s="586">
        <v>60000</v>
      </c>
      <c r="I29" s="577"/>
      <c r="J29" s="577">
        <v>7000</v>
      </c>
      <c r="K29" s="577"/>
      <c r="L29" s="585">
        <v>29500</v>
      </c>
      <c r="M29" s="577"/>
      <c r="N29" s="587">
        <v>3000</v>
      </c>
      <c r="O29" s="577"/>
      <c r="P29" s="585">
        <v>66000</v>
      </c>
      <c r="Q29" s="577"/>
      <c r="R29" s="577"/>
      <c r="S29" s="584"/>
      <c r="T29" s="577"/>
      <c r="U29" s="423"/>
      <c r="V29" s="405"/>
    </row>
    <row r="30" spans="1:22" x14ac:dyDescent="0.3">
      <c r="A30" s="418"/>
      <c r="B30" s="532" t="s">
        <v>141</v>
      </c>
      <c r="C30" s="584"/>
      <c r="D30" s="577">
        <f>D29*D36</f>
        <v>94272.751600000003</v>
      </c>
      <c r="E30" s="584"/>
      <c r="F30" s="585">
        <f>F29*F36</f>
        <v>96724.933000000005</v>
      </c>
      <c r="G30" s="577"/>
      <c r="H30" s="586">
        <f>H29*H36</f>
        <v>16347.732</v>
      </c>
      <c r="I30" s="577"/>
      <c r="J30" s="577">
        <f>J29*J36</f>
        <v>4339.9398000000001</v>
      </c>
      <c r="K30" s="577"/>
      <c r="L30" s="585">
        <f>L29*L36</f>
        <v>18289.746299999999</v>
      </c>
      <c r="M30" s="577"/>
      <c r="N30" s="587">
        <f>N29*N36</f>
        <v>1859.9741999999999</v>
      </c>
      <c r="O30" s="577"/>
      <c r="P30" s="585">
        <f>P29*P36</f>
        <v>40919.432399999998</v>
      </c>
      <c r="Q30" s="577"/>
      <c r="R30" s="577"/>
      <c r="S30" s="584"/>
      <c r="T30" s="577"/>
      <c r="U30" s="423"/>
      <c r="V30" s="405"/>
    </row>
    <row r="31" spans="1:22" x14ac:dyDescent="0.3">
      <c r="A31" s="421"/>
      <c r="B31" s="536" t="s">
        <v>143</v>
      </c>
      <c r="C31" s="588"/>
      <c r="D31" s="589">
        <f>D35*D29</f>
        <v>92340.825999999986</v>
      </c>
      <c r="E31" s="588"/>
      <c r="F31" s="590">
        <f>F35*F29</f>
        <v>94742.75499999999</v>
      </c>
      <c r="G31" s="589"/>
      <c r="H31" s="591">
        <f>H35*H29</f>
        <v>16012.716000000002</v>
      </c>
      <c r="I31" s="589"/>
      <c r="J31" s="589">
        <f>J35*J29</f>
        <v>4251.0006000000003</v>
      </c>
      <c r="K31" s="589"/>
      <c r="L31" s="590">
        <f>L35*L29</f>
        <v>17914.931099999998</v>
      </c>
      <c r="M31" s="589"/>
      <c r="N31" s="592">
        <f>N35*N29</f>
        <v>1821.8573999999999</v>
      </c>
      <c r="O31" s="589"/>
      <c r="P31" s="590">
        <f>P35*P29</f>
        <v>40080.862800000003</v>
      </c>
      <c r="Q31" s="589"/>
      <c r="R31" s="589"/>
      <c r="S31" s="588"/>
      <c r="T31" s="589"/>
      <c r="U31" s="423"/>
      <c r="V31" s="405"/>
    </row>
    <row r="32" spans="1:22" x14ac:dyDescent="0.3">
      <c r="A32" s="418"/>
      <c r="B32" s="532" t="s">
        <v>289</v>
      </c>
      <c r="C32" s="584"/>
      <c r="D32" s="577">
        <v>346000</v>
      </c>
      <c r="E32" s="584"/>
      <c r="F32" s="577">
        <v>244500</v>
      </c>
      <c r="G32" s="577"/>
      <c r="H32" s="577">
        <v>33900</v>
      </c>
      <c r="I32" s="577"/>
      <c r="J32" s="577">
        <v>7000</v>
      </c>
      <c r="K32" s="577"/>
      <c r="L32" s="577">
        <v>20300</v>
      </c>
      <c r="M32" s="577"/>
      <c r="N32" s="577">
        <v>3000</v>
      </c>
      <c r="O32" s="577"/>
      <c r="P32" s="577">
        <v>45300</v>
      </c>
      <c r="Q32" s="577"/>
      <c r="R32" s="577"/>
      <c r="S32" s="584"/>
      <c r="T32" s="577">
        <f>SUM(C32:P32)</f>
        <v>700000</v>
      </c>
      <c r="U32" s="423"/>
      <c r="V32" s="405"/>
    </row>
    <row r="33" spans="1:22" x14ac:dyDescent="0.3">
      <c r="A33" s="418"/>
      <c r="B33" s="532" t="s">
        <v>290</v>
      </c>
      <c r="C33" s="584"/>
      <c r="D33" s="577">
        <f>D32*D36</f>
        <v>94272.751600000003</v>
      </c>
      <c r="E33" s="584"/>
      <c r="F33" s="577">
        <f>F32*F36</f>
        <v>66617.594700000001</v>
      </c>
      <c r="G33" s="577"/>
      <c r="H33" s="577">
        <f>H32*H36</f>
        <v>9236.4685799999988</v>
      </c>
      <c r="I33" s="577"/>
      <c r="J33" s="577">
        <f>J32*J36</f>
        <v>4339.9398000000001</v>
      </c>
      <c r="K33" s="577"/>
      <c r="L33" s="577">
        <f>L32*L36</f>
        <v>12585.825419999999</v>
      </c>
      <c r="M33" s="577"/>
      <c r="N33" s="577">
        <f>N32*N36</f>
        <v>1859.9741999999999</v>
      </c>
      <c r="O33" s="577"/>
      <c r="P33" s="577">
        <f>P32*P36</f>
        <v>28085.610419999997</v>
      </c>
      <c r="Q33" s="577"/>
      <c r="R33" s="577"/>
      <c r="S33" s="584"/>
      <c r="T33" s="577">
        <f>SUM(C33:P33)</f>
        <v>216998.16472</v>
      </c>
      <c r="U33" s="423"/>
      <c r="V33" s="405"/>
    </row>
    <row r="34" spans="1:22" x14ac:dyDescent="0.3">
      <c r="A34" s="421"/>
      <c r="B34" s="536" t="s">
        <v>291</v>
      </c>
      <c r="C34" s="588"/>
      <c r="D34" s="589">
        <f>D35*D32</f>
        <v>92340.825999999986</v>
      </c>
      <c r="E34" s="588"/>
      <c r="F34" s="589">
        <f>F35*F32</f>
        <v>65252.404499999997</v>
      </c>
      <c r="G34" s="589"/>
      <c r="H34" s="589">
        <f>H35*H32</f>
        <v>9047.1845400000002</v>
      </c>
      <c r="I34" s="589"/>
      <c r="J34" s="589">
        <f>J35*J32</f>
        <v>4251.0006000000003</v>
      </c>
      <c r="K34" s="589"/>
      <c r="L34" s="589">
        <f>L35*L32</f>
        <v>12327.901739999999</v>
      </c>
      <c r="M34" s="589"/>
      <c r="N34" s="589">
        <f>N35*N32</f>
        <v>1821.8573999999999</v>
      </c>
      <c r="O34" s="589"/>
      <c r="P34" s="589">
        <f>P35*P32</f>
        <v>27510.046739999998</v>
      </c>
      <c r="Q34" s="589"/>
      <c r="R34" s="589"/>
      <c r="S34" s="588"/>
      <c r="T34" s="589">
        <f>SUM(C34:P34)</f>
        <v>212551.22151999996</v>
      </c>
      <c r="U34" s="423"/>
      <c r="V34" s="405"/>
    </row>
    <row r="35" spans="1:22" x14ac:dyDescent="0.3">
      <c r="A35" s="421"/>
      <c r="B35" s="514" t="s">
        <v>139</v>
      </c>
      <c r="C35" s="515"/>
      <c r="D35" s="516">
        <v>0.26688099999999998</v>
      </c>
      <c r="E35" s="517"/>
      <c r="F35" s="516">
        <v>0.26688099999999998</v>
      </c>
      <c r="G35" s="516"/>
      <c r="H35" s="516">
        <v>0.26687860000000002</v>
      </c>
      <c r="I35" s="518"/>
      <c r="J35" s="516">
        <v>0.60728579999999999</v>
      </c>
      <c r="K35" s="516"/>
      <c r="L35" s="516">
        <v>0.60728579999999999</v>
      </c>
      <c r="M35" s="518"/>
      <c r="N35" s="516">
        <v>0.60728579999999999</v>
      </c>
      <c r="O35" s="516"/>
      <c r="P35" s="516">
        <v>0.60728579999999999</v>
      </c>
      <c r="Q35" s="424"/>
      <c r="R35" s="424"/>
      <c r="S35" s="425"/>
      <c r="T35" s="424"/>
      <c r="U35" s="426"/>
      <c r="V35" s="405"/>
    </row>
    <row r="36" spans="1:22" x14ac:dyDescent="0.3">
      <c r="A36" s="421"/>
      <c r="B36" s="514" t="s">
        <v>140</v>
      </c>
      <c r="C36" s="515"/>
      <c r="D36" s="516">
        <v>0.2724646</v>
      </c>
      <c r="E36" s="517"/>
      <c r="F36" s="516">
        <v>0.2724646</v>
      </c>
      <c r="G36" s="516"/>
      <c r="H36" s="516">
        <v>0.27246219999999999</v>
      </c>
      <c r="I36" s="518"/>
      <c r="J36" s="516">
        <v>0.61999139999999997</v>
      </c>
      <c r="K36" s="516"/>
      <c r="L36" s="516">
        <v>0.61999139999999997</v>
      </c>
      <c r="M36" s="518"/>
      <c r="N36" s="516">
        <v>0.61999139999999997</v>
      </c>
      <c r="O36" s="516"/>
      <c r="P36" s="516">
        <v>0.61999139999999997</v>
      </c>
      <c r="Q36" s="427"/>
      <c r="R36" s="427"/>
      <c r="S36" s="425"/>
      <c r="T36" s="424"/>
      <c r="U36" s="426"/>
      <c r="V36" s="405"/>
    </row>
    <row r="37" spans="1:22" x14ac:dyDescent="0.3">
      <c r="A37" s="428"/>
      <c r="B37" s="532" t="s">
        <v>12</v>
      </c>
      <c r="C37" s="532"/>
      <c r="D37" s="552" t="s">
        <v>166</v>
      </c>
      <c r="E37" s="532"/>
      <c r="F37" s="552" t="s">
        <v>166</v>
      </c>
      <c r="G37" s="552"/>
      <c r="H37" s="552" t="s">
        <v>166</v>
      </c>
      <c r="I37" s="552"/>
      <c r="J37" s="552" t="s">
        <v>204</v>
      </c>
      <c r="K37" s="552"/>
      <c r="L37" s="552" t="s">
        <v>204</v>
      </c>
      <c r="M37" s="552"/>
      <c r="N37" s="552" t="s">
        <v>205</v>
      </c>
      <c r="O37" s="552"/>
      <c r="P37" s="552" t="s">
        <v>205</v>
      </c>
      <c r="Q37" s="552"/>
      <c r="R37" s="552"/>
      <c r="S37" s="532"/>
      <c r="T37" s="532"/>
      <c r="U37" s="562"/>
      <c r="V37" s="405"/>
    </row>
    <row r="38" spans="1:22" x14ac:dyDescent="0.3">
      <c r="A38" s="428"/>
      <c r="B38" s="532" t="s">
        <v>13</v>
      </c>
      <c r="C38" s="532"/>
      <c r="D38" s="574">
        <v>1.2465E-2</v>
      </c>
      <c r="E38" s="532"/>
      <c r="F38" s="574">
        <v>4.4000000000000002E-4</v>
      </c>
      <c r="G38" s="558"/>
      <c r="H38" s="574">
        <v>2.9761300000000001E-2</v>
      </c>
      <c r="I38" s="558"/>
      <c r="J38" s="574">
        <v>1.4664999999999999E-2</v>
      </c>
      <c r="K38" s="558"/>
      <c r="L38" s="574">
        <v>2.64E-3</v>
      </c>
      <c r="M38" s="558"/>
      <c r="N38" s="574">
        <v>1.9265000000000001E-2</v>
      </c>
      <c r="O38" s="558"/>
      <c r="P38" s="574">
        <v>7.2399999999999999E-3</v>
      </c>
      <c r="Q38" s="558"/>
      <c r="R38" s="574"/>
      <c r="S38" s="532"/>
      <c r="T38" s="558"/>
      <c r="U38" s="562"/>
      <c r="V38" s="405"/>
    </row>
    <row r="39" spans="1:22" x14ac:dyDescent="0.3">
      <c r="A39" s="428"/>
      <c r="B39" s="532" t="s">
        <v>14</v>
      </c>
      <c r="C39" s="532"/>
      <c r="D39" s="574">
        <v>1.1617499999999999E-2</v>
      </c>
      <c r="E39" s="532"/>
      <c r="F39" s="574">
        <v>4.0999999999999999E-4</v>
      </c>
      <c r="G39" s="558"/>
      <c r="H39" s="574">
        <v>2.6737500000000001E-2</v>
      </c>
      <c r="I39" s="558"/>
      <c r="J39" s="574">
        <v>1.38175E-2</v>
      </c>
      <c r="K39" s="558"/>
      <c r="L39" s="574">
        <v>2.6099999999999999E-3</v>
      </c>
      <c r="M39" s="558"/>
      <c r="N39" s="574">
        <v>1.84175E-2</v>
      </c>
      <c r="O39" s="558"/>
      <c r="P39" s="574">
        <v>7.2100000000000003E-3</v>
      </c>
      <c r="Q39" s="558"/>
      <c r="R39" s="574"/>
      <c r="S39" s="532"/>
      <c r="T39" s="532"/>
      <c r="U39" s="562"/>
      <c r="V39" s="405"/>
    </row>
    <row r="40" spans="1:22" x14ac:dyDescent="0.3">
      <c r="A40" s="428"/>
      <c r="B40" s="532" t="s">
        <v>292</v>
      </c>
      <c r="C40" s="532"/>
      <c r="D40" s="552" t="s">
        <v>166</v>
      </c>
      <c r="E40" s="532"/>
      <c r="F40" s="552" t="s">
        <v>209</v>
      </c>
      <c r="G40" s="552"/>
      <c r="H40" s="552" t="s">
        <v>210</v>
      </c>
      <c r="I40" s="552"/>
      <c r="J40" s="552" t="s">
        <v>204</v>
      </c>
      <c r="K40" s="552"/>
      <c r="L40" s="552" t="s">
        <v>211</v>
      </c>
      <c r="M40" s="552"/>
      <c r="N40" s="552" t="s">
        <v>205</v>
      </c>
      <c r="O40" s="552"/>
      <c r="P40" s="552" t="s">
        <v>212</v>
      </c>
      <c r="Q40" s="558"/>
      <c r="R40" s="574"/>
      <c r="S40" s="532"/>
      <c r="T40" s="558"/>
      <c r="U40" s="562"/>
      <c r="V40" s="405"/>
    </row>
    <row r="41" spans="1:22" x14ac:dyDescent="0.3">
      <c r="A41" s="428"/>
      <c r="B41" s="532" t="s">
        <v>293</v>
      </c>
      <c r="C41" s="532"/>
      <c r="D41" s="574">
        <f>+D38</f>
        <v>1.2465E-2</v>
      </c>
      <c r="E41" s="532"/>
      <c r="F41" s="574">
        <v>1.2664999999999999E-2</v>
      </c>
      <c r="G41" s="558"/>
      <c r="H41" s="574">
        <v>1.2925000000000001E-2</v>
      </c>
      <c r="I41" s="558"/>
      <c r="J41" s="574">
        <f>+J38</f>
        <v>1.4664999999999999E-2</v>
      </c>
      <c r="K41" s="558"/>
      <c r="L41" s="574">
        <v>1.5254999999999999E-2</v>
      </c>
      <c r="M41" s="558"/>
      <c r="N41" s="574">
        <f>+N38</f>
        <v>1.9265000000000001E-2</v>
      </c>
      <c r="O41" s="558"/>
      <c r="P41" s="574">
        <v>2.0145E-2</v>
      </c>
      <c r="Q41" s="558"/>
      <c r="R41" s="574"/>
      <c r="S41" s="532"/>
      <c r="T41" s="558">
        <f>SUMPRODUCT(D41:P41,D33:P33)/T33</f>
        <v>1.3804089332525667E-2</v>
      </c>
      <c r="U41" s="562"/>
      <c r="V41" s="405"/>
    </row>
    <row r="42" spans="1:22" x14ac:dyDescent="0.3">
      <c r="A42" s="428"/>
      <c r="B42" s="532" t="s">
        <v>294</v>
      </c>
      <c r="C42" s="532"/>
      <c r="D42" s="574">
        <f>+D39</f>
        <v>1.1617499999999999E-2</v>
      </c>
      <c r="E42" s="532"/>
      <c r="F42" s="574">
        <v>1.18175E-2</v>
      </c>
      <c r="G42" s="558"/>
      <c r="H42" s="574">
        <v>1.20775E-2</v>
      </c>
      <c r="I42" s="558"/>
      <c r="J42" s="574">
        <f>+J39</f>
        <v>1.38175E-2</v>
      </c>
      <c r="K42" s="558"/>
      <c r="L42" s="574">
        <v>1.44075E-2</v>
      </c>
      <c r="M42" s="558"/>
      <c r="N42" s="574">
        <f>+N39</f>
        <v>1.84175E-2</v>
      </c>
      <c r="O42" s="558"/>
      <c r="P42" s="574">
        <v>1.9297499999999999E-2</v>
      </c>
      <c r="Q42" s="558"/>
      <c r="R42" s="574"/>
      <c r="S42" s="532"/>
      <c r="T42" s="532"/>
      <c r="U42" s="562"/>
      <c r="V42" s="405"/>
    </row>
    <row r="43" spans="1:22" x14ac:dyDescent="0.3">
      <c r="A43" s="428"/>
      <c r="B43" s="532" t="s">
        <v>15</v>
      </c>
      <c r="C43" s="575"/>
      <c r="D43" s="575">
        <v>39948</v>
      </c>
      <c r="E43" s="575"/>
      <c r="F43" s="575">
        <v>39948</v>
      </c>
      <c r="G43" s="575"/>
      <c r="H43" s="575">
        <v>39948</v>
      </c>
      <c r="I43" s="575"/>
      <c r="J43" s="575">
        <v>39948</v>
      </c>
      <c r="K43" s="575"/>
      <c r="L43" s="575">
        <v>39948</v>
      </c>
      <c r="M43" s="575"/>
      <c r="N43" s="575">
        <v>39948</v>
      </c>
      <c r="O43" s="575"/>
      <c r="P43" s="575">
        <v>39948</v>
      </c>
      <c r="Q43" s="552"/>
      <c r="R43" s="552"/>
      <c r="S43" s="532"/>
      <c r="T43" s="532"/>
      <c r="U43" s="562"/>
      <c r="V43" s="405"/>
    </row>
    <row r="44" spans="1:22" x14ac:dyDescent="0.3">
      <c r="A44" s="428"/>
      <c r="B44" s="532" t="s">
        <v>16</v>
      </c>
      <c r="C44" s="575"/>
      <c r="D44" s="575">
        <v>40313</v>
      </c>
      <c r="E44" s="575"/>
      <c r="F44" s="575">
        <v>40313</v>
      </c>
      <c r="G44" s="575"/>
      <c r="H44" s="575">
        <v>40313</v>
      </c>
      <c r="I44" s="552"/>
      <c r="J44" s="575">
        <v>40313</v>
      </c>
      <c r="K44" s="552"/>
      <c r="L44" s="575">
        <v>40313</v>
      </c>
      <c r="M44" s="552"/>
      <c r="N44" s="575">
        <v>40313</v>
      </c>
      <c r="O44" s="552"/>
      <c r="P44" s="575">
        <v>40313</v>
      </c>
      <c r="Q44" s="552"/>
      <c r="R44" s="552"/>
      <c r="S44" s="532"/>
      <c r="T44" s="532"/>
      <c r="U44" s="562"/>
      <c r="V44" s="405"/>
    </row>
    <row r="45" spans="1:22" x14ac:dyDescent="0.3">
      <c r="A45" s="428"/>
      <c r="B45" s="532" t="s">
        <v>128</v>
      </c>
      <c r="C45" s="532"/>
      <c r="D45" s="552" t="s">
        <v>166</v>
      </c>
      <c r="E45" s="532"/>
      <c r="F45" s="552" t="s">
        <v>166</v>
      </c>
      <c r="G45" s="552"/>
      <c r="H45" s="552" t="s">
        <v>166</v>
      </c>
      <c r="I45" s="552"/>
      <c r="J45" s="552" t="s">
        <v>204</v>
      </c>
      <c r="K45" s="552"/>
      <c r="L45" s="552" t="s">
        <v>204</v>
      </c>
      <c r="M45" s="552"/>
      <c r="N45" s="552" t="s">
        <v>205</v>
      </c>
      <c r="O45" s="552"/>
      <c r="P45" s="552" t="s">
        <v>205</v>
      </c>
      <c r="Q45" s="552"/>
      <c r="R45" s="552"/>
      <c r="S45" s="532"/>
      <c r="T45" s="532"/>
      <c r="U45" s="562"/>
      <c r="V45" s="405"/>
    </row>
    <row r="46" spans="1:22" x14ac:dyDescent="0.3">
      <c r="A46" s="428"/>
      <c r="B46" s="532" t="s">
        <v>295</v>
      </c>
      <c r="C46" s="532"/>
      <c r="D46" s="552" t="s">
        <v>166</v>
      </c>
      <c r="E46" s="532"/>
      <c r="F46" s="552" t="s">
        <v>209</v>
      </c>
      <c r="G46" s="552"/>
      <c r="H46" s="552" t="s">
        <v>210</v>
      </c>
      <c r="I46" s="552"/>
      <c r="J46" s="552" t="s">
        <v>204</v>
      </c>
      <c r="K46" s="552"/>
      <c r="L46" s="552" t="s">
        <v>211</v>
      </c>
      <c r="M46" s="552"/>
      <c r="N46" s="552" t="s">
        <v>205</v>
      </c>
      <c r="O46" s="552"/>
      <c r="P46" s="552" t="s">
        <v>212</v>
      </c>
      <c r="Q46" s="552"/>
      <c r="R46" s="552"/>
      <c r="S46" s="532"/>
      <c r="T46" s="532"/>
      <c r="U46" s="562"/>
      <c r="V46" s="405"/>
    </row>
    <row r="47" spans="1:22" x14ac:dyDescent="0.3">
      <c r="A47" s="428"/>
      <c r="B47" s="532"/>
      <c r="C47" s="532"/>
      <c r="D47" s="532"/>
      <c r="E47" s="532"/>
      <c r="F47" s="552"/>
      <c r="G47" s="552"/>
      <c r="H47" s="550"/>
      <c r="I47" s="550"/>
      <c r="J47" s="550"/>
      <c r="K47" s="550"/>
      <c r="L47" s="550"/>
      <c r="M47" s="550"/>
      <c r="N47" s="550"/>
      <c r="O47" s="550"/>
      <c r="P47" s="550"/>
      <c r="Q47" s="550"/>
      <c r="R47" s="550"/>
      <c r="S47" s="550"/>
      <c r="T47" s="550"/>
      <c r="U47" s="562"/>
      <c r="V47" s="405"/>
    </row>
    <row r="48" spans="1:22" x14ac:dyDescent="0.3">
      <c r="A48" s="428"/>
      <c r="B48" s="532" t="s">
        <v>224</v>
      </c>
      <c r="C48" s="532"/>
      <c r="D48" s="532"/>
      <c r="E48" s="532"/>
      <c r="F48" s="576"/>
      <c r="G48" s="532"/>
      <c r="H48" s="532"/>
      <c r="I48" s="532"/>
      <c r="J48" s="532"/>
      <c r="K48" s="532"/>
      <c r="L48" s="532"/>
      <c r="M48" s="532"/>
      <c r="N48" s="532"/>
      <c r="O48" s="532"/>
      <c r="P48" s="532"/>
      <c r="Q48" s="532"/>
      <c r="R48" s="532"/>
      <c r="S48" s="532"/>
      <c r="T48" s="558">
        <f>SUM(J32:P32)/SUM(D32:H32)</f>
        <v>0.1210762331838565</v>
      </c>
      <c r="U48" s="562"/>
      <c r="V48" s="405"/>
    </row>
    <row r="49" spans="1:23" x14ac:dyDescent="0.3">
      <c r="A49" s="428"/>
      <c r="B49" s="532" t="s">
        <v>225</v>
      </c>
      <c r="C49" s="532"/>
      <c r="D49" s="532"/>
      <c r="E49" s="532"/>
      <c r="F49" s="576"/>
      <c r="G49" s="532"/>
      <c r="H49" s="532"/>
      <c r="I49" s="532"/>
      <c r="J49" s="532"/>
      <c r="K49" s="532"/>
      <c r="L49" s="532"/>
      <c r="M49" s="532"/>
      <c r="N49" s="532"/>
      <c r="O49" s="532"/>
      <c r="P49" s="532"/>
      <c r="Q49" s="532"/>
      <c r="R49" s="532"/>
      <c r="S49" s="532"/>
      <c r="T49" s="558">
        <f>SUM(J34:P34)/SUM(D34:H34)</f>
        <v>0.27550823411583364</v>
      </c>
      <c r="U49" s="562"/>
      <c r="V49" s="405"/>
    </row>
    <row r="50" spans="1:23" x14ac:dyDescent="0.3">
      <c r="A50" s="428"/>
      <c r="B50" s="532" t="s">
        <v>226</v>
      </c>
      <c r="C50" s="532"/>
      <c r="D50" s="532"/>
      <c r="E50" s="532"/>
      <c r="F50" s="532"/>
      <c r="G50" s="532"/>
      <c r="H50" s="532"/>
      <c r="I50" s="532"/>
      <c r="J50" s="532"/>
      <c r="K50" s="532"/>
      <c r="L50" s="532"/>
      <c r="M50" s="532"/>
      <c r="N50" s="532"/>
      <c r="O50" s="532"/>
      <c r="P50" s="532"/>
      <c r="Q50" s="532"/>
      <c r="R50" s="552" t="s">
        <v>112</v>
      </c>
      <c r="S50" s="552" t="s">
        <v>118</v>
      </c>
      <c r="T50" s="577">
        <f>+T32/2-SUM(J32:P32)</f>
        <v>274400</v>
      </c>
      <c r="U50" s="562"/>
      <c r="V50" s="405"/>
    </row>
    <row r="51" spans="1:23" x14ac:dyDescent="0.3">
      <c r="A51" s="428"/>
      <c r="B51" s="532"/>
      <c r="C51" s="532"/>
      <c r="D51" s="532"/>
      <c r="E51" s="532"/>
      <c r="F51" s="532"/>
      <c r="G51" s="532"/>
      <c r="H51" s="532"/>
      <c r="I51" s="532"/>
      <c r="J51" s="532"/>
      <c r="K51" s="532"/>
      <c r="L51" s="532"/>
      <c r="M51" s="532"/>
      <c r="N51" s="532"/>
      <c r="O51" s="532"/>
      <c r="P51" s="532"/>
      <c r="Q51" s="532"/>
      <c r="R51" s="532" t="s">
        <v>284</v>
      </c>
      <c r="S51" s="532"/>
      <c r="T51" s="560"/>
      <c r="U51" s="562"/>
      <c r="V51" s="405"/>
    </row>
    <row r="52" spans="1:23" x14ac:dyDescent="0.3">
      <c r="A52" s="428"/>
      <c r="B52" s="532" t="s">
        <v>154</v>
      </c>
      <c r="C52" s="532"/>
      <c r="D52" s="532"/>
      <c r="E52" s="532"/>
      <c r="F52" s="532"/>
      <c r="G52" s="532"/>
      <c r="H52" s="532"/>
      <c r="I52" s="532"/>
      <c r="J52" s="532"/>
      <c r="K52" s="532"/>
      <c r="L52" s="532"/>
      <c r="M52" s="532"/>
      <c r="N52" s="532"/>
      <c r="O52" s="532"/>
      <c r="P52" s="532"/>
      <c r="Q52" s="532"/>
      <c r="R52" s="552"/>
      <c r="S52" s="552"/>
      <c r="T52" s="552" t="s">
        <v>120</v>
      </c>
      <c r="U52" s="562"/>
      <c r="V52" s="405"/>
    </row>
    <row r="53" spans="1:23" x14ac:dyDescent="0.3">
      <c r="A53" s="428"/>
      <c r="B53" s="536" t="s">
        <v>155</v>
      </c>
      <c r="C53" s="536"/>
      <c r="D53" s="536"/>
      <c r="E53" s="536"/>
      <c r="F53" s="536"/>
      <c r="G53" s="536"/>
      <c r="H53" s="536"/>
      <c r="I53" s="536"/>
      <c r="J53" s="536"/>
      <c r="K53" s="536"/>
      <c r="L53" s="536"/>
      <c r="M53" s="536"/>
      <c r="N53" s="536"/>
      <c r="O53" s="536"/>
      <c r="P53" s="536"/>
      <c r="Q53" s="536"/>
      <c r="R53" s="557"/>
      <c r="S53" s="557"/>
      <c r="T53" s="578">
        <v>43511</v>
      </c>
      <c r="U53" s="562"/>
      <c r="V53" s="405"/>
    </row>
    <row r="54" spans="1:23" x14ac:dyDescent="0.3">
      <c r="A54" s="428"/>
      <c r="B54" s="532" t="s">
        <v>130</v>
      </c>
      <c r="C54" s="532"/>
      <c r="D54" s="532"/>
      <c r="E54" s="532"/>
      <c r="F54" s="532"/>
      <c r="G54" s="532"/>
      <c r="H54" s="579"/>
      <c r="I54" s="579"/>
      <c r="J54" s="579"/>
      <c r="K54" s="579"/>
      <c r="L54" s="579"/>
      <c r="M54" s="579"/>
      <c r="N54" s="579"/>
      <c r="O54" s="579"/>
      <c r="P54" s="532">
        <f>+T54-R54+1</f>
        <v>92</v>
      </c>
      <c r="Q54" s="532"/>
      <c r="R54" s="580">
        <v>43327</v>
      </c>
      <c r="S54" s="581"/>
      <c r="T54" s="580">
        <v>43418</v>
      </c>
      <c r="U54" s="562"/>
      <c r="V54" s="405"/>
    </row>
    <row r="55" spans="1:23" x14ac:dyDescent="0.3">
      <c r="A55" s="428"/>
      <c r="B55" s="532" t="s">
        <v>131</v>
      </c>
      <c r="C55" s="532"/>
      <c r="D55" s="532"/>
      <c r="E55" s="532"/>
      <c r="F55" s="532"/>
      <c r="G55" s="532"/>
      <c r="H55" s="532"/>
      <c r="I55" s="532"/>
      <c r="J55" s="532"/>
      <c r="K55" s="532"/>
      <c r="L55" s="532"/>
      <c r="M55" s="532"/>
      <c r="N55" s="532"/>
      <c r="O55" s="532"/>
      <c r="P55" s="532">
        <f>+T55-R55+1</f>
        <v>92</v>
      </c>
      <c r="Q55" s="532"/>
      <c r="R55" s="580">
        <v>43419</v>
      </c>
      <c r="S55" s="581"/>
      <c r="T55" s="580">
        <v>43510</v>
      </c>
      <c r="U55" s="562"/>
      <c r="V55" s="405"/>
    </row>
    <row r="56" spans="1:23" x14ac:dyDescent="0.3">
      <c r="A56" s="428"/>
      <c r="B56" s="532" t="s">
        <v>213</v>
      </c>
      <c r="C56" s="532"/>
      <c r="D56" s="532"/>
      <c r="E56" s="532"/>
      <c r="F56" s="532"/>
      <c r="G56" s="532"/>
      <c r="H56" s="532"/>
      <c r="I56" s="532"/>
      <c r="J56" s="532"/>
      <c r="K56" s="532"/>
      <c r="L56" s="532"/>
      <c r="M56" s="532"/>
      <c r="N56" s="532"/>
      <c r="O56" s="532"/>
      <c r="P56" s="532"/>
      <c r="Q56" s="532"/>
      <c r="R56" s="580"/>
      <c r="S56" s="581"/>
      <c r="T56" s="580" t="s">
        <v>129</v>
      </c>
      <c r="U56" s="562"/>
      <c r="V56" s="405"/>
    </row>
    <row r="57" spans="1:23" x14ac:dyDescent="0.3">
      <c r="A57" s="428"/>
      <c r="B57" s="532" t="s">
        <v>227</v>
      </c>
      <c r="C57" s="532"/>
      <c r="D57" s="532"/>
      <c r="E57" s="532"/>
      <c r="F57" s="532"/>
      <c r="G57" s="532"/>
      <c r="H57" s="532"/>
      <c r="I57" s="532"/>
      <c r="J57" s="532"/>
      <c r="K57" s="532"/>
      <c r="L57" s="532"/>
      <c r="M57" s="532"/>
      <c r="N57" s="532"/>
      <c r="O57" s="532"/>
      <c r="P57" s="532"/>
      <c r="Q57" s="532"/>
      <c r="R57" s="580"/>
      <c r="S57" s="581"/>
      <c r="T57" s="580" t="s">
        <v>169</v>
      </c>
      <c r="U57" s="562"/>
      <c r="V57" s="405"/>
      <c r="W57" s="429"/>
    </row>
    <row r="58" spans="1:23" x14ac:dyDescent="0.3">
      <c r="A58" s="428"/>
      <c r="B58" s="532" t="s">
        <v>17</v>
      </c>
      <c r="C58" s="532"/>
      <c r="D58" s="532"/>
      <c r="E58" s="532"/>
      <c r="F58" s="532"/>
      <c r="G58" s="532"/>
      <c r="H58" s="532"/>
      <c r="I58" s="532"/>
      <c r="J58" s="532"/>
      <c r="K58" s="532"/>
      <c r="L58" s="532"/>
      <c r="M58" s="532"/>
      <c r="N58" s="532"/>
      <c r="O58" s="532"/>
      <c r="P58" s="532"/>
      <c r="Q58" s="532"/>
      <c r="R58" s="580"/>
      <c r="S58" s="581"/>
      <c r="T58" s="580">
        <v>43497</v>
      </c>
      <c r="U58" s="562"/>
      <c r="V58" s="405"/>
    </row>
    <row r="59" spans="1:23" x14ac:dyDescent="0.3">
      <c r="A59" s="430"/>
      <c r="B59" s="431"/>
      <c r="C59" s="431"/>
      <c r="D59" s="431"/>
      <c r="E59" s="431"/>
      <c r="F59" s="431"/>
      <c r="G59" s="431"/>
      <c r="H59" s="431"/>
      <c r="I59" s="431"/>
      <c r="J59" s="431"/>
      <c r="K59" s="431"/>
      <c r="L59" s="431"/>
      <c r="M59" s="431"/>
      <c r="N59" s="431"/>
      <c r="O59" s="431"/>
      <c r="P59" s="431"/>
      <c r="Q59" s="431"/>
      <c r="R59" s="432"/>
      <c r="S59" s="433"/>
      <c r="T59" s="432"/>
      <c r="U59" s="431"/>
      <c r="V59" s="405"/>
    </row>
    <row r="60" spans="1:23" x14ac:dyDescent="0.3">
      <c r="A60" s="430"/>
      <c r="B60" s="434"/>
      <c r="C60" s="434"/>
      <c r="D60" s="434"/>
      <c r="E60" s="434"/>
      <c r="F60" s="434"/>
      <c r="G60" s="434"/>
      <c r="H60" s="434"/>
      <c r="I60" s="434"/>
      <c r="J60" s="434"/>
      <c r="K60" s="434"/>
      <c r="L60" s="434"/>
      <c r="M60" s="434"/>
      <c r="N60" s="434"/>
      <c r="O60" s="434"/>
      <c r="P60" s="434"/>
      <c r="Q60" s="434"/>
      <c r="R60" s="435"/>
      <c r="S60" s="436"/>
      <c r="T60" s="435"/>
      <c r="U60" s="434"/>
      <c r="V60" s="405"/>
    </row>
    <row r="61" spans="1:23" ht="18.600000000000001" thickBot="1" x14ac:dyDescent="0.4">
      <c r="A61" s="437"/>
      <c r="B61" s="565" t="s">
        <v>355</v>
      </c>
      <c r="C61" s="438"/>
      <c r="D61" s="438"/>
      <c r="E61" s="438"/>
      <c r="F61" s="438"/>
      <c r="G61" s="438"/>
      <c r="H61" s="438"/>
      <c r="I61" s="438"/>
      <c r="J61" s="438"/>
      <c r="K61" s="438"/>
      <c r="L61" s="438"/>
      <c r="M61" s="438"/>
      <c r="N61" s="438"/>
      <c r="O61" s="438"/>
      <c r="P61" s="438"/>
      <c r="Q61" s="438"/>
      <c r="R61" s="438"/>
      <c r="S61" s="438"/>
      <c r="T61" s="439"/>
      <c r="U61" s="440"/>
      <c r="V61" s="405"/>
    </row>
    <row r="62" spans="1:23" x14ac:dyDescent="0.3">
      <c r="A62" s="503"/>
      <c r="B62" s="505" t="s">
        <v>18</v>
      </c>
      <c r="C62" s="504"/>
      <c r="D62" s="504"/>
      <c r="E62" s="504"/>
      <c r="F62" s="504"/>
      <c r="G62" s="504"/>
      <c r="H62" s="504"/>
      <c r="I62" s="504"/>
      <c r="J62" s="504"/>
      <c r="K62" s="504"/>
      <c r="L62" s="504"/>
      <c r="M62" s="504"/>
      <c r="N62" s="504"/>
      <c r="O62" s="504"/>
      <c r="P62" s="504"/>
      <c r="Q62" s="504"/>
      <c r="R62" s="504"/>
      <c r="S62" s="504"/>
      <c r="T62" s="506"/>
      <c r="U62" s="504"/>
      <c r="V62" s="405"/>
    </row>
    <row r="63" spans="1:23" x14ac:dyDescent="0.3">
      <c r="A63" s="407"/>
      <c r="B63" s="415"/>
      <c r="C63" s="409"/>
      <c r="D63" s="409"/>
      <c r="E63" s="409"/>
      <c r="F63" s="409"/>
      <c r="G63" s="409"/>
      <c r="H63" s="409"/>
      <c r="I63" s="409"/>
      <c r="J63" s="409"/>
      <c r="K63" s="409"/>
      <c r="L63" s="409"/>
      <c r="M63" s="409"/>
      <c r="N63" s="409"/>
      <c r="O63" s="409"/>
      <c r="P63" s="409"/>
      <c r="Q63" s="409"/>
      <c r="R63" s="409"/>
      <c r="S63" s="409"/>
      <c r="T63" s="441"/>
      <c r="U63" s="409"/>
      <c r="V63" s="405"/>
    </row>
    <row r="64" spans="1:23" ht="46.8" x14ac:dyDescent="0.3">
      <c r="A64" s="407"/>
      <c r="B64" s="519" t="s">
        <v>19</v>
      </c>
      <c r="C64" s="520"/>
      <c r="D64" s="520"/>
      <c r="E64" s="520"/>
      <c r="F64" s="520"/>
      <c r="G64" s="520"/>
      <c r="H64" s="520"/>
      <c r="I64" s="520"/>
      <c r="J64" s="520" t="s">
        <v>100</v>
      </c>
      <c r="K64" s="520"/>
      <c r="L64" s="520" t="s">
        <v>102</v>
      </c>
      <c r="M64" s="520"/>
      <c r="N64" s="520" t="s">
        <v>104</v>
      </c>
      <c r="O64" s="520"/>
      <c r="P64" s="520" t="s">
        <v>106</v>
      </c>
      <c r="Q64" s="520"/>
      <c r="R64" s="520" t="s">
        <v>113</v>
      </c>
      <c r="S64" s="520"/>
      <c r="T64" s="521" t="s">
        <v>121</v>
      </c>
      <c r="U64" s="442"/>
      <c r="V64" s="405"/>
    </row>
    <row r="65" spans="1:22" x14ac:dyDescent="0.3">
      <c r="A65" s="418"/>
      <c r="B65" s="532" t="s">
        <v>20</v>
      </c>
      <c r="C65" s="531"/>
      <c r="D65" s="531"/>
      <c r="E65" s="531"/>
      <c r="F65" s="531"/>
      <c r="G65" s="531"/>
      <c r="H65" s="531"/>
      <c r="I65" s="531"/>
      <c r="J65" s="531">
        <v>699958</v>
      </c>
      <c r="K65" s="531"/>
      <c r="L65" s="535">
        <v>216998</v>
      </c>
      <c r="M65" s="531"/>
      <c r="N65" s="531">
        <v>4447</v>
      </c>
      <c r="O65" s="531"/>
      <c r="P65" s="531">
        <v>0</v>
      </c>
      <c r="Q65" s="531"/>
      <c r="R65" s="531">
        <v>0</v>
      </c>
      <c r="S65" s="531"/>
      <c r="T65" s="535">
        <f>+L65-N65+P65-R65</f>
        <v>212551</v>
      </c>
      <c r="U65" s="420"/>
      <c r="V65" s="405"/>
    </row>
    <row r="66" spans="1:22" x14ac:dyDescent="0.3">
      <c r="A66" s="418"/>
      <c r="B66" s="532" t="s">
        <v>21</v>
      </c>
      <c r="C66" s="531"/>
      <c r="D66" s="531"/>
      <c r="E66" s="531"/>
      <c r="F66" s="531"/>
      <c r="G66" s="531"/>
      <c r="H66" s="531"/>
      <c r="I66" s="531"/>
      <c r="J66" s="531">
        <v>42</v>
      </c>
      <c r="K66" s="531"/>
      <c r="L66" s="535">
        <v>0</v>
      </c>
      <c r="M66" s="531"/>
      <c r="N66" s="531">
        <v>0</v>
      </c>
      <c r="O66" s="531"/>
      <c r="P66" s="531">
        <v>0</v>
      </c>
      <c r="Q66" s="531"/>
      <c r="R66" s="531">
        <v>0</v>
      </c>
      <c r="S66" s="531"/>
      <c r="T66" s="535">
        <f>+L66-N66</f>
        <v>0</v>
      </c>
      <c r="U66" s="420"/>
      <c r="V66" s="405"/>
    </row>
    <row r="67" spans="1:22" x14ac:dyDescent="0.3">
      <c r="A67" s="418"/>
      <c r="B67" s="532"/>
      <c r="C67" s="531"/>
      <c r="D67" s="531"/>
      <c r="E67" s="531"/>
      <c r="F67" s="531"/>
      <c r="G67" s="531"/>
      <c r="H67" s="531"/>
      <c r="I67" s="531"/>
      <c r="J67" s="531"/>
      <c r="K67" s="531"/>
      <c r="L67" s="535"/>
      <c r="M67" s="531"/>
      <c r="N67" s="531"/>
      <c r="O67" s="531"/>
      <c r="P67" s="531"/>
      <c r="Q67" s="531"/>
      <c r="R67" s="531"/>
      <c r="S67" s="531"/>
      <c r="T67" s="535"/>
      <c r="U67" s="420"/>
      <c r="V67" s="405"/>
    </row>
    <row r="68" spans="1:22" x14ac:dyDescent="0.3">
      <c r="A68" s="418"/>
      <c r="B68" s="532" t="s">
        <v>22</v>
      </c>
      <c r="C68" s="531"/>
      <c r="D68" s="531"/>
      <c r="E68" s="531"/>
      <c r="F68" s="531"/>
      <c r="G68" s="531"/>
      <c r="H68" s="531"/>
      <c r="I68" s="531"/>
      <c r="J68" s="531">
        <f>SUM(J65:J67)</f>
        <v>700000</v>
      </c>
      <c r="K68" s="531"/>
      <c r="L68" s="531">
        <f>L65+L66</f>
        <v>216998</v>
      </c>
      <c r="M68" s="531"/>
      <c r="N68" s="531">
        <f>SUM(N65:N67)</f>
        <v>4447</v>
      </c>
      <c r="O68" s="531"/>
      <c r="P68" s="531">
        <f>SUM(P65:P67)</f>
        <v>0</v>
      </c>
      <c r="Q68" s="531"/>
      <c r="R68" s="531">
        <f>SUM(R65:R67)</f>
        <v>0</v>
      </c>
      <c r="S68" s="531"/>
      <c r="T68" s="531">
        <f>SUM(T65:T67)</f>
        <v>212551</v>
      </c>
      <c r="U68" s="420"/>
      <c r="V68" s="405"/>
    </row>
    <row r="69" spans="1:22" x14ac:dyDescent="0.3">
      <c r="A69" s="407"/>
      <c r="B69" s="539"/>
      <c r="C69" s="572"/>
      <c r="D69" s="572"/>
      <c r="E69" s="572"/>
      <c r="F69" s="572"/>
      <c r="G69" s="572"/>
      <c r="H69" s="572"/>
      <c r="I69" s="572"/>
      <c r="J69" s="572"/>
      <c r="K69" s="572"/>
      <c r="L69" s="572"/>
      <c r="M69" s="572"/>
      <c r="N69" s="572"/>
      <c r="O69" s="572"/>
      <c r="P69" s="572"/>
      <c r="Q69" s="572"/>
      <c r="R69" s="572"/>
      <c r="S69" s="572"/>
      <c r="T69" s="572"/>
      <c r="U69" s="444"/>
      <c r="V69" s="405"/>
    </row>
    <row r="70" spans="1:22" x14ac:dyDescent="0.3">
      <c r="A70" s="407"/>
      <c r="B70" s="545" t="s">
        <v>23</v>
      </c>
      <c r="C70" s="573"/>
      <c r="D70" s="573"/>
      <c r="E70" s="573"/>
      <c r="F70" s="573"/>
      <c r="G70" s="573"/>
      <c r="H70" s="573"/>
      <c r="I70" s="573"/>
      <c r="J70" s="573"/>
      <c r="K70" s="573"/>
      <c r="L70" s="573"/>
      <c r="M70" s="573"/>
      <c r="N70" s="573"/>
      <c r="O70" s="573"/>
      <c r="P70" s="573"/>
      <c r="Q70" s="573"/>
      <c r="R70" s="573"/>
      <c r="S70" s="573"/>
      <c r="T70" s="573"/>
      <c r="U70" s="409"/>
      <c r="V70" s="405"/>
    </row>
    <row r="71" spans="1:22" x14ac:dyDescent="0.3">
      <c r="A71" s="407"/>
      <c r="B71" s="542"/>
      <c r="C71" s="573"/>
      <c r="D71" s="573"/>
      <c r="E71" s="573"/>
      <c r="F71" s="573"/>
      <c r="G71" s="573"/>
      <c r="H71" s="573"/>
      <c r="I71" s="573"/>
      <c r="J71" s="573"/>
      <c r="K71" s="573"/>
      <c r="L71" s="573"/>
      <c r="M71" s="573"/>
      <c r="N71" s="573"/>
      <c r="O71" s="573"/>
      <c r="P71" s="573"/>
      <c r="Q71" s="573"/>
      <c r="R71" s="573"/>
      <c r="S71" s="573"/>
      <c r="T71" s="573"/>
      <c r="U71" s="409"/>
      <c r="V71" s="405"/>
    </row>
    <row r="72" spans="1:22" x14ac:dyDescent="0.3">
      <c r="A72" s="418"/>
      <c r="B72" s="532" t="s">
        <v>20</v>
      </c>
      <c r="C72" s="531"/>
      <c r="D72" s="531"/>
      <c r="E72" s="531"/>
      <c r="F72" s="531"/>
      <c r="G72" s="531"/>
      <c r="H72" s="531"/>
      <c r="I72" s="531"/>
      <c r="J72" s="531"/>
      <c r="K72" s="531"/>
      <c r="L72" s="531"/>
      <c r="M72" s="531"/>
      <c r="N72" s="531"/>
      <c r="O72" s="531"/>
      <c r="P72" s="531"/>
      <c r="Q72" s="531"/>
      <c r="R72" s="531"/>
      <c r="S72" s="531"/>
      <c r="T72" s="531"/>
      <c r="U72" s="420"/>
      <c r="V72" s="405"/>
    </row>
    <row r="73" spans="1:22" x14ac:dyDescent="0.3">
      <c r="A73" s="418"/>
      <c r="B73" s="532" t="s">
        <v>21</v>
      </c>
      <c r="C73" s="531"/>
      <c r="D73" s="531"/>
      <c r="E73" s="531"/>
      <c r="F73" s="531"/>
      <c r="G73" s="531"/>
      <c r="H73" s="531"/>
      <c r="I73" s="531"/>
      <c r="J73" s="531"/>
      <c r="K73" s="531"/>
      <c r="L73" s="531"/>
      <c r="M73" s="531"/>
      <c r="N73" s="531"/>
      <c r="O73" s="531"/>
      <c r="P73" s="531"/>
      <c r="Q73" s="531"/>
      <c r="R73" s="531"/>
      <c r="S73" s="531"/>
      <c r="T73" s="531"/>
      <c r="U73" s="420"/>
      <c r="V73" s="405"/>
    </row>
    <row r="74" spans="1:22" x14ac:dyDescent="0.3">
      <c r="A74" s="418"/>
      <c r="B74" s="532"/>
      <c r="C74" s="531"/>
      <c r="D74" s="531"/>
      <c r="E74" s="531"/>
      <c r="F74" s="531"/>
      <c r="G74" s="531"/>
      <c r="H74" s="531"/>
      <c r="I74" s="531"/>
      <c r="J74" s="531"/>
      <c r="K74" s="531"/>
      <c r="L74" s="531"/>
      <c r="M74" s="531"/>
      <c r="N74" s="531"/>
      <c r="O74" s="531"/>
      <c r="P74" s="531"/>
      <c r="Q74" s="531"/>
      <c r="R74" s="531"/>
      <c r="S74" s="531"/>
      <c r="T74" s="531"/>
      <c r="U74" s="420"/>
      <c r="V74" s="405"/>
    </row>
    <row r="75" spans="1:22" x14ac:dyDescent="0.3">
      <c r="A75" s="418"/>
      <c r="B75" s="532" t="s">
        <v>22</v>
      </c>
      <c r="C75" s="531"/>
      <c r="D75" s="531"/>
      <c r="E75" s="531"/>
      <c r="F75" s="531"/>
      <c r="G75" s="531"/>
      <c r="H75" s="531"/>
      <c r="I75" s="531"/>
      <c r="J75" s="531"/>
      <c r="K75" s="531"/>
      <c r="L75" s="531"/>
      <c r="M75" s="531"/>
      <c r="N75" s="531"/>
      <c r="O75" s="531"/>
      <c r="P75" s="531"/>
      <c r="Q75" s="531"/>
      <c r="R75" s="531"/>
      <c r="S75" s="531"/>
      <c r="T75" s="531"/>
      <c r="U75" s="420"/>
      <c r="V75" s="405"/>
    </row>
    <row r="76" spans="1:22" x14ac:dyDescent="0.3">
      <c r="A76" s="418"/>
      <c r="B76" s="532"/>
      <c r="C76" s="531"/>
      <c r="D76" s="531"/>
      <c r="E76" s="531"/>
      <c r="F76" s="531"/>
      <c r="G76" s="531"/>
      <c r="H76" s="531"/>
      <c r="I76" s="531"/>
      <c r="J76" s="531"/>
      <c r="K76" s="531"/>
      <c r="L76" s="531"/>
      <c r="M76" s="531"/>
      <c r="N76" s="531"/>
      <c r="O76" s="531"/>
      <c r="P76" s="531"/>
      <c r="Q76" s="531"/>
      <c r="R76" s="531"/>
      <c r="S76" s="531"/>
      <c r="T76" s="531"/>
      <c r="U76" s="420"/>
      <c r="V76" s="405"/>
    </row>
    <row r="77" spans="1:22" x14ac:dyDescent="0.3">
      <c r="A77" s="418"/>
      <c r="B77" s="532" t="s">
        <v>24</v>
      </c>
      <c r="C77" s="531"/>
      <c r="D77" s="531"/>
      <c r="E77" s="531"/>
      <c r="F77" s="531"/>
      <c r="G77" s="531"/>
      <c r="H77" s="531"/>
      <c r="I77" s="531"/>
      <c r="J77" s="531">
        <v>0</v>
      </c>
      <c r="K77" s="531"/>
      <c r="L77" s="531">
        <v>0</v>
      </c>
      <c r="M77" s="531"/>
      <c r="N77" s="531"/>
      <c r="O77" s="531"/>
      <c r="P77" s="531"/>
      <c r="Q77" s="531"/>
      <c r="R77" s="531"/>
      <c r="S77" s="531"/>
      <c r="T77" s="535">
        <v>0</v>
      </c>
      <c r="U77" s="420"/>
      <c r="V77" s="405"/>
    </row>
    <row r="78" spans="1:22" x14ac:dyDescent="0.3">
      <c r="A78" s="418"/>
      <c r="B78" s="532" t="s">
        <v>126</v>
      </c>
      <c r="C78" s="531"/>
      <c r="D78" s="531"/>
      <c r="E78" s="531"/>
      <c r="F78" s="531"/>
      <c r="G78" s="531"/>
      <c r="H78" s="531"/>
      <c r="I78" s="531"/>
      <c r="J78" s="531">
        <v>0</v>
      </c>
      <c r="K78" s="531"/>
      <c r="L78" s="531">
        <v>0</v>
      </c>
      <c r="M78" s="531"/>
      <c r="N78" s="531"/>
      <c r="O78" s="531"/>
      <c r="P78" s="531"/>
      <c r="Q78" s="531"/>
      <c r="R78" s="531"/>
      <c r="S78" s="531"/>
      <c r="T78" s="531">
        <f>SUM(J78:P78)</f>
        <v>0</v>
      </c>
      <c r="U78" s="420"/>
      <c r="V78" s="405"/>
    </row>
    <row r="79" spans="1:22" x14ac:dyDescent="0.3">
      <c r="A79" s="418"/>
      <c r="B79" s="532" t="s">
        <v>157</v>
      </c>
      <c r="C79" s="531"/>
      <c r="D79" s="531"/>
      <c r="E79" s="531"/>
      <c r="F79" s="531"/>
      <c r="G79" s="531"/>
      <c r="H79" s="531"/>
      <c r="I79" s="531"/>
      <c r="J79" s="531">
        <v>0</v>
      </c>
      <c r="K79" s="531"/>
      <c r="L79" s="531">
        <v>0</v>
      </c>
      <c r="M79" s="531"/>
      <c r="N79" s="531"/>
      <c r="O79" s="531"/>
      <c r="P79" s="531"/>
      <c r="Q79" s="531"/>
      <c r="R79" s="531"/>
      <c r="S79" s="531"/>
      <c r="T79" s="531">
        <v>0</v>
      </c>
      <c r="U79" s="420"/>
      <c r="V79" s="405"/>
    </row>
    <row r="80" spans="1:22" x14ac:dyDescent="0.3">
      <c r="A80" s="418"/>
      <c r="B80" s="532" t="s">
        <v>26</v>
      </c>
      <c r="C80" s="531"/>
      <c r="D80" s="531"/>
      <c r="E80" s="531"/>
      <c r="F80" s="531"/>
      <c r="G80" s="531"/>
      <c r="H80" s="531"/>
      <c r="I80" s="531"/>
      <c r="J80" s="531">
        <v>0</v>
      </c>
      <c r="K80" s="531"/>
      <c r="L80" s="531">
        <v>0</v>
      </c>
      <c r="M80" s="531"/>
      <c r="N80" s="531"/>
      <c r="O80" s="531"/>
      <c r="P80" s="531"/>
      <c r="Q80" s="531"/>
      <c r="R80" s="531"/>
      <c r="S80" s="531"/>
      <c r="T80" s="531">
        <v>0</v>
      </c>
      <c r="U80" s="420"/>
      <c r="V80" s="405"/>
    </row>
    <row r="81" spans="1:22" x14ac:dyDescent="0.3">
      <c r="A81" s="418"/>
      <c r="B81" s="532" t="s">
        <v>27</v>
      </c>
      <c r="C81" s="531"/>
      <c r="D81" s="531"/>
      <c r="E81" s="531"/>
      <c r="F81" s="531"/>
      <c r="G81" s="531"/>
      <c r="H81" s="531"/>
      <c r="I81" s="531"/>
      <c r="J81" s="531">
        <f>SUM(J68:J80)</f>
        <v>700000</v>
      </c>
      <c r="K81" s="531"/>
      <c r="L81" s="531">
        <f>SUM(L68:L80)</f>
        <v>216998</v>
      </c>
      <c r="M81" s="531"/>
      <c r="N81" s="531"/>
      <c r="O81" s="531"/>
      <c r="P81" s="531"/>
      <c r="Q81" s="531"/>
      <c r="R81" s="531"/>
      <c r="S81" s="531"/>
      <c r="T81" s="531">
        <f>SUM(T68:T80)</f>
        <v>212551</v>
      </c>
      <c r="U81" s="420"/>
      <c r="V81" s="405"/>
    </row>
    <row r="82" spans="1:22" x14ac:dyDescent="0.3">
      <c r="A82" s="407"/>
      <c r="B82" s="444"/>
      <c r="C82" s="445"/>
      <c r="D82" s="445"/>
      <c r="E82" s="445"/>
      <c r="F82" s="445"/>
      <c r="G82" s="445"/>
      <c r="H82" s="445"/>
      <c r="I82" s="445"/>
      <c r="J82" s="445"/>
      <c r="K82" s="445"/>
      <c r="L82" s="445"/>
      <c r="M82" s="445"/>
      <c r="N82" s="445"/>
      <c r="O82" s="445"/>
      <c r="P82" s="445"/>
      <c r="Q82" s="445"/>
      <c r="R82" s="445"/>
      <c r="S82" s="445"/>
      <c r="T82" s="446"/>
      <c r="U82" s="444"/>
      <c r="V82" s="405"/>
    </row>
    <row r="83" spans="1:22" x14ac:dyDescent="0.3">
      <c r="A83" s="407"/>
      <c r="B83" s="409"/>
      <c r="C83" s="409"/>
      <c r="D83" s="409"/>
      <c r="E83" s="409"/>
      <c r="F83" s="409"/>
      <c r="G83" s="409"/>
      <c r="H83" s="409"/>
      <c r="I83" s="409"/>
      <c r="J83" s="409"/>
      <c r="K83" s="409"/>
      <c r="L83" s="409"/>
      <c r="M83" s="409"/>
      <c r="N83" s="409"/>
      <c r="O83" s="409"/>
      <c r="P83" s="409"/>
      <c r="Q83" s="409"/>
      <c r="R83" s="409"/>
      <c r="S83" s="409"/>
      <c r="T83" s="409"/>
      <c r="U83" s="409"/>
      <c r="V83" s="405"/>
    </row>
    <row r="84" spans="1:22" x14ac:dyDescent="0.3">
      <c r="A84" s="503"/>
      <c r="B84" s="612" t="s">
        <v>28</v>
      </c>
      <c r="C84" s="612"/>
      <c r="D84" s="612"/>
      <c r="E84" s="612"/>
      <c r="F84" s="612"/>
      <c r="G84" s="612"/>
      <c r="H84" s="613"/>
      <c r="I84" s="613"/>
      <c r="J84" s="614" t="s">
        <v>101</v>
      </c>
      <c r="K84" s="613"/>
      <c r="L84" s="615">
        <f>+R196</f>
        <v>43496</v>
      </c>
      <c r="M84" s="613"/>
      <c r="N84" s="613"/>
      <c r="O84" s="613"/>
      <c r="P84" s="613"/>
      <c r="Q84" s="613"/>
      <c r="R84" s="613" t="s">
        <v>114</v>
      </c>
      <c r="S84" s="613"/>
      <c r="T84" s="613" t="s">
        <v>122</v>
      </c>
      <c r="U84" s="611"/>
      <c r="V84" s="405"/>
    </row>
    <row r="85" spans="1:22" x14ac:dyDescent="0.3">
      <c r="A85" s="430"/>
      <c r="B85" s="539" t="s">
        <v>29</v>
      </c>
      <c r="C85" s="539"/>
      <c r="D85" s="539"/>
      <c r="E85" s="539"/>
      <c r="F85" s="539"/>
      <c r="G85" s="539"/>
      <c r="H85" s="539"/>
      <c r="I85" s="539"/>
      <c r="J85" s="539"/>
      <c r="K85" s="539"/>
      <c r="L85" s="539"/>
      <c r="M85" s="539"/>
      <c r="N85" s="539"/>
      <c r="O85" s="539"/>
      <c r="P85" s="539"/>
      <c r="Q85" s="539"/>
      <c r="R85" s="572">
        <v>0</v>
      </c>
      <c r="S85" s="539"/>
      <c r="T85" s="541">
        <v>0</v>
      </c>
      <c r="U85" s="539"/>
      <c r="V85" s="405"/>
    </row>
    <row r="86" spans="1:22" x14ac:dyDescent="0.3">
      <c r="A86" s="428"/>
      <c r="B86" s="532" t="s">
        <v>30</v>
      </c>
      <c r="C86" s="532"/>
      <c r="D86" s="532"/>
      <c r="E86" s="532"/>
      <c r="F86" s="532"/>
      <c r="G86" s="532"/>
      <c r="H86" s="550"/>
      <c r="I86" s="570"/>
      <c r="J86" s="550"/>
      <c r="K86" s="532"/>
      <c r="L86" s="571"/>
      <c r="M86" s="532"/>
      <c r="N86" s="532"/>
      <c r="O86" s="532"/>
      <c r="P86" s="532"/>
      <c r="Q86" s="532"/>
      <c r="R86" s="531">
        <f>4447+1</f>
        <v>4448</v>
      </c>
      <c r="S86" s="532"/>
      <c r="T86" s="535"/>
      <c r="U86" s="562"/>
      <c r="V86" s="405"/>
    </row>
    <row r="87" spans="1:22" x14ac:dyDescent="0.3">
      <c r="A87" s="428"/>
      <c r="B87" s="532" t="s">
        <v>254</v>
      </c>
      <c r="C87" s="532"/>
      <c r="D87" s="532"/>
      <c r="E87" s="532"/>
      <c r="F87" s="532"/>
      <c r="G87" s="532"/>
      <c r="H87" s="550"/>
      <c r="I87" s="570"/>
      <c r="J87" s="550"/>
      <c r="K87" s="532"/>
      <c r="L87" s="571"/>
      <c r="M87" s="532"/>
      <c r="N87" s="532"/>
      <c r="O87" s="532"/>
      <c r="P87" s="532"/>
      <c r="Q87" s="532"/>
      <c r="R87" s="531"/>
      <c r="S87" s="532"/>
      <c r="T87" s="535">
        <f>1581+503-561-119</f>
        <v>1404</v>
      </c>
      <c r="U87" s="562"/>
      <c r="V87" s="405"/>
    </row>
    <row r="88" spans="1:22" x14ac:dyDescent="0.3">
      <c r="A88" s="428"/>
      <c r="B88" s="532" t="s">
        <v>255</v>
      </c>
      <c r="C88" s="532"/>
      <c r="D88" s="532"/>
      <c r="E88" s="532"/>
      <c r="F88" s="532"/>
      <c r="G88" s="532"/>
      <c r="H88" s="550"/>
      <c r="I88" s="570"/>
      <c r="J88" s="550"/>
      <c r="K88" s="532"/>
      <c r="L88" s="571"/>
      <c r="M88" s="532"/>
      <c r="N88" s="532"/>
      <c r="O88" s="532"/>
      <c r="P88" s="532"/>
      <c r="Q88" s="532"/>
      <c r="R88" s="531"/>
      <c r="S88" s="532"/>
      <c r="T88" s="535">
        <f>14+2</f>
        <v>16</v>
      </c>
      <c r="U88" s="562"/>
      <c r="V88" s="405"/>
    </row>
    <row r="89" spans="1:22" x14ac:dyDescent="0.3">
      <c r="A89" s="428"/>
      <c r="B89" s="532" t="s">
        <v>256</v>
      </c>
      <c r="C89" s="532"/>
      <c r="D89" s="532"/>
      <c r="E89" s="532"/>
      <c r="F89" s="532"/>
      <c r="G89" s="532"/>
      <c r="H89" s="550"/>
      <c r="I89" s="570"/>
      <c r="J89" s="550"/>
      <c r="K89" s="532"/>
      <c r="L89" s="571"/>
      <c r="M89" s="532"/>
      <c r="N89" s="532"/>
      <c r="O89" s="532"/>
      <c r="P89" s="532"/>
      <c r="Q89" s="532"/>
      <c r="R89" s="531"/>
      <c r="S89" s="532"/>
      <c r="T89" s="535">
        <v>28</v>
      </c>
      <c r="U89" s="562"/>
      <c r="V89" s="405"/>
    </row>
    <row r="90" spans="1:22" x14ac:dyDescent="0.3">
      <c r="A90" s="428"/>
      <c r="B90" s="532" t="s">
        <v>270</v>
      </c>
      <c r="C90" s="532"/>
      <c r="D90" s="532"/>
      <c r="E90" s="532"/>
      <c r="F90" s="532"/>
      <c r="G90" s="532"/>
      <c r="H90" s="550"/>
      <c r="I90" s="570"/>
      <c r="J90" s="550"/>
      <c r="K90" s="532"/>
      <c r="L90" s="571"/>
      <c r="M90" s="532"/>
      <c r="N90" s="532"/>
      <c r="O90" s="532"/>
      <c r="P90" s="532"/>
      <c r="Q90" s="532"/>
      <c r="R90" s="531"/>
      <c r="S90" s="532"/>
      <c r="T90" s="535">
        <v>0</v>
      </c>
      <c r="U90" s="562"/>
      <c r="V90" s="405"/>
    </row>
    <row r="91" spans="1:22" x14ac:dyDescent="0.3">
      <c r="A91" s="428"/>
      <c r="B91" s="532" t="s">
        <v>144</v>
      </c>
      <c r="C91" s="532"/>
      <c r="D91" s="532"/>
      <c r="E91" s="532"/>
      <c r="F91" s="532"/>
      <c r="G91" s="532"/>
      <c r="H91" s="532"/>
      <c r="I91" s="532"/>
      <c r="J91" s="532"/>
      <c r="K91" s="532"/>
      <c r="L91" s="532"/>
      <c r="M91" s="532"/>
      <c r="N91" s="532"/>
      <c r="O91" s="532"/>
      <c r="P91" s="532"/>
      <c r="Q91" s="532"/>
      <c r="R91" s="531"/>
      <c r="S91" s="532"/>
      <c r="T91" s="535">
        <v>0</v>
      </c>
      <c r="U91" s="562"/>
      <c r="V91" s="405"/>
    </row>
    <row r="92" spans="1:22" x14ac:dyDescent="0.3">
      <c r="A92" s="428"/>
      <c r="B92" s="532" t="s">
        <v>233</v>
      </c>
      <c r="C92" s="532"/>
      <c r="D92" s="532"/>
      <c r="E92" s="532"/>
      <c r="F92" s="532"/>
      <c r="G92" s="532"/>
      <c r="H92" s="532"/>
      <c r="I92" s="532"/>
      <c r="J92" s="532"/>
      <c r="K92" s="532"/>
      <c r="L92" s="532"/>
      <c r="M92" s="532"/>
      <c r="N92" s="532"/>
      <c r="O92" s="532"/>
      <c r="P92" s="532"/>
      <c r="Q92" s="532"/>
      <c r="R92" s="531"/>
      <c r="S92" s="532"/>
      <c r="T92" s="535">
        <v>79</v>
      </c>
      <c r="U92" s="562"/>
      <c r="V92" s="405"/>
    </row>
    <row r="93" spans="1:22" x14ac:dyDescent="0.3">
      <c r="A93" s="428"/>
      <c r="B93" s="532" t="s">
        <v>32</v>
      </c>
      <c r="C93" s="532"/>
      <c r="D93" s="532"/>
      <c r="E93" s="532"/>
      <c r="F93" s="532"/>
      <c r="G93" s="532"/>
      <c r="H93" s="532"/>
      <c r="I93" s="532"/>
      <c r="J93" s="532"/>
      <c r="K93" s="532"/>
      <c r="L93" s="532"/>
      <c r="M93" s="532"/>
      <c r="N93" s="532"/>
      <c r="O93" s="532"/>
      <c r="P93" s="532"/>
      <c r="Q93" s="532"/>
      <c r="R93" s="531">
        <f>SUM(R85:R92)</f>
        <v>4448</v>
      </c>
      <c r="S93" s="532"/>
      <c r="T93" s="531">
        <f>SUM(T85:T92)</f>
        <v>1527</v>
      </c>
      <c r="U93" s="562"/>
      <c r="V93" s="405"/>
    </row>
    <row r="94" spans="1:22" x14ac:dyDescent="0.3">
      <c r="A94" s="428"/>
      <c r="B94" s="532" t="s">
        <v>176</v>
      </c>
      <c r="C94" s="532"/>
      <c r="D94" s="532"/>
      <c r="E94" s="532"/>
      <c r="F94" s="532"/>
      <c r="G94" s="532"/>
      <c r="H94" s="532"/>
      <c r="I94" s="532"/>
      <c r="J94" s="532"/>
      <c r="K94" s="532"/>
      <c r="L94" s="532"/>
      <c r="M94" s="532"/>
      <c r="N94" s="532"/>
      <c r="O94" s="532"/>
      <c r="P94" s="532"/>
      <c r="Q94" s="532"/>
      <c r="R94" s="531">
        <v>0</v>
      </c>
      <c r="S94" s="532"/>
      <c r="T94" s="531">
        <f>-R94</f>
        <v>0</v>
      </c>
      <c r="U94" s="562"/>
      <c r="V94" s="405"/>
    </row>
    <row r="95" spans="1:22" x14ac:dyDescent="0.3">
      <c r="A95" s="428"/>
      <c r="B95" s="532" t="s">
        <v>33</v>
      </c>
      <c r="C95" s="532"/>
      <c r="D95" s="532"/>
      <c r="E95" s="532"/>
      <c r="F95" s="532"/>
      <c r="G95" s="532"/>
      <c r="H95" s="532"/>
      <c r="I95" s="532"/>
      <c r="J95" s="532"/>
      <c r="K95" s="532"/>
      <c r="L95" s="532"/>
      <c r="M95" s="532"/>
      <c r="N95" s="532"/>
      <c r="O95" s="532"/>
      <c r="P95" s="532"/>
      <c r="Q95" s="532"/>
      <c r="R95" s="531">
        <f>-T95</f>
        <v>0</v>
      </c>
      <c r="S95" s="532"/>
      <c r="T95" s="535">
        <v>0</v>
      </c>
      <c r="U95" s="562"/>
      <c r="V95" s="405"/>
    </row>
    <row r="96" spans="1:22" x14ac:dyDescent="0.3">
      <c r="A96" s="428"/>
      <c r="B96" s="532" t="s">
        <v>278</v>
      </c>
      <c r="C96" s="532"/>
      <c r="D96" s="532"/>
      <c r="E96" s="532"/>
      <c r="F96" s="532"/>
      <c r="G96" s="532"/>
      <c r="H96" s="532"/>
      <c r="I96" s="532"/>
      <c r="J96" s="532"/>
      <c r="K96" s="532"/>
      <c r="L96" s="532"/>
      <c r="M96" s="532"/>
      <c r="N96" s="532"/>
      <c r="O96" s="532"/>
      <c r="P96" s="532"/>
      <c r="Q96" s="532"/>
      <c r="R96" s="531"/>
      <c r="S96" s="532"/>
      <c r="T96" s="535">
        <v>-48</v>
      </c>
      <c r="U96" s="562"/>
      <c r="V96" s="405"/>
    </row>
    <row r="97" spans="1:23" x14ac:dyDescent="0.3">
      <c r="A97" s="428"/>
      <c r="B97" s="532" t="s">
        <v>34</v>
      </c>
      <c r="C97" s="532"/>
      <c r="D97" s="532"/>
      <c r="E97" s="532"/>
      <c r="F97" s="532"/>
      <c r="G97" s="532"/>
      <c r="H97" s="532"/>
      <c r="I97" s="532"/>
      <c r="J97" s="532"/>
      <c r="K97" s="532"/>
      <c r="L97" s="532"/>
      <c r="M97" s="532"/>
      <c r="N97" s="532"/>
      <c r="O97" s="532"/>
      <c r="P97" s="532"/>
      <c r="Q97" s="532"/>
      <c r="R97" s="531">
        <f>R93+R95+R94</f>
        <v>4448</v>
      </c>
      <c r="S97" s="532"/>
      <c r="T97" s="531">
        <f>T93+T95+T94+T96</f>
        <v>1479</v>
      </c>
      <c r="U97" s="562"/>
      <c r="V97" s="405"/>
      <c r="W97" s="447"/>
    </row>
    <row r="98" spans="1:23" x14ac:dyDescent="0.3">
      <c r="A98" s="418"/>
      <c r="B98" s="522" t="s">
        <v>35</v>
      </c>
      <c r="C98" s="448"/>
      <c r="D98" s="448"/>
      <c r="E98" s="448"/>
      <c r="F98" s="448"/>
      <c r="G98" s="448"/>
      <c r="H98" s="448"/>
      <c r="I98" s="448"/>
      <c r="J98" s="448"/>
      <c r="K98" s="448"/>
      <c r="L98" s="448"/>
      <c r="M98" s="448"/>
      <c r="N98" s="448"/>
      <c r="O98" s="448"/>
      <c r="P98" s="448"/>
      <c r="Q98" s="448"/>
      <c r="R98" s="449"/>
      <c r="S98" s="448"/>
      <c r="T98" s="450"/>
      <c r="U98" s="451"/>
      <c r="V98" s="405"/>
    </row>
    <row r="99" spans="1:23" x14ac:dyDescent="0.3">
      <c r="A99" s="569">
        <v>1</v>
      </c>
      <c r="B99" s="532" t="s">
        <v>36</v>
      </c>
      <c r="C99" s="532"/>
      <c r="D99" s="532"/>
      <c r="E99" s="532"/>
      <c r="F99" s="532"/>
      <c r="G99" s="532"/>
      <c r="H99" s="532"/>
      <c r="I99" s="532"/>
      <c r="J99" s="532"/>
      <c r="K99" s="532"/>
      <c r="L99" s="532"/>
      <c r="M99" s="532"/>
      <c r="N99" s="532"/>
      <c r="O99" s="532"/>
      <c r="P99" s="532"/>
      <c r="Q99" s="532"/>
      <c r="R99" s="532"/>
      <c r="S99" s="532"/>
      <c r="T99" s="535">
        <v>0</v>
      </c>
      <c r="U99" s="451"/>
      <c r="V99" s="405"/>
    </row>
    <row r="100" spans="1:23" x14ac:dyDescent="0.3">
      <c r="A100" s="569">
        <f>+A99+1</f>
        <v>2</v>
      </c>
      <c r="B100" s="532" t="s">
        <v>317</v>
      </c>
      <c r="C100" s="532"/>
      <c r="D100" s="532"/>
      <c r="E100" s="532"/>
      <c r="F100" s="532"/>
      <c r="G100" s="532"/>
      <c r="H100" s="532"/>
      <c r="I100" s="532"/>
      <c r="J100" s="532"/>
      <c r="K100" s="532"/>
      <c r="L100" s="532"/>
      <c r="M100" s="532"/>
      <c r="N100" s="532"/>
      <c r="O100" s="532"/>
      <c r="P100" s="532"/>
      <c r="Q100" s="532"/>
      <c r="R100" s="532"/>
      <c r="S100" s="532"/>
      <c r="T100" s="535">
        <v>-2</v>
      </c>
      <c r="U100" s="451"/>
      <c r="V100" s="405"/>
    </row>
    <row r="101" spans="1:23" x14ac:dyDescent="0.3">
      <c r="A101" s="569">
        <f>+A100+1</f>
        <v>3</v>
      </c>
      <c r="B101" s="532" t="s">
        <v>319</v>
      </c>
      <c r="C101" s="532"/>
      <c r="D101" s="532"/>
      <c r="E101" s="532"/>
      <c r="F101" s="532"/>
      <c r="G101" s="532"/>
      <c r="H101" s="532"/>
      <c r="I101" s="532"/>
      <c r="J101" s="532"/>
      <c r="K101" s="532"/>
      <c r="L101" s="532"/>
      <c r="M101" s="532"/>
      <c r="N101" s="532"/>
      <c r="O101" s="532"/>
      <c r="P101" s="532"/>
      <c r="Q101" s="532"/>
      <c r="R101" s="532"/>
      <c r="S101" s="532"/>
      <c r="T101" s="535">
        <f>-84-31-3</f>
        <v>-118</v>
      </c>
      <c r="U101" s="451"/>
      <c r="V101" s="405"/>
    </row>
    <row r="102" spans="1:23" x14ac:dyDescent="0.3">
      <c r="A102" s="569" t="s">
        <v>136</v>
      </c>
      <c r="B102" s="532" t="s">
        <v>125</v>
      </c>
      <c r="C102" s="532"/>
      <c r="D102" s="532"/>
      <c r="E102" s="532"/>
      <c r="F102" s="532"/>
      <c r="G102" s="532"/>
      <c r="H102" s="532"/>
      <c r="I102" s="532"/>
      <c r="J102" s="532"/>
      <c r="K102" s="532"/>
      <c r="L102" s="532"/>
      <c r="M102" s="532"/>
      <c r="N102" s="532"/>
      <c r="O102" s="532"/>
      <c r="P102" s="532"/>
      <c r="Q102" s="532"/>
      <c r="R102" s="532"/>
      <c r="S102" s="532"/>
      <c r="T102" s="535">
        <v>0</v>
      </c>
      <c r="U102" s="451"/>
      <c r="V102" s="405"/>
    </row>
    <row r="103" spans="1:23" x14ac:dyDescent="0.3">
      <c r="A103" s="569" t="s">
        <v>137</v>
      </c>
      <c r="B103" s="532" t="s">
        <v>267</v>
      </c>
      <c r="C103" s="532"/>
      <c r="D103" s="532"/>
      <c r="E103" s="532"/>
      <c r="F103" s="532"/>
      <c r="G103" s="532"/>
      <c r="H103" s="532"/>
      <c r="I103" s="532"/>
      <c r="J103" s="532"/>
      <c r="K103" s="532"/>
      <c r="L103" s="532"/>
      <c r="M103" s="532"/>
      <c r="N103" s="532"/>
      <c r="O103" s="532"/>
      <c r="P103" s="532"/>
      <c r="Q103" s="532"/>
      <c r="R103" s="532"/>
      <c r="S103" s="532"/>
      <c r="T103" s="535">
        <v>0</v>
      </c>
      <c r="U103" s="451"/>
      <c r="V103" s="405"/>
    </row>
    <row r="104" spans="1:23" x14ac:dyDescent="0.3">
      <c r="A104" s="569" t="s">
        <v>162</v>
      </c>
      <c r="B104" s="532" t="s">
        <v>218</v>
      </c>
      <c r="C104" s="532"/>
      <c r="D104" s="532"/>
      <c r="E104" s="532"/>
      <c r="F104" s="532"/>
      <c r="G104" s="532"/>
      <c r="H104" s="532"/>
      <c r="I104" s="532"/>
      <c r="J104" s="532"/>
      <c r="K104" s="532"/>
      <c r="L104" s="532"/>
      <c r="M104" s="532"/>
      <c r="N104" s="532"/>
      <c r="O104" s="532"/>
      <c r="P104" s="532"/>
      <c r="Q104" s="532"/>
      <c r="R104" s="532"/>
      <c r="S104" s="532"/>
      <c r="T104" s="535">
        <v>-296</v>
      </c>
      <c r="U104" s="451"/>
      <c r="V104" s="405"/>
      <c r="W104" s="452"/>
    </row>
    <row r="105" spans="1:23" x14ac:dyDescent="0.3">
      <c r="A105" s="569" t="s">
        <v>163</v>
      </c>
      <c r="B105" s="532" t="s">
        <v>219</v>
      </c>
      <c r="C105" s="532"/>
      <c r="D105" s="532"/>
      <c r="E105" s="532"/>
      <c r="F105" s="532"/>
      <c r="G105" s="532"/>
      <c r="H105" s="532"/>
      <c r="I105" s="532"/>
      <c r="J105" s="532"/>
      <c r="K105" s="532"/>
      <c r="L105" s="532"/>
      <c r="M105" s="532"/>
      <c r="N105" s="532"/>
      <c r="O105" s="532"/>
      <c r="P105" s="532"/>
      <c r="Q105" s="532"/>
      <c r="R105" s="532"/>
      <c r="S105" s="532"/>
      <c r="T105" s="535">
        <v>-213</v>
      </c>
      <c r="U105" s="451"/>
      <c r="V105" s="405"/>
      <c r="W105" s="452"/>
    </row>
    <row r="106" spans="1:23" x14ac:dyDescent="0.3">
      <c r="A106" s="569" t="s">
        <v>252</v>
      </c>
      <c r="B106" s="532" t="s">
        <v>242</v>
      </c>
      <c r="C106" s="532"/>
      <c r="D106" s="532"/>
      <c r="E106" s="532"/>
      <c r="F106" s="532"/>
      <c r="G106" s="532"/>
      <c r="H106" s="532"/>
      <c r="I106" s="532"/>
      <c r="J106" s="532"/>
      <c r="K106" s="532"/>
      <c r="L106" s="532"/>
      <c r="M106" s="532"/>
      <c r="N106" s="532"/>
      <c r="O106" s="532"/>
      <c r="P106" s="532"/>
      <c r="Q106" s="532"/>
      <c r="R106" s="532"/>
      <c r="S106" s="532"/>
      <c r="T106" s="535">
        <v>-30</v>
      </c>
      <c r="U106" s="451"/>
      <c r="V106" s="453"/>
      <c r="W106" s="452"/>
    </row>
    <row r="107" spans="1:23" x14ac:dyDescent="0.3">
      <c r="A107" s="569" t="s">
        <v>245</v>
      </c>
      <c r="B107" s="532" t="s">
        <v>220</v>
      </c>
      <c r="C107" s="532"/>
      <c r="D107" s="532"/>
      <c r="E107" s="532"/>
      <c r="F107" s="532"/>
      <c r="G107" s="532"/>
      <c r="H107" s="532"/>
      <c r="I107" s="532"/>
      <c r="J107" s="532"/>
      <c r="K107" s="532"/>
      <c r="L107" s="532"/>
      <c r="M107" s="532"/>
      <c r="N107" s="532"/>
      <c r="O107" s="532"/>
      <c r="P107" s="532"/>
      <c r="Q107" s="532"/>
      <c r="R107" s="532"/>
      <c r="S107" s="532"/>
      <c r="T107" s="535">
        <v>-16</v>
      </c>
      <c r="U107" s="451"/>
      <c r="V107" s="405"/>
      <c r="W107" s="452"/>
    </row>
    <row r="108" spans="1:23" x14ac:dyDescent="0.3">
      <c r="A108" s="569" t="s">
        <v>246</v>
      </c>
      <c r="B108" s="532" t="s">
        <v>221</v>
      </c>
      <c r="C108" s="532"/>
      <c r="D108" s="532"/>
      <c r="E108" s="532"/>
      <c r="F108" s="532"/>
      <c r="G108" s="532"/>
      <c r="H108" s="532"/>
      <c r="I108" s="532"/>
      <c r="J108" s="532"/>
      <c r="K108" s="532"/>
      <c r="L108" s="532"/>
      <c r="M108" s="532"/>
      <c r="N108" s="532"/>
      <c r="O108" s="532"/>
      <c r="P108" s="532"/>
      <c r="Q108" s="532"/>
      <c r="R108" s="532"/>
      <c r="S108" s="532"/>
      <c r="T108" s="535">
        <v>-48</v>
      </c>
      <c r="U108" s="451"/>
      <c r="V108" s="405"/>
      <c r="W108" s="452"/>
    </row>
    <row r="109" spans="1:23" x14ac:dyDescent="0.3">
      <c r="A109" s="569" t="s">
        <v>247</v>
      </c>
      <c r="B109" s="532" t="s">
        <v>222</v>
      </c>
      <c r="C109" s="532"/>
      <c r="D109" s="532"/>
      <c r="E109" s="532"/>
      <c r="F109" s="532"/>
      <c r="G109" s="532"/>
      <c r="H109" s="532"/>
      <c r="I109" s="532"/>
      <c r="J109" s="532"/>
      <c r="K109" s="532"/>
      <c r="L109" s="532"/>
      <c r="M109" s="532"/>
      <c r="N109" s="532"/>
      <c r="O109" s="532"/>
      <c r="P109" s="532"/>
      <c r="Q109" s="532"/>
      <c r="R109" s="532"/>
      <c r="S109" s="532"/>
      <c r="T109" s="535">
        <v>-9</v>
      </c>
      <c r="U109" s="451"/>
      <c r="V109" s="405"/>
      <c r="W109" s="452"/>
    </row>
    <row r="110" spans="1:23" x14ac:dyDescent="0.3">
      <c r="A110" s="569" t="s">
        <v>248</v>
      </c>
      <c r="B110" s="532" t="s">
        <v>223</v>
      </c>
      <c r="C110" s="532"/>
      <c r="D110" s="532"/>
      <c r="E110" s="532"/>
      <c r="F110" s="532"/>
      <c r="G110" s="532"/>
      <c r="H110" s="532"/>
      <c r="I110" s="532"/>
      <c r="J110" s="532"/>
      <c r="K110" s="532"/>
      <c r="L110" s="532"/>
      <c r="M110" s="532"/>
      <c r="N110" s="532"/>
      <c r="O110" s="532"/>
      <c r="P110" s="532"/>
      <c r="Q110" s="532"/>
      <c r="R110" s="532"/>
      <c r="S110" s="532"/>
      <c r="T110" s="535">
        <v>-143</v>
      </c>
      <c r="U110" s="451"/>
      <c r="V110" s="405"/>
      <c r="W110" s="452"/>
    </row>
    <row r="111" spans="1:23" x14ac:dyDescent="0.3">
      <c r="A111" s="569">
        <v>7</v>
      </c>
      <c r="B111" s="532" t="s">
        <v>318</v>
      </c>
      <c r="C111" s="532"/>
      <c r="D111" s="532"/>
      <c r="E111" s="532"/>
      <c r="F111" s="532"/>
      <c r="G111" s="532"/>
      <c r="H111" s="532"/>
      <c r="I111" s="532"/>
      <c r="J111" s="532"/>
      <c r="K111" s="532"/>
      <c r="L111" s="532"/>
      <c r="M111" s="532"/>
      <c r="N111" s="532"/>
      <c r="O111" s="532"/>
      <c r="P111" s="532"/>
      <c r="Q111" s="532"/>
      <c r="R111" s="532"/>
      <c r="S111" s="532"/>
      <c r="T111" s="535">
        <v>0</v>
      </c>
      <c r="U111" s="451"/>
      <c r="V111" s="405"/>
      <c r="W111" s="452"/>
    </row>
    <row r="112" spans="1:23" x14ac:dyDescent="0.3">
      <c r="A112" s="569">
        <v>8</v>
      </c>
      <c r="B112" s="532" t="s">
        <v>38</v>
      </c>
      <c r="C112" s="532"/>
      <c r="D112" s="532"/>
      <c r="E112" s="532"/>
      <c r="F112" s="532"/>
      <c r="G112" s="532"/>
      <c r="H112" s="532"/>
      <c r="I112" s="532"/>
      <c r="J112" s="532"/>
      <c r="K112" s="532"/>
      <c r="L112" s="532"/>
      <c r="M112" s="532"/>
      <c r="N112" s="532"/>
      <c r="O112" s="532"/>
      <c r="P112" s="532"/>
      <c r="Q112" s="532"/>
      <c r="R112" s="532"/>
      <c r="S112" s="532"/>
      <c r="T112" s="535">
        <v>-6</v>
      </c>
      <c r="U112" s="451"/>
      <c r="V112" s="405"/>
    </row>
    <row r="113" spans="1:22" x14ac:dyDescent="0.3">
      <c r="A113" s="569">
        <f t="shared" ref="A113:A118" si="0">+A112+1</f>
        <v>9</v>
      </c>
      <c r="B113" s="532" t="s">
        <v>49</v>
      </c>
      <c r="C113" s="532"/>
      <c r="D113" s="532"/>
      <c r="E113" s="532"/>
      <c r="F113" s="532"/>
      <c r="G113" s="532"/>
      <c r="H113" s="532"/>
      <c r="I113" s="532"/>
      <c r="J113" s="532"/>
      <c r="K113" s="532"/>
      <c r="L113" s="532"/>
      <c r="M113" s="532"/>
      <c r="N113" s="532"/>
      <c r="O113" s="532"/>
      <c r="P113" s="532"/>
      <c r="Q113" s="532"/>
      <c r="R113" s="531">
        <f>-T113</f>
        <v>-1</v>
      </c>
      <c r="S113" s="532"/>
      <c r="T113" s="535">
        <v>1</v>
      </c>
      <c r="U113" s="451"/>
      <c r="V113" s="405"/>
    </row>
    <row r="114" spans="1:22" x14ac:dyDescent="0.3">
      <c r="A114" s="569">
        <f t="shared" si="0"/>
        <v>10</v>
      </c>
      <c r="B114" s="532" t="s">
        <v>134</v>
      </c>
      <c r="C114" s="532"/>
      <c r="D114" s="532"/>
      <c r="E114" s="532"/>
      <c r="F114" s="532"/>
      <c r="G114" s="532"/>
      <c r="H114" s="532"/>
      <c r="I114" s="532"/>
      <c r="J114" s="532"/>
      <c r="K114" s="532"/>
      <c r="L114" s="532"/>
      <c r="M114" s="532"/>
      <c r="N114" s="532"/>
      <c r="O114" s="532"/>
      <c r="P114" s="532"/>
      <c r="Q114" s="532"/>
      <c r="R114" s="532"/>
      <c r="S114" s="532"/>
      <c r="T114" s="535">
        <v>0</v>
      </c>
      <c r="U114" s="451"/>
      <c r="V114" s="405"/>
    </row>
    <row r="115" spans="1:22" x14ac:dyDescent="0.3">
      <c r="A115" s="569">
        <f t="shared" si="0"/>
        <v>11</v>
      </c>
      <c r="B115" s="532" t="s">
        <v>39</v>
      </c>
      <c r="C115" s="532"/>
      <c r="D115" s="532"/>
      <c r="E115" s="532"/>
      <c r="F115" s="532"/>
      <c r="G115" s="532"/>
      <c r="H115" s="532"/>
      <c r="I115" s="532"/>
      <c r="J115" s="532"/>
      <c r="K115" s="532"/>
      <c r="L115" s="532"/>
      <c r="M115" s="532"/>
      <c r="N115" s="532"/>
      <c r="O115" s="532"/>
      <c r="P115" s="532"/>
      <c r="Q115" s="532"/>
      <c r="R115" s="532"/>
      <c r="S115" s="532"/>
      <c r="T115" s="535">
        <v>0</v>
      </c>
      <c r="U115" s="451"/>
      <c r="V115" s="405"/>
    </row>
    <row r="116" spans="1:22" x14ac:dyDescent="0.3">
      <c r="A116" s="569">
        <f t="shared" si="0"/>
        <v>12</v>
      </c>
      <c r="B116" s="532" t="s">
        <v>40</v>
      </c>
      <c r="C116" s="532"/>
      <c r="D116" s="532"/>
      <c r="E116" s="532"/>
      <c r="F116" s="532"/>
      <c r="G116" s="532"/>
      <c r="H116" s="532"/>
      <c r="I116" s="532"/>
      <c r="J116" s="532"/>
      <c r="K116" s="532"/>
      <c r="L116" s="532"/>
      <c r="M116" s="532"/>
      <c r="N116" s="532"/>
      <c r="O116" s="532"/>
      <c r="P116" s="532"/>
      <c r="Q116" s="532"/>
      <c r="R116" s="532"/>
      <c r="S116" s="532"/>
      <c r="T116" s="535">
        <v>0</v>
      </c>
      <c r="U116" s="451"/>
      <c r="V116" s="405"/>
    </row>
    <row r="117" spans="1:22" x14ac:dyDescent="0.3">
      <c r="A117" s="569">
        <f t="shared" si="0"/>
        <v>13</v>
      </c>
      <c r="B117" s="532" t="s">
        <v>161</v>
      </c>
      <c r="C117" s="532"/>
      <c r="D117" s="532"/>
      <c r="E117" s="532"/>
      <c r="F117" s="532"/>
      <c r="G117" s="532"/>
      <c r="H117" s="532"/>
      <c r="I117" s="532"/>
      <c r="J117" s="532"/>
      <c r="K117" s="532"/>
      <c r="L117" s="532"/>
      <c r="M117" s="532"/>
      <c r="N117" s="532"/>
      <c r="O117" s="532"/>
      <c r="P117" s="532"/>
      <c r="Q117" s="532"/>
      <c r="R117" s="532"/>
      <c r="S117" s="532"/>
      <c r="T117" s="535">
        <v>-84</v>
      </c>
      <c r="U117" s="451"/>
      <c r="V117" s="405"/>
    </row>
    <row r="118" spans="1:22" x14ac:dyDescent="0.3">
      <c r="A118" s="569">
        <f t="shared" si="0"/>
        <v>14</v>
      </c>
      <c r="B118" s="532" t="s">
        <v>135</v>
      </c>
      <c r="C118" s="532"/>
      <c r="D118" s="532"/>
      <c r="E118" s="532"/>
      <c r="F118" s="532"/>
      <c r="G118" s="532"/>
      <c r="H118" s="532"/>
      <c r="I118" s="532"/>
      <c r="J118" s="532"/>
      <c r="K118" s="532"/>
      <c r="L118" s="532"/>
      <c r="M118" s="532"/>
      <c r="N118" s="532"/>
      <c r="O118" s="532"/>
      <c r="P118" s="532"/>
      <c r="Q118" s="532"/>
      <c r="R118" s="532"/>
      <c r="S118" s="532"/>
      <c r="T118" s="535">
        <f>-T97-SUM(T99:T117)</f>
        <v>-515</v>
      </c>
      <c r="U118" s="451"/>
      <c r="V118" s="405"/>
    </row>
    <row r="119" spans="1:22" x14ac:dyDescent="0.3">
      <c r="A119" s="418"/>
      <c r="B119" s="522" t="s">
        <v>41</v>
      </c>
      <c r="C119" s="448"/>
      <c r="D119" s="448"/>
      <c r="E119" s="448"/>
      <c r="F119" s="448"/>
      <c r="G119" s="448"/>
      <c r="H119" s="448"/>
      <c r="I119" s="448"/>
      <c r="J119" s="448"/>
      <c r="K119" s="448"/>
      <c r="L119" s="448"/>
      <c r="M119" s="448"/>
      <c r="N119" s="448"/>
      <c r="O119" s="448"/>
      <c r="P119" s="448"/>
      <c r="Q119" s="448"/>
      <c r="R119" s="448"/>
      <c r="S119" s="448"/>
      <c r="T119" s="454"/>
      <c r="U119" s="451"/>
      <c r="V119" s="405"/>
    </row>
    <row r="120" spans="1:22" x14ac:dyDescent="0.3">
      <c r="A120" s="428"/>
      <c r="B120" s="532" t="s">
        <v>229</v>
      </c>
      <c r="C120" s="532"/>
      <c r="D120" s="532"/>
      <c r="E120" s="532"/>
      <c r="F120" s="532"/>
      <c r="G120" s="532"/>
      <c r="H120" s="532"/>
      <c r="I120" s="532"/>
      <c r="J120" s="532"/>
      <c r="K120" s="532"/>
      <c r="L120" s="532"/>
      <c r="M120" s="532"/>
      <c r="N120" s="532"/>
      <c r="O120" s="532"/>
      <c r="P120" s="532"/>
      <c r="Q120" s="532"/>
      <c r="R120" s="531">
        <f>-R180</f>
        <v>0</v>
      </c>
      <c r="S120" s="531"/>
      <c r="T120" s="535"/>
      <c r="U120" s="562"/>
      <c r="V120" s="405"/>
    </row>
    <row r="121" spans="1:22" x14ac:dyDescent="0.3">
      <c r="A121" s="428"/>
      <c r="B121" s="532" t="s">
        <v>230</v>
      </c>
      <c r="C121" s="532"/>
      <c r="D121" s="532"/>
      <c r="E121" s="532"/>
      <c r="F121" s="532"/>
      <c r="G121" s="532"/>
      <c r="H121" s="532"/>
      <c r="I121" s="532"/>
      <c r="J121" s="532"/>
      <c r="K121" s="532"/>
      <c r="L121" s="532"/>
      <c r="M121" s="532"/>
      <c r="N121" s="532"/>
      <c r="O121" s="532"/>
      <c r="P121" s="532"/>
      <c r="Q121" s="532"/>
      <c r="R121" s="531">
        <v>0</v>
      </c>
      <c r="S121" s="531"/>
      <c r="T121" s="535"/>
      <c r="U121" s="562"/>
      <c r="V121" s="405"/>
    </row>
    <row r="122" spans="1:22" x14ac:dyDescent="0.3">
      <c r="A122" s="428"/>
      <c r="B122" s="532" t="s">
        <v>42</v>
      </c>
      <c r="C122" s="532"/>
      <c r="D122" s="532"/>
      <c r="E122" s="532"/>
      <c r="F122" s="532"/>
      <c r="G122" s="532"/>
      <c r="H122" s="532"/>
      <c r="I122" s="532"/>
      <c r="J122" s="532"/>
      <c r="K122" s="532"/>
      <c r="L122" s="532"/>
      <c r="M122" s="532"/>
      <c r="N122" s="532"/>
      <c r="O122" s="532"/>
      <c r="P122" s="532"/>
      <c r="Q122" s="532"/>
      <c r="R122" s="531">
        <f>-Q180</f>
        <v>0</v>
      </c>
      <c r="S122" s="531"/>
      <c r="T122" s="535"/>
      <c r="U122" s="562"/>
      <c r="V122" s="405"/>
    </row>
    <row r="123" spans="1:22" x14ac:dyDescent="0.3">
      <c r="A123" s="428"/>
      <c r="B123" s="532" t="s">
        <v>235</v>
      </c>
      <c r="C123" s="532"/>
      <c r="D123" s="532"/>
      <c r="E123" s="532"/>
      <c r="F123" s="532"/>
      <c r="G123" s="532"/>
      <c r="H123" s="532"/>
      <c r="I123" s="532"/>
      <c r="J123" s="532"/>
      <c r="K123" s="532"/>
      <c r="L123" s="532"/>
      <c r="M123" s="532"/>
      <c r="N123" s="532"/>
      <c r="O123" s="532"/>
      <c r="P123" s="532"/>
      <c r="Q123" s="532"/>
      <c r="R123" s="531">
        <v>-1932</v>
      </c>
      <c r="S123" s="531"/>
      <c r="T123" s="535"/>
      <c r="U123" s="562"/>
      <c r="V123" s="405"/>
    </row>
    <row r="124" spans="1:22" x14ac:dyDescent="0.3">
      <c r="A124" s="428"/>
      <c r="B124" s="532" t="s">
        <v>236</v>
      </c>
      <c r="C124" s="532"/>
      <c r="D124" s="532"/>
      <c r="E124" s="532"/>
      <c r="F124" s="532"/>
      <c r="G124" s="532"/>
      <c r="H124" s="532"/>
      <c r="I124" s="532"/>
      <c r="J124" s="532"/>
      <c r="K124" s="532"/>
      <c r="L124" s="532"/>
      <c r="M124" s="532"/>
      <c r="N124" s="532"/>
      <c r="O124" s="532"/>
      <c r="P124" s="532"/>
      <c r="Q124" s="532"/>
      <c r="R124" s="531">
        <v>-1365</v>
      </c>
      <c r="S124" s="531"/>
      <c r="T124" s="535"/>
      <c r="U124" s="562"/>
      <c r="V124" s="405"/>
    </row>
    <row r="125" spans="1:22" x14ac:dyDescent="0.3">
      <c r="A125" s="428"/>
      <c r="B125" s="532" t="s">
        <v>241</v>
      </c>
      <c r="C125" s="532"/>
      <c r="D125" s="532"/>
      <c r="E125" s="532"/>
      <c r="F125" s="532"/>
      <c r="G125" s="532"/>
      <c r="H125" s="532"/>
      <c r="I125" s="532"/>
      <c r="J125" s="532"/>
      <c r="K125" s="532"/>
      <c r="L125" s="532"/>
      <c r="M125" s="532"/>
      <c r="N125" s="532"/>
      <c r="O125" s="532"/>
      <c r="P125" s="532"/>
      <c r="Q125" s="532"/>
      <c r="R125" s="531">
        <v>-189</v>
      </c>
      <c r="S125" s="531"/>
      <c r="T125" s="535"/>
      <c r="U125" s="562"/>
      <c r="V125" s="405"/>
    </row>
    <row r="126" spans="1:22" x14ac:dyDescent="0.3">
      <c r="A126" s="428"/>
      <c r="B126" s="532" t="s">
        <v>237</v>
      </c>
      <c r="C126" s="532"/>
      <c r="D126" s="532"/>
      <c r="E126" s="532"/>
      <c r="F126" s="532"/>
      <c r="G126" s="532"/>
      <c r="H126" s="532"/>
      <c r="I126" s="532"/>
      <c r="J126" s="532"/>
      <c r="K126" s="532"/>
      <c r="L126" s="532"/>
      <c r="M126" s="532"/>
      <c r="N126" s="532"/>
      <c r="O126" s="532"/>
      <c r="P126" s="532"/>
      <c r="Q126" s="532"/>
      <c r="R126" s="531">
        <v>-89</v>
      </c>
      <c r="S126" s="531"/>
      <c r="T126" s="535"/>
      <c r="U126" s="562"/>
      <c r="V126" s="405"/>
    </row>
    <row r="127" spans="1:22" x14ac:dyDescent="0.3">
      <c r="A127" s="428"/>
      <c r="B127" s="532" t="s">
        <v>238</v>
      </c>
      <c r="C127" s="532"/>
      <c r="D127" s="532"/>
      <c r="E127" s="532"/>
      <c r="F127" s="532"/>
      <c r="G127" s="532"/>
      <c r="H127" s="532"/>
      <c r="I127" s="532"/>
      <c r="J127" s="532"/>
      <c r="K127" s="532"/>
      <c r="L127" s="532"/>
      <c r="M127" s="532"/>
      <c r="N127" s="532"/>
      <c r="O127" s="532"/>
      <c r="P127" s="532"/>
      <c r="Q127" s="532"/>
      <c r="R127" s="531">
        <v>-258</v>
      </c>
      <c r="S127" s="531"/>
      <c r="T127" s="535"/>
      <c r="U127" s="562"/>
      <c r="V127" s="405"/>
    </row>
    <row r="128" spans="1:22" x14ac:dyDescent="0.3">
      <c r="A128" s="428"/>
      <c r="B128" s="532" t="s">
        <v>239</v>
      </c>
      <c r="C128" s="532"/>
      <c r="D128" s="532"/>
      <c r="E128" s="532"/>
      <c r="F128" s="532"/>
      <c r="G128" s="532"/>
      <c r="H128" s="532"/>
      <c r="I128" s="532"/>
      <c r="J128" s="532"/>
      <c r="K128" s="532"/>
      <c r="L128" s="532"/>
      <c r="M128" s="532"/>
      <c r="N128" s="532"/>
      <c r="O128" s="532"/>
      <c r="P128" s="532"/>
      <c r="Q128" s="532"/>
      <c r="R128" s="531">
        <v>-38</v>
      </c>
      <c r="S128" s="531"/>
      <c r="T128" s="535"/>
      <c r="U128" s="562"/>
      <c r="V128" s="405"/>
    </row>
    <row r="129" spans="1:22" x14ac:dyDescent="0.3">
      <c r="A129" s="428"/>
      <c r="B129" s="532" t="s">
        <v>240</v>
      </c>
      <c r="C129" s="532"/>
      <c r="D129" s="532"/>
      <c r="E129" s="532"/>
      <c r="F129" s="532"/>
      <c r="G129" s="532"/>
      <c r="H129" s="532"/>
      <c r="I129" s="532"/>
      <c r="J129" s="532"/>
      <c r="K129" s="532"/>
      <c r="L129" s="532"/>
      <c r="M129" s="532"/>
      <c r="N129" s="532"/>
      <c r="O129" s="532"/>
      <c r="P129" s="532"/>
      <c r="Q129" s="532"/>
      <c r="R129" s="531">
        <v>-576</v>
      </c>
      <c r="S129" s="531"/>
      <c r="T129" s="535"/>
      <c r="U129" s="562"/>
      <c r="V129" s="405"/>
    </row>
    <row r="130" spans="1:22" x14ac:dyDescent="0.3">
      <c r="A130" s="428"/>
      <c r="B130" s="532" t="s">
        <v>43</v>
      </c>
      <c r="C130" s="532"/>
      <c r="D130" s="532"/>
      <c r="E130" s="532"/>
      <c r="F130" s="532"/>
      <c r="G130" s="532"/>
      <c r="H130" s="532"/>
      <c r="I130" s="532"/>
      <c r="J130" s="532"/>
      <c r="K130" s="532"/>
      <c r="L130" s="532"/>
      <c r="M130" s="532"/>
      <c r="N130" s="532"/>
      <c r="O130" s="532"/>
      <c r="P130" s="532"/>
      <c r="Q130" s="532"/>
      <c r="R130" s="531">
        <f>SUM(R120:R129)</f>
        <v>-4447</v>
      </c>
      <c r="S130" s="531"/>
      <c r="T130" s="531">
        <f>SUM(T98:T128)</f>
        <v>-1479</v>
      </c>
      <c r="U130" s="562"/>
      <c r="V130" s="405"/>
    </row>
    <row r="131" spans="1:22" x14ac:dyDescent="0.3">
      <c r="A131" s="428"/>
      <c r="B131" s="532" t="s">
        <v>44</v>
      </c>
      <c r="C131" s="532"/>
      <c r="D131" s="532"/>
      <c r="E131" s="532"/>
      <c r="F131" s="532"/>
      <c r="G131" s="532"/>
      <c r="H131" s="532"/>
      <c r="I131" s="532"/>
      <c r="J131" s="532"/>
      <c r="K131" s="532"/>
      <c r="L131" s="532"/>
      <c r="M131" s="532"/>
      <c r="N131" s="532"/>
      <c r="O131" s="532"/>
      <c r="P131" s="532"/>
      <c r="Q131" s="532"/>
      <c r="R131" s="531">
        <f>R97+R130+R113</f>
        <v>0</v>
      </c>
      <c r="S131" s="531"/>
      <c r="T131" s="531">
        <f>T97+T130</f>
        <v>0</v>
      </c>
      <c r="U131" s="562"/>
      <c r="V131" s="405"/>
    </row>
    <row r="132" spans="1:22" x14ac:dyDescent="0.3">
      <c r="A132" s="430"/>
      <c r="B132" s="431"/>
      <c r="C132" s="431"/>
      <c r="D132" s="431"/>
      <c r="E132" s="431"/>
      <c r="F132" s="431"/>
      <c r="G132" s="431"/>
      <c r="H132" s="431"/>
      <c r="I132" s="431"/>
      <c r="J132" s="431"/>
      <c r="K132" s="431"/>
      <c r="L132" s="431"/>
      <c r="M132" s="431"/>
      <c r="N132" s="431"/>
      <c r="O132" s="431"/>
      <c r="P132" s="431"/>
      <c r="Q132" s="431"/>
      <c r="R132" s="455"/>
      <c r="S132" s="455"/>
      <c r="T132" s="455"/>
      <c r="U132" s="431"/>
      <c r="V132" s="405"/>
    </row>
    <row r="133" spans="1:22" x14ac:dyDescent="0.3">
      <c r="A133" s="430"/>
      <c r="B133" s="434"/>
      <c r="C133" s="434"/>
      <c r="D133" s="434"/>
      <c r="E133" s="434"/>
      <c r="F133" s="434"/>
      <c r="G133" s="434"/>
      <c r="H133" s="434"/>
      <c r="I133" s="434"/>
      <c r="J133" s="434"/>
      <c r="K133" s="434"/>
      <c r="L133" s="434"/>
      <c r="M133" s="434"/>
      <c r="N133" s="434"/>
      <c r="O133" s="434"/>
      <c r="P133" s="434"/>
      <c r="Q133" s="434"/>
      <c r="R133" s="434"/>
      <c r="S133" s="434"/>
      <c r="T133" s="456"/>
      <c r="U133" s="434"/>
      <c r="V133" s="405"/>
    </row>
    <row r="134" spans="1:22" ht="18.600000000000001" thickBot="1" x14ac:dyDescent="0.4">
      <c r="A134" s="437"/>
      <c r="B134" s="565" t="str">
        <f>B61</f>
        <v>PM9 INVESTOR REPORT QUARTER ENDING JANUARY 2019</v>
      </c>
      <c r="C134" s="438"/>
      <c r="D134" s="438"/>
      <c r="E134" s="438"/>
      <c r="F134" s="438"/>
      <c r="G134" s="438"/>
      <c r="H134" s="438"/>
      <c r="I134" s="438"/>
      <c r="J134" s="438"/>
      <c r="K134" s="438"/>
      <c r="L134" s="438"/>
      <c r="M134" s="438"/>
      <c r="N134" s="438"/>
      <c r="O134" s="438"/>
      <c r="P134" s="438"/>
      <c r="Q134" s="438"/>
      <c r="R134" s="438"/>
      <c r="S134" s="438"/>
      <c r="T134" s="457"/>
      <c r="U134" s="440"/>
      <c r="V134" s="405"/>
    </row>
    <row r="135" spans="1:22" x14ac:dyDescent="0.3">
      <c r="A135" s="507"/>
      <c r="B135" s="508" t="s">
        <v>45</v>
      </c>
      <c r="C135" s="509"/>
      <c r="D135" s="509"/>
      <c r="E135" s="509"/>
      <c r="F135" s="509"/>
      <c r="G135" s="509"/>
      <c r="H135" s="509"/>
      <c r="I135" s="509"/>
      <c r="J135" s="509"/>
      <c r="K135" s="509"/>
      <c r="L135" s="509"/>
      <c r="M135" s="509"/>
      <c r="N135" s="509"/>
      <c r="O135" s="509"/>
      <c r="P135" s="509"/>
      <c r="Q135" s="509"/>
      <c r="R135" s="509"/>
      <c r="S135" s="509"/>
      <c r="T135" s="510"/>
      <c r="U135" s="509"/>
      <c r="V135" s="405"/>
    </row>
    <row r="136" spans="1:22" x14ac:dyDescent="0.3">
      <c r="A136" s="407"/>
      <c r="B136" s="458"/>
      <c r="C136" s="409"/>
      <c r="D136" s="409"/>
      <c r="E136" s="409"/>
      <c r="F136" s="409"/>
      <c r="G136" s="409"/>
      <c r="H136" s="409"/>
      <c r="I136" s="409"/>
      <c r="J136" s="409"/>
      <c r="K136" s="409"/>
      <c r="L136" s="409"/>
      <c r="M136" s="409"/>
      <c r="N136" s="409"/>
      <c r="O136" s="409"/>
      <c r="P136" s="409"/>
      <c r="Q136" s="409"/>
      <c r="R136" s="409"/>
      <c r="S136" s="409"/>
      <c r="T136" s="441"/>
      <c r="U136" s="409"/>
      <c r="V136" s="405"/>
    </row>
    <row r="137" spans="1:22" x14ac:dyDescent="0.3">
      <c r="A137" s="407"/>
      <c r="B137" s="523" t="s">
        <v>46</v>
      </c>
      <c r="C137" s="409"/>
      <c r="D137" s="409"/>
      <c r="E137" s="409"/>
      <c r="F137" s="409"/>
      <c r="G137" s="409"/>
      <c r="H137" s="409"/>
      <c r="I137" s="409"/>
      <c r="J137" s="409"/>
      <c r="K137" s="409"/>
      <c r="L137" s="409"/>
      <c r="M137" s="409"/>
      <c r="N137" s="409"/>
      <c r="O137" s="409"/>
      <c r="P137" s="409"/>
      <c r="Q137" s="409"/>
      <c r="R137" s="409"/>
      <c r="S137" s="409"/>
      <c r="T137" s="441"/>
      <c r="U137" s="409"/>
      <c r="V137" s="405"/>
    </row>
    <row r="138" spans="1:22" x14ac:dyDescent="0.3">
      <c r="A138" s="418"/>
      <c r="B138" s="532" t="s">
        <v>47</v>
      </c>
      <c r="C138" s="532"/>
      <c r="D138" s="532"/>
      <c r="E138" s="532"/>
      <c r="F138" s="532"/>
      <c r="G138" s="532"/>
      <c r="H138" s="532"/>
      <c r="I138" s="532"/>
      <c r="J138" s="532"/>
      <c r="K138" s="532"/>
      <c r="L138" s="532"/>
      <c r="M138" s="532"/>
      <c r="N138" s="532"/>
      <c r="O138" s="532"/>
      <c r="P138" s="532"/>
      <c r="Q138" s="532"/>
      <c r="R138" s="532"/>
      <c r="S138" s="532"/>
      <c r="T138" s="535">
        <f>+T32*0.0176</f>
        <v>12320</v>
      </c>
      <c r="U138" s="420"/>
      <c r="V138" s="405"/>
    </row>
    <row r="139" spans="1:22" x14ac:dyDescent="0.3">
      <c r="A139" s="418"/>
      <c r="B139" s="532" t="s">
        <v>48</v>
      </c>
      <c r="C139" s="532"/>
      <c r="D139" s="532"/>
      <c r="E139" s="532"/>
      <c r="F139" s="532"/>
      <c r="G139" s="532"/>
      <c r="H139" s="532"/>
      <c r="I139" s="532"/>
      <c r="J139" s="532"/>
      <c r="K139" s="532"/>
      <c r="L139" s="532"/>
      <c r="M139" s="532"/>
      <c r="N139" s="532"/>
      <c r="O139" s="532"/>
      <c r="P139" s="532"/>
      <c r="Q139" s="532"/>
      <c r="R139" s="532"/>
      <c r="S139" s="532"/>
      <c r="T139" s="535">
        <v>12320</v>
      </c>
      <c r="U139" s="420"/>
      <c r="V139" s="405"/>
    </row>
    <row r="140" spans="1:22" x14ac:dyDescent="0.3">
      <c r="A140" s="418"/>
      <c r="B140" s="532" t="s">
        <v>145</v>
      </c>
      <c r="C140" s="532"/>
      <c r="D140" s="532"/>
      <c r="E140" s="532"/>
      <c r="F140" s="532"/>
      <c r="G140" s="532"/>
      <c r="H140" s="532"/>
      <c r="I140" s="532"/>
      <c r="J140" s="532"/>
      <c r="K140" s="532"/>
      <c r="L140" s="532"/>
      <c r="M140" s="532"/>
      <c r="N140" s="532"/>
      <c r="O140" s="532"/>
      <c r="P140" s="532"/>
      <c r="Q140" s="532"/>
      <c r="R140" s="532"/>
      <c r="S140" s="532"/>
      <c r="T140" s="535">
        <v>0</v>
      </c>
      <c r="U140" s="420"/>
      <c r="V140" s="405"/>
    </row>
    <row r="141" spans="1:22" x14ac:dyDescent="0.3">
      <c r="A141" s="418"/>
      <c r="B141" s="532" t="s">
        <v>132</v>
      </c>
      <c r="C141" s="532"/>
      <c r="D141" s="532"/>
      <c r="E141" s="532"/>
      <c r="F141" s="532"/>
      <c r="G141" s="532"/>
      <c r="H141" s="532"/>
      <c r="I141" s="532"/>
      <c r="J141" s="532"/>
      <c r="K141" s="532"/>
      <c r="L141" s="532"/>
      <c r="M141" s="532"/>
      <c r="N141" s="532"/>
      <c r="O141" s="532"/>
      <c r="P141" s="532"/>
      <c r="Q141" s="532"/>
      <c r="R141" s="532"/>
      <c r="S141" s="532"/>
      <c r="T141" s="535">
        <v>0</v>
      </c>
      <c r="U141" s="420"/>
      <c r="V141" s="405"/>
    </row>
    <row r="142" spans="1:22" x14ac:dyDescent="0.3">
      <c r="A142" s="418"/>
      <c r="B142" s="532" t="s">
        <v>133</v>
      </c>
      <c r="C142" s="532"/>
      <c r="D142" s="532"/>
      <c r="E142" s="532"/>
      <c r="F142" s="532"/>
      <c r="G142" s="532"/>
      <c r="H142" s="532"/>
      <c r="I142" s="532"/>
      <c r="J142" s="532"/>
      <c r="K142" s="532"/>
      <c r="L142" s="532"/>
      <c r="M142" s="532"/>
      <c r="N142" s="532"/>
      <c r="O142" s="532"/>
      <c r="P142" s="532"/>
      <c r="Q142" s="532"/>
      <c r="R142" s="532"/>
      <c r="S142" s="532"/>
      <c r="T142" s="535">
        <v>0</v>
      </c>
      <c r="U142" s="420"/>
      <c r="V142" s="405"/>
    </row>
    <row r="143" spans="1:22" x14ac:dyDescent="0.3">
      <c r="A143" s="418"/>
      <c r="B143" s="532" t="s">
        <v>232</v>
      </c>
      <c r="C143" s="532"/>
      <c r="D143" s="532"/>
      <c r="E143" s="532"/>
      <c r="F143" s="532"/>
      <c r="G143" s="532"/>
      <c r="H143" s="532"/>
      <c r="I143" s="532"/>
      <c r="J143" s="532"/>
      <c r="K143" s="532"/>
      <c r="L143" s="532"/>
      <c r="M143" s="532"/>
      <c r="N143" s="532"/>
      <c r="O143" s="532"/>
      <c r="P143" s="532"/>
      <c r="Q143" s="532"/>
      <c r="R143" s="532"/>
      <c r="S143" s="532"/>
      <c r="T143" s="535">
        <v>0</v>
      </c>
      <c r="U143" s="420"/>
      <c r="V143" s="405"/>
    </row>
    <row r="144" spans="1:22" x14ac:dyDescent="0.3">
      <c r="A144" s="418"/>
      <c r="B144" s="532" t="s">
        <v>49</v>
      </c>
      <c r="C144" s="532"/>
      <c r="D144" s="532"/>
      <c r="E144" s="532"/>
      <c r="F144" s="532"/>
      <c r="G144" s="532"/>
      <c r="H144" s="532"/>
      <c r="I144" s="532"/>
      <c r="J144" s="532"/>
      <c r="K144" s="532"/>
      <c r="L144" s="532"/>
      <c r="M144" s="532"/>
      <c r="N144" s="532"/>
      <c r="O144" s="532"/>
      <c r="P144" s="532"/>
      <c r="Q144" s="532"/>
      <c r="R144" s="532"/>
      <c r="S144" s="532"/>
      <c r="T144" s="535">
        <v>0</v>
      </c>
      <c r="U144" s="420"/>
      <c r="V144" s="405"/>
    </row>
    <row r="145" spans="1:23" x14ac:dyDescent="0.3">
      <c r="A145" s="418"/>
      <c r="B145" s="532" t="s">
        <v>138</v>
      </c>
      <c r="C145" s="532"/>
      <c r="D145" s="532"/>
      <c r="E145" s="532"/>
      <c r="F145" s="532"/>
      <c r="G145" s="532"/>
      <c r="H145" s="532"/>
      <c r="I145" s="532"/>
      <c r="J145" s="532"/>
      <c r="K145" s="532"/>
      <c r="L145" s="532"/>
      <c r="M145" s="532"/>
      <c r="N145" s="532"/>
      <c r="O145" s="532"/>
      <c r="P145" s="532"/>
      <c r="Q145" s="532"/>
      <c r="R145" s="532"/>
      <c r="S145" s="532"/>
      <c r="T145" s="535">
        <v>0</v>
      </c>
      <c r="U145" s="420"/>
      <c r="V145" s="405"/>
    </row>
    <row r="146" spans="1:23" x14ac:dyDescent="0.3">
      <c r="A146" s="418"/>
      <c r="B146" s="532" t="s">
        <v>231</v>
      </c>
      <c r="C146" s="532"/>
      <c r="D146" s="532"/>
      <c r="E146" s="532"/>
      <c r="F146" s="532"/>
      <c r="G146" s="532"/>
      <c r="H146" s="532"/>
      <c r="I146" s="532"/>
      <c r="J146" s="532"/>
      <c r="K146" s="532"/>
      <c r="L146" s="532"/>
      <c r="M146" s="532"/>
      <c r="N146" s="532"/>
      <c r="O146" s="532"/>
      <c r="P146" s="532"/>
      <c r="Q146" s="532"/>
      <c r="R146" s="532"/>
      <c r="S146" s="532"/>
      <c r="T146" s="535">
        <v>0</v>
      </c>
      <c r="U146" s="420"/>
      <c r="V146" s="405"/>
      <c r="W146" s="452"/>
    </row>
    <row r="147" spans="1:23" x14ac:dyDescent="0.3">
      <c r="A147" s="418"/>
      <c r="B147" s="532" t="s">
        <v>50</v>
      </c>
      <c r="C147" s="532"/>
      <c r="D147" s="532"/>
      <c r="E147" s="532"/>
      <c r="F147" s="532"/>
      <c r="G147" s="532"/>
      <c r="H147" s="532"/>
      <c r="I147" s="532"/>
      <c r="J147" s="532"/>
      <c r="K147" s="532"/>
      <c r="L147" s="532"/>
      <c r="M147" s="532"/>
      <c r="N147" s="532"/>
      <c r="O147" s="532"/>
      <c r="P147" s="532"/>
      <c r="Q147" s="532"/>
      <c r="R147" s="532"/>
      <c r="S147" s="532"/>
      <c r="T147" s="535">
        <f>SUM(T139:T146)</f>
        <v>12320</v>
      </c>
      <c r="U147" s="420"/>
      <c r="V147" s="405"/>
    </row>
    <row r="148" spans="1:23" x14ac:dyDescent="0.3">
      <c r="A148" s="418"/>
      <c r="B148" s="448"/>
      <c r="C148" s="448"/>
      <c r="D148" s="448"/>
      <c r="E148" s="448"/>
      <c r="F148" s="448"/>
      <c r="G148" s="448"/>
      <c r="H148" s="448"/>
      <c r="I148" s="448"/>
      <c r="J148" s="448"/>
      <c r="K148" s="448"/>
      <c r="L148" s="448"/>
      <c r="M148" s="448"/>
      <c r="N148" s="448"/>
      <c r="O148" s="448"/>
      <c r="P148" s="448"/>
      <c r="Q148" s="448"/>
      <c r="R148" s="448"/>
      <c r="S148" s="448"/>
      <c r="T148" s="450"/>
      <c r="U148" s="451"/>
      <c r="V148" s="405"/>
    </row>
    <row r="149" spans="1:23" x14ac:dyDescent="0.3">
      <c r="A149" s="418"/>
      <c r="B149" s="522" t="s">
        <v>264</v>
      </c>
      <c r="C149" s="448"/>
      <c r="D149" s="448"/>
      <c r="E149" s="448"/>
      <c r="F149" s="448"/>
      <c r="G149" s="448"/>
      <c r="H149" s="448"/>
      <c r="I149" s="448"/>
      <c r="J149" s="448"/>
      <c r="K149" s="448"/>
      <c r="L149" s="448"/>
      <c r="M149" s="448"/>
      <c r="N149" s="448"/>
      <c r="O149" s="448"/>
      <c r="P149" s="448"/>
      <c r="Q149" s="448"/>
      <c r="R149" s="448"/>
      <c r="S149" s="448"/>
      <c r="T149" s="450"/>
      <c r="U149" s="451"/>
      <c r="V149" s="405"/>
    </row>
    <row r="150" spans="1:23" x14ac:dyDescent="0.3">
      <c r="A150" s="418"/>
      <c r="B150" s="532" t="s">
        <v>170</v>
      </c>
      <c r="C150" s="532"/>
      <c r="D150" s="532"/>
      <c r="E150" s="532"/>
      <c r="F150" s="532"/>
      <c r="G150" s="532"/>
      <c r="H150" s="532"/>
      <c r="I150" s="532"/>
      <c r="J150" s="532"/>
      <c r="K150" s="532"/>
      <c r="L150" s="532"/>
      <c r="M150" s="532"/>
      <c r="N150" s="532"/>
      <c r="O150" s="532"/>
      <c r="P150" s="532"/>
      <c r="Q150" s="532"/>
      <c r="R150" s="532"/>
      <c r="S150" s="532"/>
      <c r="T150" s="535">
        <v>10000</v>
      </c>
      <c r="U150" s="420"/>
      <c r="V150" s="405"/>
    </row>
    <row r="151" spans="1:23" x14ac:dyDescent="0.3">
      <c r="A151" s="418"/>
      <c r="B151" s="532" t="s">
        <v>260</v>
      </c>
      <c r="C151" s="532"/>
      <c r="D151" s="532"/>
      <c r="E151" s="532"/>
      <c r="F151" s="532"/>
      <c r="G151" s="532"/>
      <c r="H151" s="532"/>
      <c r="I151" s="532"/>
      <c r="J151" s="532"/>
      <c r="K151" s="532"/>
      <c r="L151" s="532"/>
      <c r="M151" s="532"/>
      <c r="N151" s="532"/>
      <c r="O151" s="532"/>
      <c r="P151" s="532"/>
      <c r="Q151" s="532"/>
      <c r="R151" s="532"/>
      <c r="S151" s="532"/>
      <c r="T151" s="535">
        <v>0</v>
      </c>
      <c r="U151" s="420"/>
      <c r="V151" s="405"/>
    </row>
    <row r="152" spans="1:23" x14ac:dyDescent="0.3">
      <c r="A152" s="418"/>
      <c r="B152" s="532" t="s">
        <v>228</v>
      </c>
      <c r="C152" s="532"/>
      <c r="D152" s="532"/>
      <c r="E152" s="532"/>
      <c r="F152" s="532"/>
      <c r="G152" s="532"/>
      <c r="H152" s="532"/>
      <c r="I152" s="532"/>
      <c r="J152" s="532"/>
      <c r="K152" s="532"/>
      <c r="L152" s="532"/>
      <c r="M152" s="532"/>
      <c r="N152" s="532"/>
      <c r="O152" s="532"/>
      <c r="P152" s="532"/>
      <c r="Q152" s="532"/>
      <c r="R152" s="532"/>
      <c r="S152" s="532"/>
      <c r="T152" s="535">
        <v>0</v>
      </c>
      <c r="U152" s="420"/>
      <c r="V152" s="405"/>
    </row>
    <row r="153" spans="1:23" x14ac:dyDescent="0.3">
      <c r="A153" s="418"/>
      <c r="B153" s="568" t="s">
        <v>327</v>
      </c>
      <c r="C153" s="532"/>
      <c r="D153" s="532"/>
      <c r="E153" s="532"/>
      <c r="F153" s="532"/>
      <c r="G153" s="532"/>
      <c r="H153" s="532"/>
      <c r="I153" s="532"/>
      <c r="J153" s="532"/>
      <c r="K153" s="532"/>
      <c r="L153" s="532"/>
      <c r="M153" s="532"/>
      <c r="N153" s="532"/>
      <c r="O153" s="532"/>
      <c r="P153" s="532"/>
      <c r="Q153" s="532"/>
      <c r="R153" s="532"/>
      <c r="S153" s="532"/>
      <c r="T153" s="535">
        <v>0</v>
      </c>
      <c r="U153" s="420"/>
      <c r="V153" s="405"/>
    </row>
    <row r="154" spans="1:23" x14ac:dyDescent="0.3">
      <c r="A154" s="418"/>
      <c r="B154" s="448"/>
      <c r="C154" s="448"/>
      <c r="D154" s="448"/>
      <c r="E154" s="448"/>
      <c r="F154" s="448"/>
      <c r="G154" s="448"/>
      <c r="H154" s="448"/>
      <c r="I154" s="448"/>
      <c r="J154" s="448"/>
      <c r="K154" s="448"/>
      <c r="L154" s="448"/>
      <c r="M154" s="448"/>
      <c r="N154" s="448"/>
      <c r="O154" s="448"/>
      <c r="P154" s="448"/>
      <c r="Q154" s="448"/>
      <c r="R154" s="448"/>
      <c r="S154" s="448"/>
      <c r="T154" s="450"/>
      <c r="U154" s="451"/>
      <c r="V154" s="405"/>
    </row>
    <row r="155" spans="1:23" x14ac:dyDescent="0.3">
      <c r="A155" s="407"/>
      <c r="B155" s="444"/>
      <c r="C155" s="444"/>
      <c r="D155" s="444"/>
      <c r="E155" s="444"/>
      <c r="F155" s="444"/>
      <c r="G155" s="444"/>
      <c r="H155" s="444"/>
      <c r="I155" s="444"/>
      <c r="J155" s="444"/>
      <c r="K155" s="444"/>
      <c r="L155" s="444"/>
      <c r="M155" s="444"/>
      <c r="N155" s="444"/>
      <c r="O155" s="444"/>
      <c r="P155" s="444"/>
      <c r="Q155" s="444"/>
      <c r="R155" s="444"/>
      <c r="S155" s="444"/>
      <c r="T155" s="459"/>
      <c r="U155" s="444"/>
      <c r="V155" s="405"/>
    </row>
    <row r="156" spans="1:23" x14ac:dyDescent="0.3">
      <c r="A156" s="407"/>
      <c r="B156" s="523" t="s">
        <v>25</v>
      </c>
      <c r="C156" s="409"/>
      <c r="D156" s="409"/>
      <c r="E156" s="409"/>
      <c r="F156" s="409"/>
      <c r="G156" s="409"/>
      <c r="H156" s="409"/>
      <c r="I156" s="409"/>
      <c r="J156" s="409"/>
      <c r="K156" s="409"/>
      <c r="L156" s="409"/>
      <c r="M156" s="409"/>
      <c r="N156" s="409"/>
      <c r="O156" s="409"/>
      <c r="P156" s="409"/>
      <c r="Q156" s="409"/>
      <c r="R156" s="409"/>
      <c r="S156" s="409"/>
      <c r="T156" s="441"/>
      <c r="U156" s="409"/>
      <c r="V156" s="405"/>
    </row>
    <row r="157" spans="1:23" x14ac:dyDescent="0.3">
      <c r="A157" s="418"/>
      <c r="B157" s="532" t="s">
        <v>51</v>
      </c>
      <c r="C157" s="532"/>
      <c r="D157" s="532"/>
      <c r="E157" s="532"/>
      <c r="F157" s="532"/>
      <c r="G157" s="532"/>
      <c r="H157" s="532"/>
      <c r="I157" s="532"/>
      <c r="J157" s="532"/>
      <c r="K157" s="532"/>
      <c r="L157" s="532"/>
      <c r="M157" s="532"/>
      <c r="N157" s="532"/>
      <c r="O157" s="532"/>
      <c r="P157" s="532"/>
      <c r="Q157" s="532"/>
      <c r="R157" s="532"/>
      <c r="S157" s="532"/>
      <c r="T157" s="561" t="s">
        <v>127</v>
      </c>
      <c r="U157" s="451"/>
      <c r="V157" s="405"/>
    </row>
    <row r="158" spans="1:23" x14ac:dyDescent="0.3">
      <c r="A158" s="418"/>
      <c r="B158" s="532" t="s">
        <v>52</v>
      </c>
      <c r="C158" s="532"/>
      <c r="D158" s="532"/>
      <c r="E158" s="532"/>
      <c r="F158" s="532"/>
      <c r="G158" s="532"/>
      <c r="H158" s="532"/>
      <c r="I158" s="532"/>
      <c r="J158" s="532"/>
      <c r="K158" s="532"/>
      <c r="L158" s="532"/>
      <c r="M158" s="532"/>
      <c r="N158" s="532"/>
      <c r="O158" s="532"/>
      <c r="P158" s="532"/>
      <c r="Q158" s="532"/>
      <c r="R158" s="532"/>
      <c r="S158" s="532"/>
      <c r="T158" s="561" t="s">
        <v>127</v>
      </c>
      <c r="U158" s="451"/>
      <c r="V158" s="405"/>
    </row>
    <row r="159" spans="1:23" x14ac:dyDescent="0.3">
      <c r="A159" s="418"/>
      <c r="B159" s="532" t="s">
        <v>53</v>
      </c>
      <c r="C159" s="532"/>
      <c r="D159" s="532"/>
      <c r="E159" s="532"/>
      <c r="F159" s="532"/>
      <c r="G159" s="532"/>
      <c r="H159" s="532"/>
      <c r="I159" s="532"/>
      <c r="J159" s="532"/>
      <c r="K159" s="532"/>
      <c r="L159" s="532"/>
      <c r="M159" s="532"/>
      <c r="N159" s="532"/>
      <c r="O159" s="532"/>
      <c r="P159" s="532"/>
      <c r="Q159" s="532"/>
      <c r="R159" s="532"/>
      <c r="S159" s="532"/>
      <c r="T159" s="561" t="s">
        <v>127</v>
      </c>
      <c r="U159" s="451"/>
      <c r="V159" s="405"/>
    </row>
    <row r="160" spans="1:23" x14ac:dyDescent="0.3">
      <c r="A160" s="418"/>
      <c r="B160" s="532" t="s">
        <v>54</v>
      </c>
      <c r="C160" s="532"/>
      <c r="D160" s="532"/>
      <c r="E160" s="532"/>
      <c r="F160" s="532"/>
      <c r="G160" s="532"/>
      <c r="H160" s="532"/>
      <c r="I160" s="532"/>
      <c r="J160" s="532"/>
      <c r="K160" s="532"/>
      <c r="L160" s="532"/>
      <c r="M160" s="532"/>
      <c r="N160" s="532"/>
      <c r="O160" s="532"/>
      <c r="P160" s="532"/>
      <c r="Q160" s="532"/>
      <c r="R160" s="532"/>
      <c r="S160" s="532"/>
      <c r="T160" s="561" t="s">
        <v>127</v>
      </c>
      <c r="U160" s="451"/>
      <c r="V160" s="405"/>
    </row>
    <row r="161" spans="1:22" x14ac:dyDescent="0.3">
      <c r="A161" s="407"/>
      <c r="B161" s="444"/>
      <c r="C161" s="444"/>
      <c r="D161" s="444"/>
      <c r="E161" s="444"/>
      <c r="F161" s="444"/>
      <c r="G161" s="444"/>
      <c r="H161" s="444"/>
      <c r="I161" s="444"/>
      <c r="J161" s="444"/>
      <c r="K161" s="444"/>
      <c r="L161" s="444"/>
      <c r="M161" s="444"/>
      <c r="N161" s="444"/>
      <c r="O161" s="444"/>
      <c r="P161" s="444"/>
      <c r="Q161" s="444"/>
      <c r="R161" s="444"/>
      <c r="S161" s="444"/>
      <c r="T161" s="459"/>
      <c r="U161" s="444"/>
      <c r="V161" s="405"/>
    </row>
    <row r="162" spans="1:22" x14ac:dyDescent="0.3">
      <c r="A162" s="407"/>
      <c r="B162" s="523" t="s">
        <v>55</v>
      </c>
      <c r="C162" s="409"/>
      <c r="D162" s="409"/>
      <c r="E162" s="409"/>
      <c r="F162" s="409"/>
      <c r="G162" s="409"/>
      <c r="H162" s="409"/>
      <c r="I162" s="409"/>
      <c r="J162" s="409"/>
      <c r="K162" s="409"/>
      <c r="L162" s="409"/>
      <c r="M162" s="409"/>
      <c r="N162" s="409"/>
      <c r="O162" s="409"/>
      <c r="P162" s="409"/>
      <c r="Q162" s="409"/>
      <c r="R162" s="409"/>
      <c r="S162" s="409"/>
      <c r="T162" s="460"/>
      <c r="U162" s="409"/>
      <c r="V162" s="405"/>
    </row>
    <row r="163" spans="1:22" x14ac:dyDescent="0.3">
      <c r="A163" s="418"/>
      <c r="B163" s="532" t="s">
        <v>56</v>
      </c>
      <c r="C163" s="532"/>
      <c r="D163" s="532"/>
      <c r="E163" s="532"/>
      <c r="F163" s="532"/>
      <c r="G163" s="532"/>
      <c r="H163" s="532"/>
      <c r="I163" s="532"/>
      <c r="J163" s="532"/>
      <c r="K163" s="532"/>
      <c r="L163" s="532"/>
      <c r="M163" s="532"/>
      <c r="N163" s="532"/>
      <c r="O163" s="532"/>
      <c r="P163" s="532"/>
      <c r="Q163" s="532"/>
      <c r="R163" s="532"/>
      <c r="S163" s="532"/>
      <c r="T163" s="535">
        <v>0</v>
      </c>
      <c r="U163" s="451"/>
      <c r="V163" s="405"/>
    </row>
    <row r="164" spans="1:22" x14ac:dyDescent="0.3">
      <c r="A164" s="418"/>
      <c r="B164" s="532" t="s">
        <v>57</v>
      </c>
      <c r="C164" s="532"/>
      <c r="D164" s="532"/>
      <c r="E164" s="532"/>
      <c r="F164" s="532"/>
      <c r="G164" s="532"/>
      <c r="H164" s="532"/>
      <c r="I164" s="532"/>
      <c r="J164" s="532"/>
      <c r="K164" s="532"/>
      <c r="L164" s="532"/>
      <c r="M164" s="532"/>
      <c r="N164" s="532"/>
      <c r="O164" s="532"/>
      <c r="P164" s="532"/>
      <c r="Q164" s="532"/>
      <c r="R164" s="532"/>
      <c r="S164" s="532"/>
      <c r="T164" s="535">
        <f>-T113</f>
        <v>-1</v>
      </c>
      <c r="U164" s="451"/>
      <c r="V164" s="405"/>
    </row>
    <row r="165" spans="1:22" x14ac:dyDescent="0.3">
      <c r="A165" s="418"/>
      <c r="B165" s="532" t="s">
        <v>58</v>
      </c>
      <c r="C165" s="532"/>
      <c r="D165" s="532"/>
      <c r="E165" s="532"/>
      <c r="F165" s="532"/>
      <c r="G165" s="532"/>
      <c r="H165" s="532"/>
      <c r="I165" s="532"/>
      <c r="J165" s="532"/>
      <c r="K165" s="532"/>
      <c r="L165" s="532"/>
      <c r="M165" s="532"/>
      <c r="N165" s="532"/>
      <c r="O165" s="532"/>
      <c r="P165" s="532"/>
      <c r="Q165" s="532"/>
      <c r="R165" s="532"/>
      <c r="S165" s="532"/>
      <c r="T165" s="535">
        <f>T164+T163</f>
        <v>-1</v>
      </c>
      <c r="U165" s="451"/>
      <c r="V165" s="405"/>
    </row>
    <row r="166" spans="1:22" x14ac:dyDescent="0.3">
      <c r="A166" s="418"/>
      <c r="B166" s="568" t="s">
        <v>309</v>
      </c>
      <c r="C166" s="532"/>
      <c r="D166" s="532"/>
      <c r="E166" s="532"/>
      <c r="F166" s="532"/>
      <c r="G166" s="532"/>
      <c r="H166" s="532"/>
      <c r="I166" s="532"/>
      <c r="J166" s="532"/>
      <c r="K166" s="532"/>
      <c r="L166" s="532"/>
      <c r="M166" s="532"/>
      <c r="N166" s="532"/>
      <c r="O166" s="532"/>
      <c r="P166" s="532"/>
      <c r="Q166" s="532"/>
      <c r="R166" s="532"/>
      <c r="S166" s="532"/>
      <c r="T166" s="535">
        <f>T113</f>
        <v>1</v>
      </c>
      <c r="U166" s="451"/>
      <c r="V166" s="405"/>
    </row>
    <row r="167" spans="1:22" x14ac:dyDescent="0.3">
      <c r="A167" s="418"/>
      <c r="B167" s="532" t="s">
        <v>59</v>
      </c>
      <c r="C167" s="532"/>
      <c r="D167" s="532"/>
      <c r="E167" s="532"/>
      <c r="F167" s="532"/>
      <c r="G167" s="532"/>
      <c r="H167" s="532"/>
      <c r="I167" s="532"/>
      <c r="J167" s="532"/>
      <c r="K167" s="532"/>
      <c r="L167" s="532"/>
      <c r="M167" s="532"/>
      <c r="N167" s="532"/>
      <c r="O167" s="532"/>
      <c r="P167" s="532"/>
      <c r="Q167" s="532"/>
      <c r="R167" s="532"/>
      <c r="S167" s="532"/>
      <c r="T167" s="535">
        <f>T165+T166</f>
        <v>0</v>
      </c>
      <c r="U167" s="451"/>
      <c r="V167" s="405"/>
    </row>
    <row r="168" spans="1:22" x14ac:dyDescent="0.3">
      <c r="A168" s="418"/>
      <c r="B168" s="532" t="s">
        <v>278</v>
      </c>
      <c r="C168" s="532"/>
      <c r="D168" s="532"/>
      <c r="E168" s="532"/>
      <c r="F168" s="532"/>
      <c r="G168" s="532"/>
      <c r="H168" s="532"/>
      <c r="I168" s="532"/>
      <c r="J168" s="532"/>
      <c r="K168" s="532"/>
      <c r="L168" s="532"/>
      <c r="M168" s="532"/>
      <c r="N168" s="532"/>
      <c r="O168" s="532"/>
      <c r="P168" s="532"/>
      <c r="Q168" s="532"/>
      <c r="R168" s="532"/>
      <c r="S168" s="532"/>
      <c r="T168" s="535">
        <f>-T96</f>
        <v>48</v>
      </c>
      <c r="U168" s="451"/>
      <c r="V168" s="405"/>
    </row>
    <row r="169" spans="1:22" ht="16.2" thickBot="1" x14ac:dyDescent="0.35">
      <c r="A169" s="407"/>
      <c r="B169" s="431"/>
      <c r="C169" s="431"/>
      <c r="D169" s="431"/>
      <c r="E169" s="431"/>
      <c r="F169" s="431"/>
      <c r="G169" s="431"/>
      <c r="H169" s="431"/>
      <c r="I169" s="431"/>
      <c r="J169" s="431"/>
      <c r="K169" s="431"/>
      <c r="L169" s="431"/>
      <c r="M169" s="431"/>
      <c r="N169" s="431"/>
      <c r="O169" s="431"/>
      <c r="P169" s="431"/>
      <c r="Q169" s="431"/>
      <c r="R169" s="431"/>
      <c r="S169" s="431"/>
      <c r="T169" s="461"/>
      <c r="U169" s="444"/>
      <c r="V169" s="405"/>
    </row>
    <row r="170" spans="1:22" x14ac:dyDescent="0.3">
      <c r="A170" s="403"/>
      <c r="B170" s="404"/>
      <c r="C170" s="404"/>
      <c r="D170" s="404"/>
      <c r="E170" s="404"/>
      <c r="F170" s="404"/>
      <c r="G170" s="404"/>
      <c r="H170" s="404"/>
      <c r="I170" s="404"/>
      <c r="J170" s="404"/>
      <c r="K170" s="404"/>
      <c r="L170" s="404"/>
      <c r="M170" s="404"/>
      <c r="N170" s="404"/>
      <c r="O170" s="404"/>
      <c r="P170" s="404"/>
      <c r="Q170" s="404"/>
      <c r="R170" s="404"/>
      <c r="S170" s="404"/>
      <c r="T170" s="462"/>
      <c r="U170" s="404"/>
      <c r="V170" s="405"/>
    </row>
    <row r="171" spans="1:22" x14ac:dyDescent="0.3">
      <c r="A171" s="407"/>
      <c r="B171" s="523" t="s">
        <v>60</v>
      </c>
      <c r="C171" s="409"/>
      <c r="D171" s="409"/>
      <c r="E171" s="409"/>
      <c r="F171" s="409"/>
      <c r="G171" s="409"/>
      <c r="H171" s="409"/>
      <c r="I171" s="409"/>
      <c r="J171" s="409"/>
      <c r="K171" s="409"/>
      <c r="L171" s="409"/>
      <c r="M171" s="409"/>
      <c r="N171" s="409"/>
      <c r="O171" s="409"/>
      <c r="P171" s="409"/>
      <c r="Q171" s="409"/>
      <c r="R171" s="409"/>
      <c r="S171" s="409"/>
      <c r="T171" s="441"/>
      <c r="U171" s="409"/>
      <c r="V171" s="405"/>
    </row>
    <row r="172" spans="1:22" x14ac:dyDescent="0.3">
      <c r="A172" s="407"/>
      <c r="B172" s="458"/>
      <c r="C172" s="409"/>
      <c r="D172" s="409"/>
      <c r="E172" s="409"/>
      <c r="F172" s="409"/>
      <c r="G172" s="409"/>
      <c r="H172" s="409"/>
      <c r="I172" s="409"/>
      <c r="J172" s="409"/>
      <c r="K172" s="409"/>
      <c r="L172" s="409"/>
      <c r="M172" s="409"/>
      <c r="N172" s="409"/>
      <c r="O172" s="409"/>
      <c r="P172" s="409"/>
      <c r="Q172" s="409"/>
      <c r="R172" s="409"/>
      <c r="S172" s="409"/>
      <c r="T172" s="441"/>
      <c r="U172" s="409"/>
      <c r="V172" s="405"/>
    </row>
    <row r="173" spans="1:22" x14ac:dyDescent="0.3">
      <c r="A173" s="418"/>
      <c r="B173" s="532" t="s">
        <v>61</v>
      </c>
      <c r="C173" s="532"/>
      <c r="D173" s="532"/>
      <c r="E173" s="532"/>
      <c r="F173" s="532"/>
      <c r="G173" s="532"/>
      <c r="H173" s="532"/>
      <c r="I173" s="532"/>
      <c r="J173" s="532"/>
      <c r="K173" s="532"/>
      <c r="L173" s="532"/>
      <c r="M173" s="532"/>
      <c r="N173" s="532"/>
      <c r="O173" s="532"/>
      <c r="P173" s="532"/>
      <c r="Q173" s="532"/>
      <c r="R173" s="532"/>
      <c r="S173" s="532"/>
      <c r="T173" s="535">
        <f>T68</f>
        <v>212551</v>
      </c>
      <c r="U173" s="451"/>
      <c r="V173" s="405"/>
    </row>
    <row r="174" spans="1:22" x14ac:dyDescent="0.3">
      <c r="A174" s="418"/>
      <c r="B174" s="532" t="s">
        <v>62</v>
      </c>
      <c r="C174" s="532"/>
      <c r="D174" s="532"/>
      <c r="E174" s="532"/>
      <c r="F174" s="532"/>
      <c r="G174" s="532"/>
      <c r="H174" s="532"/>
      <c r="I174" s="532"/>
      <c r="J174" s="532"/>
      <c r="K174" s="532"/>
      <c r="L174" s="532"/>
      <c r="M174" s="532"/>
      <c r="N174" s="532"/>
      <c r="O174" s="532"/>
      <c r="P174" s="532"/>
      <c r="Q174" s="532"/>
      <c r="R174" s="532"/>
      <c r="S174" s="532"/>
      <c r="T174" s="535">
        <f>T81</f>
        <v>212551</v>
      </c>
      <c r="U174" s="451"/>
      <c r="V174" s="405"/>
    </row>
    <row r="175" spans="1:22" ht="16.2" thickBot="1" x14ac:dyDescent="0.35">
      <c r="A175" s="407"/>
      <c r="B175" s="444"/>
      <c r="C175" s="444"/>
      <c r="D175" s="444"/>
      <c r="E175" s="444"/>
      <c r="F175" s="444"/>
      <c r="G175" s="444"/>
      <c r="H175" s="444"/>
      <c r="I175" s="444"/>
      <c r="J175" s="444"/>
      <c r="K175" s="444"/>
      <c r="L175" s="444"/>
      <c r="M175" s="444"/>
      <c r="N175" s="444"/>
      <c r="O175" s="444"/>
      <c r="P175" s="444"/>
      <c r="Q175" s="444"/>
      <c r="R175" s="444"/>
      <c r="S175" s="444"/>
      <c r="T175" s="459"/>
      <c r="U175" s="444"/>
      <c r="V175" s="405"/>
    </row>
    <row r="176" spans="1:22" x14ac:dyDescent="0.3">
      <c r="A176" s="403"/>
      <c r="B176" s="404"/>
      <c r="C176" s="404"/>
      <c r="D176" s="404"/>
      <c r="E176" s="404"/>
      <c r="F176" s="404"/>
      <c r="G176" s="404"/>
      <c r="H176" s="404"/>
      <c r="I176" s="404"/>
      <c r="J176" s="404"/>
      <c r="K176" s="404"/>
      <c r="L176" s="404"/>
      <c r="M176" s="404"/>
      <c r="N176" s="404"/>
      <c r="O176" s="404"/>
      <c r="P176" s="404"/>
      <c r="Q176" s="404"/>
      <c r="R176" s="404"/>
      <c r="S176" s="404"/>
      <c r="T176" s="462"/>
      <c r="U176" s="404"/>
      <c r="V176" s="405"/>
    </row>
    <row r="177" spans="1:22" s="529" customFormat="1" x14ac:dyDescent="0.3">
      <c r="A177" s="524"/>
      <c r="B177" s="523" t="s">
        <v>63</v>
      </c>
      <c r="C177" s="525"/>
      <c r="D177" s="525"/>
      <c r="E177" s="525"/>
      <c r="F177" s="525"/>
      <c r="G177" s="525"/>
      <c r="H177" s="526"/>
      <c r="I177" s="526"/>
      <c r="J177" s="526"/>
      <c r="K177" s="526"/>
      <c r="L177" s="526"/>
      <c r="M177" s="526"/>
      <c r="N177" s="526"/>
      <c r="O177" s="526"/>
      <c r="P177" s="526"/>
      <c r="Q177" s="526" t="s">
        <v>107</v>
      </c>
      <c r="R177" s="526" t="s">
        <v>234</v>
      </c>
      <c r="S177" s="411"/>
      <c r="T177" s="527" t="s">
        <v>123</v>
      </c>
      <c r="U177" s="411"/>
      <c r="V177" s="528"/>
    </row>
    <row r="178" spans="1:22" x14ac:dyDescent="0.3">
      <c r="A178" s="418"/>
      <c r="B178" s="532" t="s">
        <v>64</v>
      </c>
      <c r="C178" s="532"/>
      <c r="D178" s="532"/>
      <c r="E178" s="532"/>
      <c r="F178" s="532"/>
      <c r="G178" s="532"/>
      <c r="H178" s="532"/>
      <c r="I178" s="532"/>
      <c r="J178" s="532"/>
      <c r="K178" s="532"/>
      <c r="L178" s="532"/>
      <c r="M178" s="532"/>
      <c r="N178" s="532"/>
      <c r="O178" s="532"/>
      <c r="P178" s="532"/>
      <c r="Q178" s="535">
        <v>112000</v>
      </c>
      <c r="R178" s="550"/>
      <c r="S178" s="532"/>
      <c r="T178" s="535"/>
      <c r="U178" s="420"/>
      <c r="V178" s="405"/>
    </row>
    <row r="179" spans="1:22" x14ac:dyDescent="0.3">
      <c r="A179" s="418"/>
      <c r="B179" s="532" t="s">
        <v>65</v>
      </c>
      <c r="C179" s="532"/>
      <c r="D179" s="532"/>
      <c r="E179" s="532"/>
      <c r="F179" s="532"/>
      <c r="G179" s="532"/>
      <c r="H179" s="532"/>
      <c r="I179" s="532"/>
      <c r="J179" s="532"/>
      <c r="K179" s="532"/>
      <c r="L179" s="532"/>
      <c r="M179" s="532"/>
      <c r="N179" s="532"/>
      <c r="O179" s="532"/>
      <c r="P179" s="532"/>
      <c r="Q179" s="535">
        <f>+'Oct 18'!Q181</f>
        <v>50882</v>
      </c>
      <c r="R179" s="535">
        <f>+'Oct 18'!R181</f>
        <v>2435</v>
      </c>
      <c r="S179" s="532"/>
      <c r="T179" s="535">
        <f>Q179+R179</f>
        <v>53317</v>
      </c>
      <c r="U179" s="420"/>
      <c r="V179" s="405"/>
    </row>
    <row r="180" spans="1:22" x14ac:dyDescent="0.3">
      <c r="A180" s="418"/>
      <c r="B180" s="532" t="s">
        <v>66</v>
      </c>
      <c r="C180" s="532"/>
      <c r="D180" s="532"/>
      <c r="E180" s="532"/>
      <c r="F180" s="532"/>
      <c r="G180" s="532"/>
      <c r="H180" s="532"/>
      <c r="I180" s="532"/>
      <c r="J180" s="532"/>
      <c r="K180" s="532"/>
      <c r="L180" s="532"/>
      <c r="M180" s="532"/>
      <c r="N180" s="532"/>
      <c r="O180" s="532"/>
      <c r="P180" s="532"/>
      <c r="Q180" s="531">
        <v>0</v>
      </c>
      <c r="R180" s="531">
        <v>0</v>
      </c>
      <c r="S180" s="532"/>
      <c r="T180" s="535">
        <f>Q180+R180</f>
        <v>0</v>
      </c>
      <c r="U180" s="420"/>
      <c r="V180" s="405"/>
    </row>
    <row r="181" spans="1:22" x14ac:dyDescent="0.3">
      <c r="A181" s="418"/>
      <c r="B181" s="532" t="s">
        <v>67</v>
      </c>
      <c r="C181" s="532"/>
      <c r="D181" s="532"/>
      <c r="E181" s="532"/>
      <c r="F181" s="532"/>
      <c r="G181" s="532"/>
      <c r="H181" s="532"/>
      <c r="I181" s="532"/>
      <c r="J181" s="532"/>
      <c r="K181" s="532"/>
      <c r="L181" s="532"/>
      <c r="M181" s="532"/>
      <c r="N181" s="532"/>
      <c r="O181" s="532"/>
      <c r="P181" s="532"/>
      <c r="Q181" s="535">
        <f>Q179+Q180</f>
        <v>50882</v>
      </c>
      <c r="R181" s="535">
        <f>R180+R179</f>
        <v>2435</v>
      </c>
      <c r="S181" s="532"/>
      <c r="T181" s="535">
        <f>Q181+R181</f>
        <v>53317</v>
      </c>
      <c r="U181" s="420"/>
      <c r="V181" s="405"/>
    </row>
    <row r="182" spans="1:22" x14ac:dyDescent="0.3">
      <c r="A182" s="418"/>
      <c r="B182" s="532" t="s">
        <v>68</v>
      </c>
      <c r="C182" s="532"/>
      <c r="D182" s="532"/>
      <c r="E182" s="532"/>
      <c r="F182" s="532"/>
      <c r="G182" s="532"/>
      <c r="H182" s="532"/>
      <c r="I182" s="532"/>
      <c r="J182" s="532"/>
      <c r="K182" s="532"/>
      <c r="L182" s="532"/>
      <c r="M182" s="532"/>
      <c r="N182" s="532"/>
      <c r="O182" s="532"/>
      <c r="P182" s="532"/>
      <c r="Q182" s="535">
        <f>Q178-Q181-R181</f>
        <v>58683</v>
      </c>
      <c r="R182" s="550"/>
      <c r="S182" s="532"/>
      <c r="T182" s="535"/>
      <c r="U182" s="420"/>
      <c r="V182" s="405"/>
    </row>
    <row r="183" spans="1:22" ht="16.2" thickBot="1" x14ac:dyDescent="0.35">
      <c r="A183" s="407"/>
      <c r="B183" s="444"/>
      <c r="C183" s="444"/>
      <c r="D183" s="444"/>
      <c r="E183" s="444"/>
      <c r="F183" s="444"/>
      <c r="G183" s="444"/>
      <c r="H183" s="444"/>
      <c r="I183" s="444"/>
      <c r="J183" s="444"/>
      <c r="K183" s="444"/>
      <c r="L183" s="444"/>
      <c r="M183" s="444"/>
      <c r="N183" s="444"/>
      <c r="O183" s="444"/>
      <c r="P183" s="444"/>
      <c r="Q183" s="444"/>
      <c r="R183" s="444"/>
      <c r="S183" s="444"/>
      <c r="T183" s="459"/>
      <c r="U183" s="444"/>
      <c r="V183" s="405"/>
    </row>
    <row r="184" spans="1:22" x14ac:dyDescent="0.3">
      <c r="A184" s="403"/>
      <c r="B184" s="404"/>
      <c r="C184" s="404"/>
      <c r="D184" s="404"/>
      <c r="E184" s="404"/>
      <c r="F184" s="404"/>
      <c r="G184" s="404"/>
      <c r="H184" s="404"/>
      <c r="I184" s="404"/>
      <c r="J184" s="404"/>
      <c r="K184" s="404"/>
      <c r="L184" s="404"/>
      <c r="M184" s="404"/>
      <c r="N184" s="404"/>
      <c r="O184" s="404"/>
      <c r="P184" s="404"/>
      <c r="Q184" s="404"/>
      <c r="R184" s="404"/>
      <c r="S184" s="404"/>
      <c r="T184" s="462"/>
      <c r="U184" s="404"/>
      <c r="V184" s="405"/>
    </row>
    <row r="185" spans="1:22" x14ac:dyDescent="0.3">
      <c r="A185" s="407"/>
      <c r="B185" s="523" t="s">
        <v>69</v>
      </c>
      <c r="C185" s="409"/>
      <c r="D185" s="409"/>
      <c r="E185" s="409"/>
      <c r="F185" s="409"/>
      <c r="G185" s="409"/>
      <c r="H185" s="409"/>
      <c r="I185" s="409"/>
      <c r="J185" s="409"/>
      <c r="K185" s="409"/>
      <c r="L185" s="409"/>
      <c r="M185" s="409"/>
      <c r="N185" s="409"/>
      <c r="O185" s="409"/>
      <c r="P185" s="409"/>
      <c r="Q185" s="409"/>
      <c r="R185" s="409"/>
      <c r="S185" s="409"/>
      <c r="T185" s="463"/>
      <c r="U185" s="409"/>
      <c r="V185" s="405"/>
    </row>
    <row r="186" spans="1:22" x14ac:dyDescent="0.3">
      <c r="A186" s="418"/>
      <c r="B186" s="532" t="s">
        <v>70</v>
      </c>
      <c r="C186" s="532"/>
      <c r="D186" s="532"/>
      <c r="E186" s="532"/>
      <c r="F186" s="532"/>
      <c r="G186" s="532"/>
      <c r="H186" s="532"/>
      <c r="I186" s="532"/>
      <c r="J186" s="532"/>
      <c r="K186" s="532"/>
      <c r="L186" s="532"/>
      <c r="M186" s="532"/>
      <c r="N186" s="532"/>
      <c r="O186" s="532"/>
      <c r="P186" s="532"/>
      <c r="Q186" s="532"/>
      <c r="R186" s="532"/>
      <c r="S186" s="532"/>
      <c r="T186" s="561">
        <f>(T97+T99+T100+T101+T102+T103)/-(T104+T105+T106)</f>
        <v>2.5213358070500926</v>
      </c>
      <c r="U186" s="562" t="s">
        <v>124</v>
      </c>
      <c r="V186" s="405"/>
    </row>
    <row r="187" spans="1:22" x14ac:dyDescent="0.3">
      <c r="A187" s="418"/>
      <c r="B187" s="532" t="s">
        <v>71</v>
      </c>
      <c r="C187" s="532"/>
      <c r="D187" s="532"/>
      <c r="E187" s="532"/>
      <c r="F187" s="532"/>
      <c r="G187" s="532"/>
      <c r="H187" s="532"/>
      <c r="I187" s="532"/>
      <c r="J187" s="532"/>
      <c r="K187" s="532"/>
      <c r="L187" s="532"/>
      <c r="M187" s="532"/>
      <c r="N187" s="532"/>
      <c r="O187" s="532"/>
      <c r="P187" s="532"/>
      <c r="Q187" s="532"/>
      <c r="R187" s="532"/>
      <c r="S187" s="532"/>
      <c r="T187" s="563">
        <v>1.73</v>
      </c>
      <c r="U187" s="562" t="s">
        <v>124</v>
      </c>
      <c r="V187" s="405"/>
    </row>
    <row r="188" spans="1:22" x14ac:dyDescent="0.3">
      <c r="A188" s="418"/>
      <c r="B188" s="532" t="s">
        <v>72</v>
      </c>
      <c r="C188" s="532"/>
      <c r="D188" s="532"/>
      <c r="E188" s="532"/>
      <c r="F188" s="532"/>
      <c r="G188" s="532"/>
      <c r="H188" s="532"/>
      <c r="I188" s="532"/>
      <c r="J188" s="532"/>
      <c r="K188" s="532"/>
      <c r="L188" s="532"/>
      <c r="M188" s="532"/>
      <c r="N188" s="532"/>
      <c r="O188" s="532"/>
      <c r="P188" s="532"/>
      <c r="Q188" s="532"/>
      <c r="R188" s="532"/>
      <c r="S188" s="532"/>
      <c r="T188" s="561">
        <f>(T97+T99+T100+T101+T102+T103+T104+T105+T106)/-(T107+T108)</f>
        <v>12.8125</v>
      </c>
      <c r="U188" s="562" t="s">
        <v>124</v>
      </c>
      <c r="V188" s="405"/>
    </row>
    <row r="189" spans="1:22" x14ac:dyDescent="0.3">
      <c r="A189" s="418"/>
      <c r="B189" s="532" t="s">
        <v>73</v>
      </c>
      <c r="C189" s="532"/>
      <c r="D189" s="532"/>
      <c r="E189" s="532"/>
      <c r="F189" s="532"/>
      <c r="G189" s="532"/>
      <c r="H189" s="532"/>
      <c r="I189" s="532"/>
      <c r="J189" s="532"/>
      <c r="K189" s="532"/>
      <c r="L189" s="532"/>
      <c r="M189" s="532"/>
      <c r="N189" s="532"/>
      <c r="O189" s="532"/>
      <c r="P189" s="532"/>
      <c r="Q189" s="532"/>
      <c r="R189" s="532"/>
      <c r="S189" s="532"/>
      <c r="T189" s="564">
        <v>9.93</v>
      </c>
      <c r="U189" s="562" t="s">
        <v>124</v>
      </c>
      <c r="V189" s="405"/>
    </row>
    <row r="190" spans="1:22" x14ac:dyDescent="0.3">
      <c r="A190" s="418"/>
      <c r="B190" s="532" t="s">
        <v>243</v>
      </c>
      <c r="C190" s="532"/>
      <c r="D190" s="532"/>
      <c r="E190" s="532"/>
      <c r="F190" s="532"/>
      <c r="G190" s="532"/>
      <c r="H190" s="532"/>
      <c r="I190" s="532"/>
      <c r="J190" s="532"/>
      <c r="K190" s="532"/>
      <c r="L190" s="532"/>
      <c r="M190" s="532"/>
      <c r="N190" s="532"/>
      <c r="O190" s="532"/>
      <c r="P190" s="532"/>
      <c r="Q190" s="532"/>
      <c r="R190" s="532"/>
      <c r="S190" s="532"/>
      <c r="T190" s="561">
        <f>(T97+T99+T100+T101+T102+T103+T104+T105+T106+T107+T108)/-(T109+T110)</f>
        <v>4.9736842105263159</v>
      </c>
      <c r="U190" s="562" t="s">
        <v>124</v>
      </c>
      <c r="V190" s="405"/>
    </row>
    <row r="191" spans="1:22" x14ac:dyDescent="0.3">
      <c r="A191" s="418"/>
      <c r="B191" s="532" t="s">
        <v>244</v>
      </c>
      <c r="C191" s="532"/>
      <c r="D191" s="532"/>
      <c r="E191" s="532"/>
      <c r="F191" s="532"/>
      <c r="G191" s="532"/>
      <c r="H191" s="532"/>
      <c r="I191" s="532"/>
      <c r="J191" s="532"/>
      <c r="K191" s="532"/>
      <c r="L191" s="532"/>
      <c r="M191" s="532"/>
      <c r="N191" s="532"/>
      <c r="O191" s="532"/>
      <c r="P191" s="532"/>
      <c r="Q191" s="532"/>
      <c r="R191" s="532"/>
      <c r="S191" s="532"/>
      <c r="T191" s="564">
        <v>4.38</v>
      </c>
      <c r="U191" s="562" t="s">
        <v>124</v>
      </c>
      <c r="V191" s="405"/>
    </row>
    <row r="192" spans="1:22" x14ac:dyDescent="0.3">
      <c r="A192" s="418"/>
      <c r="B192" s="532"/>
      <c r="C192" s="532"/>
      <c r="D192" s="532"/>
      <c r="E192" s="532"/>
      <c r="F192" s="532"/>
      <c r="G192" s="532"/>
      <c r="H192" s="532"/>
      <c r="I192" s="532"/>
      <c r="J192" s="532"/>
      <c r="K192" s="532"/>
      <c r="L192" s="532"/>
      <c r="M192" s="532"/>
      <c r="N192" s="532"/>
      <c r="O192" s="532"/>
      <c r="P192" s="532"/>
      <c r="Q192" s="532"/>
      <c r="R192" s="532"/>
      <c r="S192" s="532"/>
      <c r="T192" s="532"/>
      <c r="U192" s="562"/>
      <c r="V192" s="405"/>
    </row>
    <row r="193" spans="1:22" x14ac:dyDescent="0.3">
      <c r="A193" s="407"/>
      <c r="B193" s="539"/>
      <c r="C193" s="539"/>
      <c r="D193" s="539"/>
      <c r="E193" s="539"/>
      <c r="F193" s="539"/>
      <c r="G193" s="539"/>
      <c r="H193" s="539"/>
      <c r="I193" s="539"/>
      <c r="J193" s="539"/>
      <c r="K193" s="539"/>
      <c r="L193" s="539"/>
      <c r="M193" s="539"/>
      <c r="N193" s="539"/>
      <c r="O193" s="539"/>
      <c r="P193" s="539"/>
      <c r="Q193" s="539"/>
      <c r="R193" s="539"/>
      <c r="S193" s="539"/>
      <c r="T193" s="539"/>
      <c r="U193" s="539"/>
      <c r="V193" s="405"/>
    </row>
    <row r="194" spans="1:22" x14ac:dyDescent="0.3">
      <c r="A194" s="407"/>
      <c r="B194" s="542"/>
      <c r="C194" s="542"/>
      <c r="D194" s="542"/>
      <c r="E194" s="542"/>
      <c r="F194" s="542"/>
      <c r="G194" s="542"/>
      <c r="H194" s="542"/>
      <c r="I194" s="542"/>
      <c r="J194" s="542"/>
      <c r="K194" s="542"/>
      <c r="L194" s="542"/>
      <c r="M194" s="542"/>
      <c r="N194" s="542"/>
      <c r="O194" s="542"/>
      <c r="P194" s="542"/>
      <c r="Q194" s="542"/>
      <c r="R194" s="542"/>
      <c r="S194" s="542"/>
      <c r="T194" s="542"/>
      <c r="U194" s="542"/>
      <c r="V194" s="405"/>
    </row>
    <row r="195" spans="1:22" ht="18.600000000000001" thickBot="1" x14ac:dyDescent="0.4">
      <c r="A195" s="464"/>
      <c r="B195" s="565" t="str">
        <f>B134</f>
        <v>PM9 INVESTOR REPORT QUARTER ENDING JANUARY 2019</v>
      </c>
      <c r="C195" s="566"/>
      <c r="D195" s="566"/>
      <c r="E195" s="566"/>
      <c r="F195" s="566"/>
      <c r="G195" s="566"/>
      <c r="H195" s="566"/>
      <c r="I195" s="566"/>
      <c r="J195" s="566"/>
      <c r="K195" s="566"/>
      <c r="L195" s="566"/>
      <c r="M195" s="566"/>
      <c r="N195" s="566"/>
      <c r="O195" s="566"/>
      <c r="P195" s="566"/>
      <c r="Q195" s="566"/>
      <c r="R195" s="566"/>
      <c r="S195" s="566"/>
      <c r="T195" s="566"/>
      <c r="U195" s="567"/>
      <c r="V195" s="405"/>
    </row>
    <row r="196" spans="1:22" x14ac:dyDescent="0.3">
      <c r="A196" s="507"/>
      <c r="B196" s="508" t="s">
        <v>74</v>
      </c>
      <c r="C196" s="511"/>
      <c r="D196" s="511"/>
      <c r="E196" s="511"/>
      <c r="F196" s="511"/>
      <c r="G196" s="512"/>
      <c r="H196" s="512"/>
      <c r="I196" s="512"/>
      <c r="J196" s="512"/>
      <c r="K196" s="512"/>
      <c r="L196" s="512"/>
      <c r="M196" s="512"/>
      <c r="N196" s="512"/>
      <c r="O196" s="512"/>
      <c r="P196" s="512"/>
      <c r="Q196" s="512"/>
      <c r="R196" s="512">
        <v>43496</v>
      </c>
      <c r="S196" s="509"/>
      <c r="T196" s="509"/>
      <c r="U196" s="509"/>
      <c r="V196" s="405"/>
    </row>
    <row r="197" spans="1:22" x14ac:dyDescent="0.3">
      <c r="A197" s="465"/>
      <c r="B197" s="466"/>
      <c r="C197" s="467"/>
      <c r="D197" s="467"/>
      <c r="E197" s="467"/>
      <c r="F197" s="467"/>
      <c r="G197" s="468"/>
      <c r="H197" s="468"/>
      <c r="I197" s="468"/>
      <c r="J197" s="468"/>
      <c r="K197" s="468"/>
      <c r="L197" s="468"/>
      <c r="M197" s="468"/>
      <c r="N197" s="468"/>
      <c r="O197" s="468"/>
      <c r="P197" s="468"/>
      <c r="Q197" s="468"/>
      <c r="R197" s="468"/>
      <c r="S197" s="409"/>
      <c r="T197" s="409"/>
      <c r="U197" s="409"/>
      <c r="V197" s="405"/>
    </row>
    <row r="198" spans="1:22" x14ac:dyDescent="0.3">
      <c r="A198" s="469"/>
      <c r="B198" s="532" t="s">
        <v>75</v>
      </c>
      <c r="C198" s="556"/>
      <c r="D198" s="556"/>
      <c r="E198" s="556"/>
      <c r="F198" s="556"/>
      <c r="G198" s="557"/>
      <c r="H198" s="557"/>
      <c r="I198" s="557"/>
      <c r="J198" s="557"/>
      <c r="K198" s="557"/>
      <c r="L198" s="557"/>
      <c r="M198" s="557"/>
      <c r="N198" s="557"/>
      <c r="O198" s="557"/>
      <c r="P198" s="557"/>
      <c r="Q198" s="557"/>
      <c r="R198" s="558">
        <v>5.8209999999999998E-2</v>
      </c>
      <c r="S198" s="532"/>
      <c r="T198" s="419"/>
      <c r="U198" s="451"/>
      <c r="V198" s="405"/>
    </row>
    <row r="199" spans="1:22" x14ac:dyDescent="0.3">
      <c r="A199" s="469"/>
      <c r="B199" s="532" t="s">
        <v>164</v>
      </c>
      <c r="C199" s="556"/>
      <c r="D199" s="556"/>
      <c r="E199" s="556"/>
      <c r="F199" s="556"/>
      <c r="G199" s="557"/>
      <c r="H199" s="557"/>
      <c r="I199" s="557"/>
      <c r="J199" s="557"/>
      <c r="K199" s="557"/>
      <c r="L199" s="557"/>
      <c r="M199" s="557"/>
      <c r="N199" s="557"/>
      <c r="O199" s="557"/>
      <c r="P199" s="557"/>
      <c r="Q199" s="557"/>
      <c r="R199" s="558">
        <f>'Oct 05'!R193</f>
        <v>4.8438496428571419E-2</v>
      </c>
      <c r="S199" s="532"/>
      <c r="T199" s="419"/>
      <c r="U199" s="451"/>
      <c r="V199" s="405"/>
    </row>
    <row r="200" spans="1:22" x14ac:dyDescent="0.3">
      <c r="A200" s="469"/>
      <c r="B200" s="532" t="s">
        <v>76</v>
      </c>
      <c r="C200" s="556"/>
      <c r="D200" s="556"/>
      <c r="E200" s="556"/>
      <c r="F200" s="556"/>
      <c r="G200" s="557"/>
      <c r="H200" s="557"/>
      <c r="I200" s="557"/>
      <c r="J200" s="557"/>
      <c r="K200" s="557"/>
      <c r="L200" s="557"/>
      <c r="M200" s="557"/>
      <c r="N200" s="557"/>
      <c r="O200" s="557"/>
      <c r="P200" s="557"/>
      <c r="Q200" s="557"/>
      <c r="R200" s="558">
        <f>R198-R199</f>
        <v>9.7715035714285789E-3</v>
      </c>
      <c r="S200" s="532"/>
      <c r="T200" s="419"/>
      <c r="U200" s="451"/>
      <c r="V200" s="405"/>
    </row>
    <row r="201" spans="1:22" x14ac:dyDescent="0.3">
      <c r="A201" s="469"/>
      <c r="B201" s="532" t="s">
        <v>77</v>
      </c>
      <c r="C201" s="556"/>
      <c r="D201" s="556"/>
      <c r="E201" s="556"/>
      <c r="F201" s="556"/>
      <c r="G201" s="557"/>
      <c r="H201" s="557"/>
      <c r="I201" s="557"/>
      <c r="J201" s="557"/>
      <c r="K201" s="557"/>
      <c r="L201" s="557"/>
      <c r="M201" s="557"/>
      <c r="N201" s="557"/>
      <c r="O201" s="557"/>
      <c r="P201" s="557"/>
      <c r="Q201" s="557"/>
      <c r="R201" s="558">
        <v>2.716E-2</v>
      </c>
      <c r="S201" s="532"/>
      <c r="T201" s="419"/>
      <c r="U201" s="451"/>
      <c r="V201" s="405"/>
    </row>
    <row r="202" spans="1:22" x14ac:dyDescent="0.3">
      <c r="A202" s="469"/>
      <c r="B202" s="532" t="s">
        <v>257</v>
      </c>
      <c r="C202" s="556"/>
      <c r="D202" s="556"/>
      <c r="E202" s="556"/>
      <c r="F202" s="556"/>
      <c r="G202" s="557"/>
      <c r="H202" s="557"/>
      <c r="I202" s="557"/>
      <c r="J202" s="557"/>
      <c r="K202" s="557"/>
      <c r="L202" s="557"/>
      <c r="M202" s="557"/>
      <c r="N202" s="557"/>
      <c r="O202" s="557"/>
      <c r="P202" s="557"/>
      <c r="Q202" s="557"/>
      <c r="R202" s="558">
        <f>+T41</f>
        <v>1.3804089332525667E-2</v>
      </c>
      <c r="S202" s="532"/>
      <c r="T202" s="419"/>
      <c r="U202" s="451"/>
      <c r="V202" s="405"/>
    </row>
    <row r="203" spans="1:22" x14ac:dyDescent="0.3">
      <c r="A203" s="469"/>
      <c r="B203" s="532" t="s">
        <v>78</v>
      </c>
      <c r="C203" s="556"/>
      <c r="D203" s="556"/>
      <c r="E203" s="556"/>
      <c r="F203" s="556"/>
      <c r="G203" s="557"/>
      <c r="H203" s="557"/>
      <c r="I203" s="557"/>
      <c r="J203" s="557"/>
      <c r="K203" s="557"/>
      <c r="L203" s="557"/>
      <c r="M203" s="557"/>
      <c r="N203" s="557"/>
      <c r="O203" s="557"/>
      <c r="P203" s="557"/>
      <c r="Q203" s="557"/>
      <c r="R203" s="558">
        <f>R201-R202</f>
        <v>1.3355910667474333E-2</v>
      </c>
      <c r="S203" s="532"/>
      <c r="T203" s="419"/>
      <c r="U203" s="451"/>
      <c r="V203" s="405"/>
    </row>
    <row r="204" spans="1:22" x14ac:dyDescent="0.3">
      <c r="A204" s="469"/>
      <c r="B204" s="532" t="s">
        <v>268</v>
      </c>
      <c r="C204" s="556"/>
      <c r="D204" s="556"/>
      <c r="E204" s="556"/>
      <c r="F204" s="556"/>
      <c r="G204" s="557"/>
      <c r="H204" s="557"/>
      <c r="I204" s="557"/>
      <c r="J204" s="557"/>
      <c r="K204" s="557"/>
      <c r="L204" s="557"/>
      <c r="M204" s="557"/>
      <c r="N204" s="557"/>
      <c r="O204" s="557"/>
      <c r="P204" s="557"/>
      <c r="Q204" s="557"/>
      <c r="R204" s="558">
        <f>+T97/L68</f>
        <v>6.8157310205624018E-3</v>
      </c>
      <c r="S204" s="532"/>
      <c r="T204" s="419"/>
      <c r="U204" s="451"/>
      <c r="V204" s="405"/>
    </row>
    <row r="205" spans="1:22" x14ac:dyDescent="0.3">
      <c r="A205" s="469"/>
      <c r="B205" s="532" t="s">
        <v>249</v>
      </c>
      <c r="C205" s="556"/>
      <c r="D205" s="556"/>
      <c r="E205" s="556"/>
      <c r="F205" s="556"/>
      <c r="G205" s="557"/>
      <c r="H205" s="557"/>
      <c r="I205" s="557"/>
      <c r="J205" s="557"/>
      <c r="K205" s="557"/>
      <c r="L205" s="557"/>
      <c r="M205" s="557"/>
      <c r="N205" s="557"/>
      <c r="O205" s="557"/>
      <c r="P205" s="557"/>
      <c r="Q205" s="557"/>
      <c r="R205" s="559">
        <v>51622</v>
      </c>
      <c r="S205" s="532"/>
      <c r="T205" s="419"/>
      <c r="U205" s="451"/>
      <c r="V205" s="405"/>
    </row>
    <row r="206" spans="1:22" x14ac:dyDescent="0.3">
      <c r="A206" s="469"/>
      <c r="B206" s="532" t="s">
        <v>250</v>
      </c>
      <c r="C206" s="556"/>
      <c r="D206" s="556"/>
      <c r="E206" s="556"/>
      <c r="F206" s="556"/>
      <c r="G206" s="557"/>
      <c r="H206" s="557"/>
      <c r="I206" s="557"/>
      <c r="J206" s="557"/>
      <c r="K206" s="557"/>
      <c r="L206" s="557"/>
      <c r="M206" s="557"/>
      <c r="N206" s="557"/>
      <c r="O206" s="557"/>
      <c r="P206" s="557"/>
      <c r="Q206" s="557"/>
      <c r="R206" s="559">
        <v>51622</v>
      </c>
      <c r="S206" s="532"/>
      <c r="T206" s="419"/>
      <c r="U206" s="451"/>
      <c r="V206" s="405"/>
    </row>
    <row r="207" spans="1:22" x14ac:dyDescent="0.3">
      <c r="A207" s="469"/>
      <c r="B207" s="532" t="s">
        <v>251</v>
      </c>
      <c r="C207" s="556"/>
      <c r="D207" s="556"/>
      <c r="E207" s="556"/>
      <c r="F207" s="556"/>
      <c r="G207" s="557"/>
      <c r="H207" s="557"/>
      <c r="I207" s="557"/>
      <c r="J207" s="557"/>
      <c r="K207" s="557"/>
      <c r="L207" s="557"/>
      <c r="M207" s="557"/>
      <c r="N207" s="557"/>
      <c r="O207" s="557"/>
      <c r="P207" s="557"/>
      <c r="Q207" s="557"/>
      <c r="R207" s="559">
        <v>51622</v>
      </c>
      <c r="S207" s="532"/>
      <c r="T207" s="419"/>
      <c r="U207" s="451"/>
      <c r="V207" s="405"/>
    </row>
    <row r="208" spans="1:22" x14ac:dyDescent="0.3">
      <c r="A208" s="469"/>
      <c r="B208" s="532" t="s">
        <v>79</v>
      </c>
      <c r="C208" s="556"/>
      <c r="D208" s="556"/>
      <c r="E208" s="556"/>
      <c r="F208" s="556"/>
      <c r="G208" s="557"/>
      <c r="H208" s="557"/>
      <c r="I208" s="557"/>
      <c r="J208" s="557"/>
      <c r="K208" s="557"/>
      <c r="L208" s="557"/>
      <c r="M208" s="557"/>
      <c r="N208" s="557"/>
      <c r="O208" s="557"/>
      <c r="P208" s="557"/>
      <c r="Q208" s="557"/>
      <c r="R208" s="560">
        <v>20.95</v>
      </c>
      <c r="S208" s="532" t="s">
        <v>119</v>
      </c>
      <c r="T208" s="419"/>
      <c r="U208" s="451"/>
      <c r="V208" s="405"/>
    </row>
    <row r="209" spans="1:22" x14ac:dyDescent="0.3">
      <c r="A209" s="469"/>
      <c r="B209" s="532" t="s">
        <v>80</v>
      </c>
      <c r="C209" s="556"/>
      <c r="D209" s="556"/>
      <c r="E209" s="556"/>
      <c r="F209" s="556"/>
      <c r="G209" s="557"/>
      <c r="H209" s="557"/>
      <c r="I209" s="557"/>
      <c r="J209" s="557"/>
      <c r="K209" s="557"/>
      <c r="L209" s="557"/>
      <c r="M209" s="557"/>
      <c r="N209" s="557"/>
      <c r="O209" s="557"/>
      <c r="P209" s="557"/>
      <c r="Q209" s="557"/>
      <c r="R209" s="560">
        <v>9.0399999999999991</v>
      </c>
      <c r="S209" s="532" t="s">
        <v>119</v>
      </c>
      <c r="T209" s="419"/>
      <c r="U209" s="451"/>
      <c r="V209" s="405"/>
    </row>
    <row r="210" spans="1:22" x14ac:dyDescent="0.3">
      <c r="A210" s="469"/>
      <c r="B210" s="532" t="s">
        <v>81</v>
      </c>
      <c r="C210" s="556"/>
      <c r="D210" s="556"/>
      <c r="E210" s="556"/>
      <c r="F210" s="556"/>
      <c r="G210" s="557"/>
      <c r="H210" s="557"/>
      <c r="I210" s="557"/>
      <c r="J210" s="557"/>
      <c r="K210" s="557"/>
      <c r="L210" s="557"/>
      <c r="M210" s="557"/>
      <c r="N210" s="557"/>
      <c r="O210" s="557"/>
      <c r="P210" s="557"/>
      <c r="Q210" s="557"/>
      <c r="R210" s="558">
        <f>N65/L65</f>
        <v>2.0493276435727518E-2</v>
      </c>
      <c r="S210" s="532"/>
      <c r="T210" s="419"/>
      <c r="U210" s="451"/>
      <c r="V210" s="405"/>
    </row>
    <row r="211" spans="1:22" x14ac:dyDescent="0.3">
      <c r="A211" s="469"/>
      <c r="B211" s="532" t="s">
        <v>82</v>
      </c>
      <c r="C211" s="556"/>
      <c r="D211" s="556"/>
      <c r="E211" s="556"/>
      <c r="F211" s="556"/>
      <c r="G211" s="557"/>
      <c r="H211" s="557"/>
      <c r="I211" s="557"/>
      <c r="J211" s="557"/>
      <c r="K211" s="557"/>
      <c r="L211" s="557"/>
      <c r="M211" s="557"/>
      <c r="N211" s="557"/>
      <c r="O211" s="557"/>
      <c r="P211" s="557"/>
      <c r="Q211" s="557"/>
      <c r="R211" s="558">
        <v>9.1700000000000004E-2</v>
      </c>
      <c r="S211" s="532"/>
      <c r="T211" s="419"/>
      <c r="U211" s="451"/>
      <c r="V211" s="405"/>
    </row>
    <row r="212" spans="1:22" x14ac:dyDescent="0.3">
      <c r="A212" s="465"/>
      <c r="B212" s="431"/>
      <c r="C212" s="431"/>
      <c r="D212" s="431"/>
      <c r="E212" s="431"/>
      <c r="F212" s="431"/>
      <c r="G212" s="431"/>
      <c r="H212" s="431"/>
      <c r="I212" s="431"/>
      <c r="J212" s="431"/>
      <c r="K212" s="431"/>
      <c r="L212" s="431"/>
      <c r="M212" s="431"/>
      <c r="N212" s="431"/>
      <c r="O212" s="431"/>
      <c r="P212" s="431"/>
      <c r="Q212" s="431"/>
      <c r="R212" s="461"/>
      <c r="S212" s="431"/>
      <c r="T212" s="470"/>
      <c r="U212" s="444"/>
      <c r="V212" s="405"/>
    </row>
    <row r="213" spans="1:22" x14ac:dyDescent="0.3">
      <c r="A213" s="513"/>
      <c r="B213" s="612" t="s">
        <v>83</v>
      </c>
      <c r="C213" s="613"/>
      <c r="D213" s="613"/>
      <c r="E213" s="613"/>
      <c r="F213" s="620"/>
      <c r="G213" s="613"/>
      <c r="H213" s="613"/>
      <c r="I213" s="613"/>
      <c r="J213" s="613"/>
      <c r="K213" s="613"/>
      <c r="L213" s="613"/>
      <c r="M213" s="613"/>
      <c r="N213" s="613"/>
      <c r="O213" s="613"/>
      <c r="P213" s="613"/>
      <c r="Q213" s="613" t="s">
        <v>108</v>
      </c>
      <c r="R213" s="620" t="s">
        <v>115</v>
      </c>
      <c r="S213" s="608"/>
      <c r="T213" s="608"/>
      <c r="U213" s="611"/>
      <c r="V213" s="405"/>
    </row>
    <row r="214" spans="1:22" x14ac:dyDescent="0.3">
      <c r="A214" s="487"/>
      <c r="B214" s="539" t="s">
        <v>84</v>
      </c>
      <c r="C214" s="455"/>
      <c r="D214" s="455"/>
      <c r="E214" s="455"/>
      <c r="F214" s="431"/>
      <c r="G214" s="431"/>
      <c r="H214" s="616"/>
      <c r="I214" s="616"/>
      <c r="J214" s="616"/>
      <c r="K214" s="616"/>
      <c r="L214" s="616"/>
      <c r="M214" s="616"/>
      <c r="N214" s="616"/>
      <c r="O214" s="616"/>
      <c r="P214" s="616"/>
      <c r="Q214" s="617">
        <v>0</v>
      </c>
      <c r="R214" s="618">
        <v>0</v>
      </c>
      <c r="S214" s="431"/>
      <c r="T214" s="470"/>
      <c r="U214" s="619"/>
      <c r="V214" s="405"/>
    </row>
    <row r="215" spans="1:22" x14ac:dyDescent="0.3">
      <c r="A215" s="471"/>
      <c r="B215" s="532" t="s">
        <v>156</v>
      </c>
      <c r="C215" s="443"/>
      <c r="D215" s="443"/>
      <c r="E215" s="443"/>
      <c r="F215" s="419"/>
      <c r="G215" s="419"/>
      <c r="H215" s="422"/>
      <c r="I215" s="422"/>
      <c r="J215" s="422"/>
      <c r="K215" s="422"/>
      <c r="L215" s="422"/>
      <c r="M215" s="422"/>
      <c r="N215" s="422"/>
      <c r="O215" s="422"/>
      <c r="P215" s="422"/>
      <c r="Q215" s="555">
        <f>+P266</f>
        <v>27</v>
      </c>
      <c r="R215" s="553">
        <f>+R266</f>
        <v>3781</v>
      </c>
      <c r="S215" s="419"/>
      <c r="T215" s="472"/>
      <c r="U215" s="473"/>
      <c r="V215" s="405"/>
    </row>
    <row r="216" spans="1:22" x14ac:dyDescent="0.3">
      <c r="A216" s="471"/>
      <c r="B216" s="532" t="s">
        <v>85</v>
      </c>
      <c r="C216" s="443"/>
      <c r="D216" s="443"/>
      <c r="E216" s="443"/>
      <c r="F216" s="419"/>
      <c r="G216" s="419"/>
      <c r="H216" s="422"/>
      <c r="I216" s="422"/>
      <c r="J216" s="422"/>
      <c r="K216" s="422"/>
      <c r="L216" s="422"/>
      <c r="M216" s="422"/>
      <c r="N216" s="422"/>
      <c r="O216" s="422"/>
      <c r="P216" s="422"/>
      <c r="Q216" s="555">
        <f>+P278</f>
        <v>0</v>
      </c>
      <c r="R216" s="553">
        <f>+R278</f>
        <v>0</v>
      </c>
      <c r="S216" s="419"/>
      <c r="T216" s="472"/>
      <c r="U216" s="473"/>
      <c r="V216" s="405"/>
    </row>
    <row r="217" spans="1:22" x14ac:dyDescent="0.3">
      <c r="A217" s="471"/>
      <c r="B217" s="514" t="s">
        <v>86</v>
      </c>
      <c r="C217" s="474"/>
      <c r="D217" s="474"/>
      <c r="E217" s="474"/>
      <c r="F217" s="448"/>
      <c r="G217" s="448"/>
      <c r="H217" s="448"/>
      <c r="I217" s="448"/>
      <c r="J217" s="448"/>
      <c r="K217" s="448"/>
      <c r="L217" s="448"/>
      <c r="M217" s="448"/>
      <c r="N217" s="448"/>
      <c r="O217" s="448"/>
      <c r="P217" s="448"/>
      <c r="Q217" s="532"/>
      <c r="R217" s="553">
        <v>0</v>
      </c>
      <c r="S217" s="448"/>
      <c r="T217" s="475"/>
      <c r="U217" s="473"/>
      <c r="V217" s="405"/>
    </row>
    <row r="218" spans="1:22" x14ac:dyDescent="0.3">
      <c r="A218" s="471"/>
      <c r="B218" s="514" t="s">
        <v>87</v>
      </c>
      <c r="C218" s="474"/>
      <c r="D218" s="474"/>
      <c r="E218" s="474"/>
      <c r="F218" s="448"/>
      <c r="G218" s="448"/>
      <c r="H218" s="448"/>
      <c r="I218" s="448"/>
      <c r="J218" s="448"/>
      <c r="K218" s="448"/>
      <c r="L218" s="448"/>
      <c r="M218" s="448"/>
      <c r="N218" s="448"/>
      <c r="O218" s="448"/>
      <c r="P218" s="448"/>
      <c r="Q218" s="532"/>
      <c r="R218" s="554" t="s">
        <v>116</v>
      </c>
      <c r="S218" s="448"/>
      <c r="T218" s="475"/>
      <c r="U218" s="473"/>
      <c r="V218" s="405"/>
    </row>
    <row r="219" spans="1:22" x14ac:dyDescent="0.3">
      <c r="A219" s="476"/>
      <c r="B219" s="514" t="s">
        <v>88</v>
      </c>
      <c r="C219" s="477"/>
      <c r="D219" s="477"/>
      <c r="E219" s="477"/>
      <c r="F219" s="477"/>
      <c r="G219" s="448"/>
      <c r="H219" s="448"/>
      <c r="I219" s="448"/>
      <c r="J219" s="448"/>
      <c r="K219" s="448"/>
      <c r="L219" s="448"/>
      <c r="M219" s="448"/>
      <c r="N219" s="448"/>
      <c r="O219" s="448"/>
      <c r="P219" s="448"/>
      <c r="Q219" s="448"/>
      <c r="R219" s="478"/>
      <c r="S219" s="448"/>
      <c r="T219" s="475"/>
      <c r="U219" s="479"/>
      <c r="V219" s="405"/>
    </row>
    <row r="220" spans="1:22" x14ac:dyDescent="0.3">
      <c r="A220" s="476"/>
      <c r="B220" s="532" t="s">
        <v>89</v>
      </c>
      <c r="C220" s="532"/>
      <c r="D220" s="532"/>
      <c r="E220" s="532"/>
      <c r="F220" s="532"/>
      <c r="G220" s="532"/>
      <c r="H220" s="532"/>
      <c r="I220" s="532"/>
      <c r="J220" s="532"/>
      <c r="K220" s="532"/>
      <c r="L220" s="532"/>
      <c r="M220" s="532"/>
      <c r="N220" s="532"/>
      <c r="O220" s="532"/>
      <c r="P220" s="532"/>
      <c r="Q220" s="552"/>
      <c r="R220" s="553">
        <f>T164</f>
        <v>-1</v>
      </c>
      <c r="S220" s="419"/>
      <c r="T220" s="475"/>
      <c r="U220" s="479"/>
      <c r="V220" s="405"/>
    </row>
    <row r="221" spans="1:22" x14ac:dyDescent="0.3">
      <c r="A221" s="471"/>
      <c r="B221" s="532" t="s">
        <v>90</v>
      </c>
      <c r="C221" s="531"/>
      <c r="D221" s="531"/>
      <c r="E221" s="531"/>
      <c r="F221" s="531"/>
      <c r="G221" s="532"/>
      <c r="H221" s="532"/>
      <c r="I221" s="532"/>
      <c r="J221" s="532"/>
      <c r="K221" s="532"/>
      <c r="L221" s="532"/>
      <c r="M221" s="532"/>
      <c r="N221" s="532"/>
      <c r="O221" s="532"/>
      <c r="P221" s="532"/>
      <c r="Q221" s="552"/>
      <c r="R221" s="553">
        <f>'Oct 18'!R221+'Jan 19'!R220</f>
        <v>4410</v>
      </c>
      <c r="S221" s="419"/>
      <c r="T221" s="475"/>
      <c r="U221" s="479"/>
      <c r="V221" s="405"/>
    </row>
    <row r="222" spans="1:22" x14ac:dyDescent="0.3">
      <c r="A222" s="476"/>
      <c r="B222" s="514" t="s">
        <v>288</v>
      </c>
      <c r="C222" s="477"/>
      <c r="D222" s="477"/>
      <c r="E222" s="477"/>
      <c r="F222" s="477"/>
      <c r="G222" s="448"/>
      <c r="H222" s="448"/>
      <c r="I222" s="448"/>
      <c r="J222" s="448"/>
      <c r="K222" s="448"/>
      <c r="L222" s="448"/>
      <c r="M222" s="448"/>
      <c r="N222" s="448"/>
      <c r="O222" s="448"/>
      <c r="P222" s="448"/>
      <c r="Q222" s="480"/>
      <c r="R222" s="478"/>
      <c r="S222" s="448"/>
      <c r="T222" s="475"/>
      <c r="U222" s="479"/>
      <c r="V222" s="405"/>
    </row>
    <row r="223" spans="1:22" x14ac:dyDescent="0.3">
      <c r="A223" s="481"/>
      <c r="B223" s="532" t="s">
        <v>286</v>
      </c>
      <c r="C223" s="532"/>
      <c r="D223" s="532"/>
      <c r="E223" s="532"/>
      <c r="F223" s="532"/>
      <c r="G223" s="532"/>
      <c r="H223" s="532"/>
      <c r="I223" s="532"/>
      <c r="J223" s="532"/>
      <c r="K223" s="532"/>
      <c r="L223" s="532"/>
      <c r="M223" s="532"/>
      <c r="N223" s="532"/>
      <c r="O223" s="532"/>
      <c r="P223" s="532"/>
      <c r="Q223" s="552">
        <v>0</v>
      </c>
      <c r="R223" s="553">
        <v>0</v>
      </c>
      <c r="S223" s="419"/>
      <c r="T223" s="472"/>
      <c r="U223" s="479"/>
      <c r="V223" s="405"/>
    </row>
    <row r="224" spans="1:22" x14ac:dyDescent="0.3">
      <c r="A224" s="482"/>
      <c r="B224" s="532" t="s">
        <v>92</v>
      </c>
      <c r="C224" s="550"/>
      <c r="D224" s="550"/>
      <c r="E224" s="550"/>
      <c r="F224" s="551"/>
      <c r="G224" s="532"/>
      <c r="H224" s="532"/>
      <c r="I224" s="532"/>
      <c r="J224" s="532"/>
      <c r="K224" s="532"/>
      <c r="L224" s="532"/>
      <c r="M224" s="532"/>
      <c r="N224" s="532"/>
      <c r="O224" s="532"/>
      <c r="P224" s="532"/>
      <c r="Q224" s="552"/>
      <c r="R224" s="554">
        <v>0</v>
      </c>
      <c r="S224" s="419"/>
      <c r="T224" s="472"/>
      <c r="U224" s="479"/>
      <c r="V224" s="405"/>
    </row>
    <row r="225" spans="1:23" x14ac:dyDescent="0.3">
      <c r="A225" s="482"/>
      <c r="B225" s="532" t="s">
        <v>93</v>
      </c>
      <c r="C225" s="550"/>
      <c r="D225" s="550"/>
      <c r="E225" s="550"/>
      <c r="F225" s="551"/>
      <c r="G225" s="532"/>
      <c r="H225" s="532"/>
      <c r="I225" s="532"/>
      <c r="J225" s="532"/>
      <c r="K225" s="532"/>
      <c r="L225" s="532"/>
      <c r="M225" s="532"/>
      <c r="N225" s="532"/>
      <c r="O225" s="532"/>
      <c r="P225" s="532"/>
      <c r="Q225" s="552"/>
      <c r="R225" s="554">
        <v>0</v>
      </c>
      <c r="S225" s="419"/>
      <c r="T225" s="472"/>
      <c r="U225" s="479"/>
      <c r="V225" s="405"/>
    </row>
    <row r="226" spans="1:23" x14ac:dyDescent="0.3">
      <c r="A226" s="471"/>
      <c r="B226" s="514" t="s">
        <v>258</v>
      </c>
      <c r="C226" s="483"/>
      <c r="D226" s="483"/>
      <c r="E226" s="483"/>
      <c r="F226" s="484"/>
      <c r="G226" s="448"/>
      <c r="H226" s="448"/>
      <c r="I226" s="448"/>
      <c r="J226" s="448"/>
      <c r="K226" s="448"/>
      <c r="L226" s="448"/>
      <c r="M226" s="448"/>
      <c r="N226" s="448"/>
      <c r="O226" s="448"/>
      <c r="P226" s="448"/>
      <c r="Q226" s="480"/>
      <c r="R226" s="485"/>
      <c r="S226" s="448"/>
      <c r="T226" s="475"/>
      <c r="U226" s="479"/>
      <c r="V226" s="405"/>
    </row>
    <row r="227" spans="1:23" x14ac:dyDescent="0.3">
      <c r="A227" s="482"/>
      <c r="B227" s="532" t="s">
        <v>286</v>
      </c>
      <c r="C227" s="550"/>
      <c r="D227" s="550"/>
      <c r="E227" s="550"/>
      <c r="F227" s="551"/>
      <c r="G227" s="532"/>
      <c r="H227" s="532"/>
      <c r="I227" s="532"/>
      <c r="J227" s="532"/>
      <c r="K227" s="532"/>
      <c r="L227" s="532"/>
      <c r="M227" s="532"/>
      <c r="N227" s="532"/>
      <c r="O227" s="532"/>
      <c r="P227" s="532"/>
      <c r="Q227" s="552">
        <v>0</v>
      </c>
      <c r="R227" s="553">
        <v>0</v>
      </c>
      <c r="S227" s="419"/>
      <c r="T227" s="475"/>
      <c r="U227" s="479"/>
      <c r="V227" s="405"/>
    </row>
    <row r="228" spans="1:23" x14ac:dyDescent="0.3">
      <c r="A228" s="482"/>
      <c r="B228" s="532" t="s">
        <v>259</v>
      </c>
      <c r="C228" s="550"/>
      <c r="D228" s="550"/>
      <c r="E228" s="550"/>
      <c r="F228" s="551"/>
      <c r="G228" s="532"/>
      <c r="H228" s="532"/>
      <c r="I228" s="532"/>
      <c r="J228" s="532"/>
      <c r="K228" s="532"/>
      <c r="L228" s="532"/>
      <c r="M228" s="532"/>
      <c r="N228" s="532"/>
      <c r="O228" s="532"/>
      <c r="P228" s="532"/>
      <c r="Q228" s="532"/>
      <c r="R228" s="554">
        <v>0</v>
      </c>
      <c r="S228" s="419"/>
      <c r="T228" s="475"/>
      <c r="U228" s="479"/>
      <c r="V228" s="405"/>
    </row>
    <row r="229" spans="1:23" x14ac:dyDescent="0.3">
      <c r="A229" s="471"/>
      <c r="B229" s="477"/>
      <c r="C229" s="483"/>
      <c r="D229" s="483"/>
      <c r="E229" s="483"/>
      <c r="F229" s="484"/>
      <c r="G229" s="448"/>
      <c r="H229" s="448"/>
      <c r="I229" s="448"/>
      <c r="J229" s="448"/>
      <c r="K229" s="448"/>
      <c r="L229" s="448"/>
      <c r="M229" s="448"/>
      <c r="N229" s="448"/>
      <c r="O229" s="448"/>
      <c r="P229" s="448"/>
      <c r="Q229" s="448"/>
      <c r="R229" s="486"/>
      <c r="S229" s="448"/>
      <c r="T229" s="475"/>
      <c r="U229" s="479"/>
      <c r="V229" s="405"/>
    </row>
    <row r="230" spans="1:23" ht="18" x14ac:dyDescent="0.35">
      <c r="A230" s="471"/>
      <c r="B230" s="530" t="s">
        <v>208</v>
      </c>
      <c r="C230" s="483"/>
      <c r="D230" s="483"/>
      <c r="E230" s="483"/>
      <c r="F230" s="484"/>
      <c r="G230" s="448"/>
      <c r="H230" s="448"/>
      <c r="I230" s="448"/>
      <c r="J230" s="448"/>
      <c r="K230" s="448"/>
      <c r="L230" s="448"/>
      <c r="M230" s="448"/>
      <c r="N230" s="603" t="s">
        <v>347</v>
      </c>
      <c r="O230" s="448"/>
      <c r="P230" s="448"/>
      <c r="Q230" s="448"/>
      <c r="R230" s="486"/>
      <c r="S230" s="448"/>
      <c r="T230" s="475"/>
      <c r="U230" s="479"/>
      <c r="V230" s="405"/>
    </row>
    <row r="231" spans="1:23" x14ac:dyDescent="0.3">
      <c r="A231" s="487"/>
      <c r="B231" s="488"/>
      <c r="C231" s="489"/>
      <c r="D231" s="489"/>
      <c r="E231" s="489"/>
      <c r="F231" s="490"/>
      <c r="G231" s="444"/>
      <c r="H231" s="444"/>
      <c r="I231" s="444"/>
      <c r="J231" s="444"/>
      <c r="K231" s="444"/>
      <c r="L231" s="444"/>
      <c r="M231" s="444"/>
      <c r="N231" s="444"/>
      <c r="O231" s="444"/>
      <c r="P231" s="444"/>
      <c r="Q231" s="444"/>
      <c r="R231" s="491"/>
      <c r="S231" s="444"/>
      <c r="T231" s="492"/>
      <c r="U231" s="493"/>
      <c r="V231" s="405"/>
    </row>
    <row r="232" spans="1:23" x14ac:dyDescent="0.3">
      <c r="A232" s="503"/>
      <c r="B232" s="612" t="s">
        <v>302</v>
      </c>
      <c r="C232" s="613"/>
      <c r="D232" s="613"/>
      <c r="E232" s="613"/>
      <c r="F232" s="620"/>
      <c r="G232" s="613"/>
      <c r="H232" s="613"/>
      <c r="I232" s="613"/>
      <c r="J232" s="613"/>
      <c r="K232" s="613"/>
      <c r="L232" s="613"/>
      <c r="M232" s="613"/>
      <c r="N232" s="613"/>
      <c r="O232" s="613"/>
      <c r="P232" s="620" t="s">
        <v>108</v>
      </c>
      <c r="Q232" s="613" t="s">
        <v>109</v>
      </c>
      <c r="R232" s="620" t="s">
        <v>117</v>
      </c>
      <c r="S232" s="613" t="s">
        <v>109</v>
      </c>
      <c r="T232" s="608"/>
      <c r="U232" s="626"/>
      <c r="V232" s="405"/>
    </row>
    <row r="233" spans="1:23" x14ac:dyDescent="0.3">
      <c r="A233" s="430"/>
      <c r="B233" s="572" t="s">
        <v>94</v>
      </c>
      <c r="C233" s="621"/>
      <c r="D233" s="621"/>
      <c r="E233" s="621"/>
      <c r="F233" s="539"/>
      <c r="G233" s="621"/>
      <c r="H233" s="621"/>
      <c r="I233" s="621"/>
      <c r="J233" s="621"/>
      <c r="K233" s="621"/>
      <c r="L233" s="621"/>
      <c r="M233" s="621"/>
      <c r="N233" s="621"/>
      <c r="O233" s="621"/>
      <c r="P233" s="622">
        <f t="shared" ref="P233:P240" si="1">+P245+P257+P269</f>
        <v>1740</v>
      </c>
      <c r="Q233" s="623">
        <f t="shared" ref="Q233:Q240" si="2">P233/$P$242</f>
        <v>0.99713467048710602</v>
      </c>
      <c r="R233" s="624">
        <f t="shared" ref="R233:R240" si="3">+R245+R257+R269</f>
        <v>211964</v>
      </c>
      <c r="S233" s="623">
        <f t="shared" ref="S233:S240" si="4">R233/$R$242</f>
        <v>0.99723830986445605</v>
      </c>
      <c r="T233" s="470"/>
      <c r="U233" s="625"/>
      <c r="V233" s="405"/>
    </row>
    <row r="234" spans="1:23" x14ac:dyDescent="0.3">
      <c r="A234" s="428"/>
      <c r="B234" s="531" t="s">
        <v>95</v>
      </c>
      <c r="C234" s="549"/>
      <c r="D234" s="549"/>
      <c r="E234" s="549"/>
      <c r="F234" s="532"/>
      <c r="G234" s="534"/>
      <c r="H234" s="549"/>
      <c r="I234" s="549"/>
      <c r="J234" s="549"/>
      <c r="K234" s="549"/>
      <c r="L234" s="549"/>
      <c r="M234" s="549"/>
      <c r="N234" s="549"/>
      <c r="O234" s="549"/>
      <c r="P234" s="531">
        <f t="shared" si="1"/>
        <v>3</v>
      </c>
      <c r="Q234" s="534">
        <f t="shared" si="2"/>
        <v>1.7191977077363897E-3</v>
      </c>
      <c r="R234" s="535">
        <f t="shared" si="3"/>
        <v>192</v>
      </c>
      <c r="S234" s="534">
        <f t="shared" si="4"/>
        <v>9.0331261673668904E-4</v>
      </c>
      <c r="T234" s="472"/>
      <c r="U234" s="494"/>
      <c r="V234" s="405"/>
      <c r="W234" s="452"/>
    </row>
    <row r="235" spans="1:23" x14ac:dyDescent="0.3">
      <c r="A235" s="428"/>
      <c r="B235" s="531" t="s">
        <v>96</v>
      </c>
      <c r="C235" s="549"/>
      <c r="D235" s="549"/>
      <c r="E235" s="549"/>
      <c r="F235" s="532"/>
      <c r="G235" s="534"/>
      <c r="H235" s="549"/>
      <c r="I235" s="549"/>
      <c r="J235" s="549"/>
      <c r="K235" s="549"/>
      <c r="L235" s="549"/>
      <c r="M235" s="549"/>
      <c r="N235" s="549"/>
      <c r="O235" s="549"/>
      <c r="P235" s="531">
        <f t="shared" si="1"/>
        <v>1</v>
      </c>
      <c r="Q235" s="534">
        <f t="shared" si="2"/>
        <v>5.7306590257879652E-4</v>
      </c>
      <c r="R235" s="535">
        <f t="shared" si="3"/>
        <v>236</v>
      </c>
      <c r="S235" s="534">
        <f t="shared" si="4"/>
        <v>1.1103217580721804E-3</v>
      </c>
      <c r="T235" s="472"/>
      <c r="U235" s="494"/>
      <c r="V235" s="405"/>
    </row>
    <row r="236" spans="1:23" x14ac:dyDescent="0.3">
      <c r="A236" s="428"/>
      <c r="B236" s="531" t="s">
        <v>171</v>
      </c>
      <c r="C236" s="549"/>
      <c r="D236" s="549"/>
      <c r="E236" s="549"/>
      <c r="F236" s="532"/>
      <c r="G236" s="534"/>
      <c r="H236" s="549"/>
      <c r="I236" s="549"/>
      <c r="J236" s="549"/>
      <c r="K236" s="549"/>
      <c r="L236" s="549"/>
      <c r="M236" s="549"/>
      <c r="N236" s="549"/>
      <c r="O236" s="549"/>
      <c r="P236" s="531">
        <f t="shared" si="1"/>
        <v>1</v>
      </c>
      <c r="Q236" s="534">
        <f t="shared" si="2"/>
        <v>5.7306590257879652E-4</v>
      </c>
      <c r="R236" s="535">
        <f t="shared" si="3"/>
        <v>159</v>
      </c>
      <c r="S236" s="534">
        <f t="shared" si="4"/>
        <v>7.4805576073507061E-4</v>
      </c>
      <c r="T236" s="472"/>
      <c r="U236" s="494"/>
      <c r="V236" s="405"/>
      <c r="W236" s="452"/>
    </row>
    <row r="237" spans="1:23" x14ac:dyDescent="0.3">
      <c r="A237" s="428"/>
      <c r="B237" s="531" t="s">
        <v>172</v>
      </c>
      <c r="C237" s="549"/>
      <c r="D237" s="549"/>
      <c r="E237" s="549"/>
      <c r="F237" s="532"/>
      <c r="G237" s="534"/>
      <c r="H237" s="549"/>
      <c r="I237" s="549"/>
      <c r="J237" s="549"/>
      <c r="K237" s="549"/>
      <c r="L237" s="549"/>
      <c r="M237" s="549"/>
      <c r="N237" s="549"/>
      <c r="O237" s="549"/>
      <c r="P237" s="531">
        <f t="shared" si="1"/>
        <v>0</v>
      </c>
      <c r="Q237" s="534">
        <f t="shared" si="2"/>
        <v>0</v>
      </c>
      <c r="R237" s="535">
        <f t="shared" si="3"/>
        <v>0</v>
      </c>
      <c r="S237" s="534">
        <f t="shared" si="4"/>
        <v>0</v>
      </c>
      <c r="T237" s="472"/>
      <c r="U237" s="494"/>
      <c r="V237" s="405"/>
    </row>
    <row r="238" spans="1:23" x14ac:dyDescent="0.3">
      <c r="A238" s="428"/>
      <c r="B238" s="531" t="s">
        <v>173</v>
      </c>
      <c r="C238" s="549"/>
      <c r="D238" s="549"/>
      <c r="E238" s="549"/>
      <c r="F238" s="532"/>
      <c r="G238" s="534"/>
      <c r="H238" s="549"/>
      <c r="I238" s="549"/>
      <c r="J238" s="549"/>
      <c r="K238" s="549"/>
      <c r="L238" s="549"/>
      <c r="M238" s="549"/>
      <c r="N238" s="549"/>
      <c r="O238" s="549"/>
      <c r="P238" s="531">
        <f t="shared" si="1"/>
        <v>0</v>
      </c>
      <c r="Q238" s="534">
        <f t="shared" si="2"/>
        <v>0</v>
      </c>
      <c r="R238" s="535">
        <f t="shared" si="3"/>
        <v>0</v>
      </c>
      <c r="S238" s="534">
        <f t="shared" si="4"/>
        <v>0</v>
      </c>
      <c r="T238" s="472"/>
      <c r="U238" s="494"/>
      <c r="V238" s="405"/>
      <c r="W238" s="452"/>
    </row>
    <row r="239" spans="1:23" x14ac:dyDescent="0.3">
      <c r="A239" s="428"/>
      <c r="B239" s="531" t="s">
        <v>174</v>
      </c>
      <c r="C239" s="549"/>
      <c r="D239" s="549"/>
      <c r="E239" s="549"/>
      <c r="F239" s="532"/>
      <c r="G239" s="534"/>
      <c r="H239" s="549"/>
      <c r="I239" s="549"/>
      <c r="J239" s="549"/>
      <c r="K239" s="549"/>
      <c r="L239" s="549"/>
      <c r="M239" s="549"/>
      <c r="N239" s="549"/>
      <c r="O239" s="549"/>
      <c r="P239" s="531">
        <f t="shared" si="1"/>
        <v>0</v>
      </c>
      <c r="Q239" s="534">
        <f t="shared" si="2"/>
        <v>0</v>
      </c>
      <c r="R239" s="535">
        <f t="shared" si="3"/>
        <v>0</v>
      </c>
      <c r="S239" s="534">
        <f t="shared" si="4"/>
        <v>0</v>
      </c>
      <c r="T239" s="472"/>
      <c r="U239" s="494"/>
      <c r="V239" s="405"/>
    </row>
    <row r="240" spans="1:23" x14ac:dyDescent="0.3">
      <c r="A240" s="428"/>
      <c r="B240" s="531" t="s">
        <v>175</v>
      </c>
      <c r="C240" s="549"/>
      <c r="D240" s="549"/>
      <c r="E240" s="549"/>
      <c r="F240" s="532"/>
      <c r="G240" s="534"/>
      <c r="H240" s="549"/>
      <c r="I240" s="549"/>
      <c r="J240" s="549"/>
      <c r="K240" s="549"/>
      <c r="L240" s="549"/>
      <c r="M240" s="549"/>
      <c r="N240" s="549"/>
      <c r="O240" s="549"/>
      <c r="P240" s="531">
        <f t="shared" si="1"/>
        <v>0</v>
      </c>
      <c r="Q240" s="534">
        <f t="shared" si="2"/>
        <v>0</v>
      </c>
      <c r="R240" s="535">
        <f t="shared" si="3"/>
        <v>0</v>
      </c>
      <c r="S240" s="534">
        <f t="shared" si="4"/>
        <v>0</v>
      </c>
      <c r="T240" s="472"/>
      <c r="U240" s="494"/>
      <c r="V240" s="405"/>
      <c r="W240" s="452"/>
    </row>
    <row r="241" spans="1:23" x14ac:dyDescent="0.3">
      <c r="A241" s="428"/>
      <c r="B241" s="531"/>
      <c r="C241" s="549"/>
      <c r="D241" s="549"/>
      <c r="E241" s="549"/>
      <c r="F241" s="532"/>
      <c r="G241" s="534"/>
      <c r="H241" s="549"/>
      <c r="I241" s="549"/>
      <c r="J241" s="549"/>
      <c r="K241" s="549"/>
      <c r="L241" s="549"/>
      <c r="M241" s="549"/>
      <c r="N241" s="549"/>
      <c r="O241" s="549"/>
      <c r="P241" s="531"/>
      <c r="Q241" s="534"/>
      <c r="R241" s="535"/>
      <c r="S241" s="534"/>
      <c r="T241" s="472"/>
      <c r="U241" s="494"/>
      <c r="V241" s="405"/>
    </row>
    <row r="242" spans="1:23" x14ac:dyDescent="0.3">
      <c r="A242" s="428"/>
      <c r="B242" s="532"/>
      <c r="C242" s="532"/>
      <c r="D242" s="532"/>
      <c r="E242" s="532"/>
      <c r="F242" s="532"/>
      <c r="G242" s="532"/>
      <c r="H242" s="533"/>
      <c r="I242" s="533"/>
      <c r="J242" s="533"/>
      <c r="K242" s="533"/>
      <c r="L242" s="533"/>
      <c r="M242" s="533"/>
      <c r="N242" s="533"/>
      <c r="O242" s="533"/>
      <c r="P242" s="531">
        <f>SUM(P233:P241)</f>
        <v>1745</v>
      </c>
      <c r="Q242" s="534">
        <f>SUM(Q233:Q241)</f>
        <v>1</v>
      </c>
      <c r="R242" s="535">
        <f>SUM(R233:R241)</f>
        <v>212551</v>
      </c>
      <c r="S242" s="534">
        <f>SUM(S233:S241)</f>
        <v>1</v>
      </c>
      <c r="T242" s="419"/>
      <c r="U242" s="420"/>
      <c r="V242" s="405"/>
    </row>
    <row r="243" spans="1:23" x14ac:dyDescent="0.3">
      <c r="A243" s="487"/>
      <c r="B243" s="488"/>
      <c r="C243" s="489"/>
      <c r="D243" s="489"/>
      <c r="E243" s="489"/>
      <c r="F243" s="490"/>
      <c r="G243" s="444"/>
      <c r="H243" s="444"/>
      <c r="I243" s="444"/>
      <c r="J243" s="444"/>
      <c r="K243" s="444"/>
      <c r="L243" s="444"/>
      <c r="M243" s="444"/>
      <c r="N243" s="444"/>
      <c r="O243" s="444"/>
      <c r="P243" s="444"/>
      <c r="Q243" s="444"/>
      <c r="R243" s="491"/>
      <c r="S243" s="444"/>
      <c r="T243" s="492"/>
      <c r="U243" s="493"/>
      <c r="V243" s="405"/>
    </row>
    <row r="244" spans="1:23" x14ac:dyDescent="0.3">
      <c r="A244" s="503"/>
      <c r="B244" s="612" t="s">
        <v>177</v>
      </c>
      <c r="C244" s="613"/>
      <c r="D244" s="613"/>
      <c r="E244" s="613"/>
      <c r="F244" s="620"/>
      <c r="G244" s="613"/>
      <c r="H244" s="613"/>
      <c r="I244" s="613"/>
      <c r="J244" s="613"/>
      <c r="K244" s="613"/>
      <c r="L244" s="613"/>
      <c r="M244" s="613"/>
      <c r="N244" s="613"/>
      <c r="O244" s="613"/>
      <c r="P244" s="620" t="s">
        <v>108</v>
      </c>
      <c r="Q244" s="613" t="s">
        <v>109</v>
      </c>
      <c r="R244" s="620" t="s">
        <v>117</v>
      </c>
      <c r="S244" s="613" t="s">
        <v>109</v>
      </c>
      <c r="T244" s="608"/>
      <c r="U244" s="626"/>
      <c r="V244" s="405"/>
    </row>
    <row r="245" spans="1:23" x14ac:dyDescent="0.3">
      <c r="A245" s="430"/>
      <c r="B245" s="572" t="s">
        <v>94</v>
      </c>
      <c r="C245" s="621"/>
      <c r="D245" s="621"/>
      <c r="E245" s="621"/>
      <c r="F245" s="539"/>
      <c r="G245" s="621"/>
      <c r="H245" s="621"/>
      <c r="I245" s="621"/>
      <c r="J245" s="621"/>
      <c r="K245" s="621"/>
      <c r="L245" s="621"/>
      <c r="M245" s="621"/>
      <c r="N245" s="621"/>
      <c r="O245" s="621"/>
      <c r="P245" s="572">
        <v>1715</v>
      </c>
      <c r="Q245" s="627">
        <f t="shared" ref="Q245:Q252" si="5">P245/$P$254</f>
        <v>0.99825378346915017</v>
      </c>
      <c r="R245" s="541">
        <v>208578</v>
      </c>
      <c r="S245" s="627">
        <f t="shared" ref="S245:S252" si="6">R245/$R$254</f>
        <v>0.9990803276332807</v>
      </c>
      <c r="T245" s="470"/>
      <c r="U245" s="625"/>
      <c r="V245" s="405"/>
    </row>
    <row r="246" spans="1:23" x14ac:dyDescent="0.3">
      <c r="A246" s="428"/>
      <c r="B246" s="531" t="s">
        <v>95</v>
      </c>
      <c r="C246" s="549"/>
      <c r="D246" s="549"/>
      <c r="E246" s="549"/>
      <c r="F246" s="532"/>
      <c r="G246" s="534"/>
      <c r="H246" s="549"/>
      <c r="I246" s="549"/>
      <c r="J246" s="549"/>
      <c r="K246" s="549"/>
      <c r="L246" s="549"/>
      <c r="M246" s="549"/>
      <c r="N246" s="549"/>
      <c r="O246" s="549"/>
      <c r="P246" s="531">
        <v>3</v>
      </c>
      <c r="Q246" s="534">
        <f t="shared" si="5"/>
        <v>1.7462165308498253E-3</v>
      </c>
      <c r="R246" s="535">
        <v>192</v>
      </c>
      <c r="S246" s="534">
        <f t="shared" si="6"/>
        <v>9.1967236671935623E-4</v>
      </c>
      <c r="T246" s="472"/>
      <c r="U246" s="494"/>
      <c r="V246" s="405"/>
      <c r="W246" s="452"/>
    </row>
    <row r="247" spans="1:23" x14ac:dyDescent="0.3">
      <c r="A247" s="428"/>
      <c r="B247" s="531" t="s">
        <v>96</v>
      </c>
      <c r="C247" s="549"/>
      <c r="D247" s="549"/>
      <c r="E247" s="549"/>
      <c r="F247" s="532"/>
      <c r="G247" s="534"/>
      <c r="H247" s="549"/>
      <c r="I247" s="549"/>
      <c r="J247" s="549"/>
      <c r="K247" s="549"/>
      <c r="L247" s="549"/>
      <c r="M247" s="549"/>
      <c r="N247" s="549"/>
      <c r="O247" s="549"/>
      <c r="P247" s="531">
        <v>0</v>
      </c>
      <c r="Q247" s="534">
        <f t="shared" si="5"/>
        <v>0</v>
      </c>
      <c r="R247" s="535">
        <v>0</v>
      </c>
      <c r="S247" s="534">
        <f t="shared" si="6"/>
        <v>0</v>
      </c>
      <c r="T247" s="472"/>
      <c r="U247" s="494"/>
      <c r="V247" s="405"/>
    </row>
    <row r="248" spans="1:23" x14ac:dyDescent="0.3">
      <c r="A248" s="428"/>
      <c r="B248" s="531" t="s">
        <v>171</v>
      </c>
      <c r="C248" s="549"/>
      <c r="D248" s="549"/>
      <c r="E248" s="549"/>
      <c r="F248" s="532"/>
      <c r="G248" s="534"/>
      <c r="H248" s="549"/>
      <c r="I248" s="549"/>
      <c r="J248" s="549"/>
      <c r="K248" s="549"/>
      <c r="L248" s="549"/>
      <c r="M248" s="549"/>
      <c r="N248" s="549"/>
      <c r="O248" s="549"/>
      <c r="P248" s="531">
        <v>0</v>
      </c>
      <c r="Q248" s="534">
        <f t="shared" si="5"/>
        <v>0</v>
      </c>
      <c r="R248" s="535">
        <v>0</v>
      </c>
      <c r="S248" s="534">
        <f t="shared" si="6"/>
        <v>0</v>
      </c>
      <c r="T248" s="472"/>
      <c r="U248" s="494"/>
      <c r="V248" s="405"/>
      <c r="W248" s="452"/>
    </row>
    <row r="249" spans="1:23" x14ac:dyDescent="0.3">
      <c r="A249" s="428"/>
      <c r="B249" s="531" t="s">
        <v>172</v>
      </c>
      <c r="C249" s="549"/>
      <c r="D249" s="549"/>
      <c r="E249" s="549"/>
      <c r="F249" s="532"/>
      <c r="G249" s="534"/>
      <c r="H249" s="549"/>
      <c r="I249" s="549"/>
      <c r="J249" s="549"/>
      <c r="K249" s="549"/>
      <c r="L249" s="549"/>
      <c r="M249" s="549"/>
      <c r="N249" s="549"/>
      <c r="O249" s="549"/>
      <c r="P249" s="531">
        <v>0</v>
      </c>
      <c r="Q249" s="534">
        <f t="shared" si="5"/>
        <v>0</v>
      </c>
      <c r="R249" s="535">
        <v>0</v>
      </c>
      <c r="S249" s="534">
        <f t="shared" si="6"/>
        <v>0</v>
      </c>
      <c r="T249" s="472"/>
      <c r="U249" s="494"/>
      <c r="V249" s="405"/>
    </row>
    <row r="250" spans="1:23" x14ac:dyDescent="0.3">
      <c r="A250" s="428"/>
      <c r="B250" s="531" t="s">
        <v>173</v>
      </c>
      <c r="C250" s="549"/>
      <c r="D250" s="549"/>
      <c r="E250" s="549"/>
      <c r="F250" s="532"/>
      <c r="G250" s="534"/>
      <c r="H250" s="549"/>
      <c r="I250" s="549"/>
      <c r="J250" s="549"/>
      <c r="K250" s="549"/>
      <c r="L250" s="549"/>
      <c r="M250" s="549"/>
      <c r="N250" s="549"/>
      <c r="O250" s="549"/>
      <c r="P250" s="531">
        <v>0</v>
      </c>
      <c r="Q250" s="534">
        <f t="shared" si="5"/>
        <v>0</v>
      </c>
      <c r="R250" s="535">
        <v>0</v>
      </c>
      <c r="S250" s="534">
        <f t="shared" si="6"/>
        <v>0</v>
      </c>
      <c r="T250" s="472"/>
      <c r="U250" s="494"/>
      <c r="V250" s="405"/>
      <c r="W250" s="452"/>
    </row>
    <row r="251" spans="1:23" x14ac:dyDescent="0.3">
      <c r="A251" s="428"/>
      <c r="B251" s="531" t="s">
        <v>174</v>
      </c>
      <c r="C251" s="549"/>
      <c r="D251" s="549"/>
      <c r="E251" s="549"/>
      <c r="F251" s="532"/>
      <c r="G251" s="534"/>
      <c r="H251" s="549"/>
      <c r="I251" s="549"/>
      <c r="J251" s="549"/>
      <c r="K251" s="549"/>
      <c r="L251" s="549"/>
      <c r="M251" s="549"/>
      <c r="N251" s="549"/>
      <c r="O251" s="549"/>
      <c r="P251" s="531">
        <v>0</v>
      </c>
      <c r="Q251" s="534">
        <f t="shared" si="5"/>
        <v>0</v>
      </c>
      <c r="R251" s="535">
        <v>0</v>
      </c>
      <c r="S251" s="534">
        <f t="shared" si="6"/>
        <v>0</v>
      </c>
      <c r="T251" s="472"/>
      <c r="U251" s="494"/>
      <c r="V251" s="405"/>
    </row>
    <row r="252" spans="1:23" x14ac:dyDescent="0.3">
      <c r="A252" s="428"/>
      <c r="B252" s="531" t="s">
        <v>175</v>
      </c>
      <c r="C252" s="549"/>
      <c r="D252" s="549"/>
      <c r="E252" s="549"/>
      <c r="F252" s="532"/>
      <c r="G252" s="534"/>
      <c r="H252" s="549"/>
      <c r="I252" s="549"/>
      <c r="J252" s="549"/>
      <c r="K252" s="549"/>
      <c r="L252" s="549"/>
      <c r="M252" s="549"/>
      <c r="N252" s="549"/>
      <c r="O252" s="549"/>
      <c r="P252" s="531">
        <v>0</v>
      </c>
      <c r="Q252" s="534">
        <f t="shared" si="5"/>
        <v>0</v>
      </c>
      <c r="R252" s="535">
        <v>0</v>
      </c>
      <c r="S252" s="534">
        <f t="shared" si="6"/>
        <v>0</v>
      </c>
      <c r="T252" s="472"/>
      <c r="U252" s="494"/>
      <c r="V252" s="405"/>
      <c r="W252" s="452"/>
    </row>
    <row r="253" spans="1:23" x14ac:dyDescent="0.3">
      <c r="A253" s="428"/>
      <c r="B253" s="531"/>
      <c r="C253" s="549"/>
      <c r="D253" s="549"/>
      <c r="E253" s="549"/>
      <c r="F253" s="532"/>
      <c r="G253" s="534"/>
      <c r="H253" s="549"/>
      <c r="I253" s="549"/>
      <c r="J253" s="549"/>
      <c r="K253" s="549"/>
      <c r="L253" s="549"/>
      <c r="M253" s="549"/>
      <c r="N253" s="549"/>
      <c r="O253" s="549"/>
      <c r="P253" s="531"/>
      <c r="Q253" s="534"/>
      <c r="R253" s="535"/>
      <c r="S253" s="534"/>
      <c r="T253" s="472"/>
      <c r="U253" s="494"/>
      <c r="V253" s="405"/>
    </row>
    <row r="254" spans="1:23" x14ac:dyDescent="0.3">
      <c r="A254" s="428"/>
      <c r="B254" s="532"/>
      <c r="C254" s="532"/>
      <c r="D254" s="532"/>
      <c r="E254" s="532"/>
      <c r="F254" s="532"/>
      <c r="G254" s="532"/>
      <c r="H254" s="533"/>
      <c r="I254" s="533"/>
      <c r="J254" s="533"/>
      <c r="K254" s="533"/>
      <c r="L254" s="533"/>
      <c r="M254" s="533"/>
      <c r="N254" s="533"/>
      <c r="O254" s="533"/>
      <c r="P254" s="531">
        <f>SUM(P245:P253)</f>
        <v>1718</v>
      </c>
      <c r="Q254" s="534">
        <f>SUM(Q245:Q253)</f>
        <v>1</v>
      </c>
      <c r="R254" s="535">
        <f>SUM(R245:R253)</f>
        <v>208770</v>
      </c>
      <c r="S254" s="534">
        <f>SUM(S245:S253)</f>
        <v>1</v>
      </c>
      <c r="T254" s="419"/>
      <c r="U254" s="420"/>
      <c r="V254" s="405"/>
    </row>
    <row r="255" spans="1:23" x14ac:dyDescent="0.3">
      <c r="A255" s="407"/>
      <c r="B255" s="444"/>
      <c r="C255" s="444"/>
      <c r="D255" s="444"/>
      <c r="E255" s="444"/>
      <c r="F255" s="444"/>
      <c r="G255" s="444"/>
      <c r="H255" s="495"/>
      <c r="I255" s="495"/>
      <c r="J255" s="495"/>
      <c r="K255" s="495"/>
      <c r="L255" s="495"/>
      <c r="M255" s="495"/>
      <c r="N255" s="495"/>
      <c r="O255" s="495"/>
      <c r="P255" s="445"/>
      <c r="Q255" s="496"/>
      <c r="R255" s="497"/>
      <c r="S255" s="496"/>
      <c r="T255" s="444"/>
      <c r="U255" s="444"/>
      <c r="V255" s="405"/>
    </row>
    <row r="256" spans="1:23" x14ac:dyDescent="0.3">
      <c r="A256" s="503"/>
      <c r="B256" s="612" t="s">
        <v>279</v>
      </c>
      <c r="C256" s="613"/>
      <c r="D256" s="613"/>
      <c r="E256" s="613"/>
      <c r="F256" s="620"/>
      <c r="G256" s="613"/>
      <c r="H256" s="613"/>
      <c r="I256" s="613"/>
      <c r="J256" s="613"/>
      <c r="K256" s="613"/>
      <c r="L256" s="613"/>
      <c r="M256" s="613"/>
      <c r="N256" s="613"/>
      <c r="O256" s="613"/>
      <c r="P256" s="620" t="s">
        <v>108</v>
      </c>
      <c r="Q256" s="613" t="s">
        <v>109</v>
      </c>
      <c r="R256" s="620" t="s">
        <v>117</v>
      </c>
      <c r="S256" s="613" t="s">
        <v>109</v>
      </c>
      <c r="T256" s="608"/>
      <c r="U256" s="611"/>
      <c r="V256" s="405"/>
    </row>
    <row r="257" spans="1:22" x14ac:dyDescent="0.3">
      <c r="A257" s="430"/>
      <c r="B257" s="572" t="s">
        <v>94</v>
      </c>
      <c r="C257" s="621"/>
      <c r="D257" s="621"/>
      <c r="E257" s="621"/>
      <c r="F257" s="539"/>
      <c r="G257" s="621"/>
      <c r="H257" s="621"/>
      <c r="I257" s="621"/>
      <c r="J257" s="621"/>
      <c r="K257" s="621"/>
      <c r="L257" s="621"/>
      <c r="M257" s="621"/>
      <c r="N257" s="621"/>
      <c r="O257" s="621"/>
      <c r="P257" s="572">
        <v>25</v>
      </c>
      <c r="Q257" s="627">
        <f t="shared" ref="Q257:Q264" si="7">P257/$P$266</f>
        <v>0.92592592592592593</v>
      </c>
      <c r="R257" s="541">
        <v>3386</v>
      </c>
      <c r="S257" s="627">
        <f t="shared" ref="S257:S264" si="8">R257/$R$266</f>
        <v>0.8955302829939169</v>
      </c>
      <c r="T257" s="431"/>
      <c r="U257" s="444"/>
      <c r="V257" s="405"/>
    </row>
    <row r="258" spans="1:22" x14ac:dyDescent="0.3">
      <c r="A258" s="428"/>
      <c r="B258" s="531" t="s">
        <v>95</v>
      </c>
      <c r="C258" s="549"/>
      <c r="D258" s="549"/>
      <c r="E258" s="549"/>
      <c r="F258" s="532"/>
      <c r="G258" s="534"/>
      <c r="H258" s="549"/>
      <c r="I258" s="549"/>
      <c r="J258" s="549"/>
      <c r="K258" s="549"/>
      <c r="L258" s="549"/>
      <c r="M258" s="549"/>
      <c r="N258" s="549"/>
      <c r="O258" s="549"/>
      <c r="P258" s="531">
        <v>0</v>
      </c>
      <c r="Q258" s="534">
        <f t="shared" si="7"/>
        <v>0</v>
      </c>
      <c r="R258" s="535">
        <v>0</v>
      </c>
      <c r="S258" s="534">
        <f t="shared" si="8"/>
        <v>0</v>
      </c>
      <c r="T258" s="419"/>
      <c r="U258" s="451"/>
      <c r="V258" s="405"/>
    </row>
    <row r="259" spans="1:22" x14ac:dyDescent="0.3">
      <c r="A259" s="428"/>
      <c r="B259" s="531" t="s">
        <v>96</v>
      </c>
      <c r="C259" s="549"/>
      <c r="D259" s="549"/>
      <c r="E259" s="549"/>
      <c r="F259" s="532"/>
      <c r="G259" s="534"/>
      <c r="H259" s="549"/>
      <c r="I259" s="549"/>
      <c r="J259" s="549"/>
      <c r="K259" s="549"/>
      <c r="L259" s="549"/>
      <c r="M259" s="549"/>
      <c r="N259" s="549"/>
      <c r="O259" s="549"/>
      <c r="P259" s="531">
        <v>1</v>
      </c>
      <c r="Q259" s="534">
        <f t="shared" si="7"/>
        <v>3.7037037037037035E-2</v>
      </c>
      <c r="R259" s="535">
        <v>236</v>
      </c>
      <c r="S259" s="534">
        <f t="shared" si="8"/>
        <v>6.2417349907431897E-2</v>
      </c>
      <c r="T259" s="419"/>
      <c r="U259" s="451"/>
      <c r="V259" s="405"/>
    </row>
    <row r="260" spans="1:22" x14ac:dyDescent="0.3">
      <c r="A260" s="428"/>
      <c r="B260" s="531" t="s">
        <v>171</v>
      </c>
      <c r="C260" s="549"/>
      <c r="D260" s="549"/>
      <c r="E260" s="549"/>
      <c r="F260" s="532"/>
      <c r="G260" s="534"/>
      <c r="H260" s="549"/>
      <c r="I260" s="549"/>
      <c r="J260" s="549"/>
      <c r="K260" s="549"/>
      <c r="L260" s="549"/>
      <c r="M260" s="549"/>
      <c r="N260" s="549"/>
      <c r="O260" s="549"/>
      <c r="P260" s="531">
        <v>1</v>
      </c>
      <c r="Q260" s="534">
        <f t="shared" si="7"/>
        <v>3.7037037037037035E-2</v>
      </c>
      <c r="R260" s="535">
        <v>159</v>
      </c>
      <c r="S260" s="534">
        <f t="shared" si="8"/>
        <v>4.205236709865115E-2</v>
      </c>
      <c r="T260" s="419"/>
      <c r="U260" s="451"/>
      <c r="V260" s="405"/>
    </row>
    <row r="261" spans="1:22" x14ac:dyDescent="0.3">
      <c r="A261" s="428"/>
      <c r="B261" s="531" t="s">
        <v>172</v>
      </c>
      <c r="C261" s="549"/>
      <c r="D261" s="549"/>
      <c r="E261" s="549"/>
      <c r="F261" s="532"/>
      <c r="G261" s="534"/>
      <c r="H261" s="549"/>
      <c r="I261" s="549"/>
      <c r="J261" s="549"/>
      <c r="K261" s="549"/>
      <c r="L261" s="549"/>
      <c r="M261" s="549"/>
      <c r="N261" s="549"/>
      <c r="O261" s="549"/>
      <c r="P261" s="531">
        <v>0</v>
      </c>
      <c r="Q261" s="534">
        <f t="shared" si="7"/>
        <v>0</v>
      </c>
      <c r="R261" s="535">
        <v>0</v>
      </c>
      <c r="S261" s="534">
        <f t="shared" si="8"/>
        <v>0</v>
      </c>
      <c r="T261" s="419"/>
      <c r="U261" s="451"/>
      <c r="V261" s="405"/>
    </row>
    <row r="262" spans="1:22" x14ac:dyDescent="0.3">
      <c r="A262" s="428"/>
      <c r="B262" s="531" t="s">
        <v>173</v>
      </c>
      <c r="C262" s="549"/>
      <c r="D262" s="549"/>
      <c r="E262" s="549"/>
      <c r="F262" s="532"/>
      <c r="G262" s="534"/>
      <c r="H262" s="549"/>
      <c r="I262" s="549"/>
      <c r="J262" s="549"/>
      <c r="K262" s="549"/>
      <c r="L262" s="549"/>
      <c r="M262" s="549"/>
      <c r="N262" s="549"/>
      <c r="O262" s="549"/>
      <c r="P262" s="531">
        <v>0</v>
      </c>
      <c r="Q262" s="534">
        <f t="shared" si="7"/>
        <v>0</v>
      </c>
      <c r="R262" s="535">
        <v>0</v>
      </c>
      <c r="S262" s="534">
        <f t="shared" si="8"/>
        <v>0</v>
      </c>
      <c r="T262" s="419"/>
      <c r="U262" s="451"/>
      <c r="V262" s="405"/>
    </row>
    <row r="263" spans="1:22" x14ac:dyDescent="0.3">
      <c r="A263" s="428"/>
      <c r="B263" s="531" t="s">
        <v>174</v>
      </c>
      <c r="C263" s="549"/>
      <c r="D263" s="549"/>
      <c r="E263" s="549"/>
      <c r="F263" s="532"/>
      <c r="G263" s="534"/>
      <c r="H263" s="549"/>
      <c r="I263" s="549"/>
      <c r="J263" s="549"/>
      <c r="K263" s="549"/>
      <c r="L263" s="549"/>
      <c r="M263" s="549"/>
      <c r="N263" s="549"/>
      <c r="O263" s="549"/>
      <c r="P263" s="531">
        <v>0</v>
      </c>
      <c r="Q263" s="534">
        <f t="shared" si="7"/>
        <v>0</v>
      </c>
      <c r="R263" s="535">
        <v>0</v>
      </c>
      <c r="S263" s="534">
        <f t="shared" si="8"/>
        <v>0</v>
      </c>
      <c r="T263" s="419"/>
      <c r="U263" s="451"/>
      <c r="V263" s="405"/>
    </row>
    <row r="264" spans="1:22" x14ac:dyDescent="0.3">
      <c r="A264" s="428"/>
      <c r="B264" s="531" t="s">
        <v>175</v>
      </c>
      <c r="C264" s="549"/>
      <c r="D264" s="549"/>
      <c r="E264" s="549"/>
      <c r="F264" s="532"/>
      <c r="G264" s="534"/>
      <c r="H264" s="549"/>
      <c r="I264" s="549"/>
      <c r="J264" s="549"/>
      <c r="K264" s="549"/>
      <c r="L264" s="549"/>
      <c r="M264" s="549"/>
      <c r="N264" s="549"/>
      <c r="O264" s="549"/>
      <c r="P264" s="531">
        <v>0</v>
      </c>
      <c r="Q264" s="534">
        <f t="shared" si="7"/>
        <v>0</v>
      </c>
      <c r="R264" s="535">
        <v>0</v>
      </c>
      <c r="S264" s="534">
        <f t="shared" si="8"/>
        <v>0</v>
      </c>
      <c r="T264" s="419"/>
      <c r="U264" s="451"/>
      <c r="V264" s="405"/>
    </row>
    <row r="265" spans="1:22" x14ac:dyDescent="0.3">
      <c r="A265" s="428"/>
      <c r="B265" s="531"/>
      <c r="C265" s="549"/>
      <c r="D265" s="549"/>
      <c r="E265" s="549"/>
      <c r="F265" s="532"/>
      <c r="G265" s="534"/>
      <c r="H265" s="549"/>
      <c r="I265" s="549"/>
      <c r="J265" s="549"/>
      <c r="K265" s="549"/>
      <c r="L265" s="549"/>
      <c r="M265" s="549"/>
      <c r="N265" s="549"/>
      <c r="O265" s="549"/>
      <c r="P265" s="531"/>
      <c r="Q265" s="534"/>
      <c r="R265" s="535"/>
      <c r="S265" s="534"/>
      <c r="T265" s="419"/>
      <c r="U265" s="451"/>
      <c r="V265" s="405"/>
    </row>
    <row r="266" spans="1:22" x14ac:dyDescent="0.3">
      <c r="A266" s="428"/>
      <c r="B266" s="532"/>
      <c r="C266" s="532"/>
      <c r="D266" s="532"/>
      <c r="E266" s="532"/>
      <c r="F266" s="532"/>
      <c r="G266" s="532"/>
      <c r="H266" s="533"/>
      <c r="I266" s="533"/>
      <c r="J266" s="533"/>
      <c r="K266" s="533"/>
      <c r="L266" s="533"/>
      <c r="M266" s="533"/>
      <c r="N266" s="533"/>
      <c r="O266" s="533"/>
      <c r="P266" s="531">
        <f>SUM(P257:P265)</f>
        <v>27</v>
      </c>
      <c r="Q266" s="534">
        <f>SUM(Q257:Q265)</f>
        <v>1</v>
      </c>
      <c r="R266" s="535">
        <f>SUM(R257:R265)</f>
        <v>3781</v>
      </c>
      <c r="S266" s="534">
        <f>SUM(S257:S265)</f>
        <v>0.99999999999999989</v>
      </c>
      <c r="T266" s="419"/>
      <c r="U266" s="451"/>
      <c r="V266" s="405"/>
    </row>
    <row r="267" spans="1:22" x14ac:dyDescent="0.3">
      <c r="A267" s="430"/>
      <c r="B267" s="431"/>
      <c r="C267" s="431"/>
      <c r="D267" s="431"/>
      <c r="E267" s="431"/>
      <c r="F267" s="431"/>
      <c r="G267" s="431"/>
      <c r="H267" s="498"/>
      <c r="I267" s="498"/>
      <c r="J267" s="498"/>
      <c r="K267" s="498"/>
      <c r="L267" s="498"/>
      <c r="M267" s="498"/>
      <c r="N267" s="498"/>
      <c r="O267" s="498"/>
      <c r="P267" s="455"/>
      <c r="Q267" s="499"/>
      <c r="R267" s="500"/>
      <c r="S267" s="499"/>
      <c r="T267" s="431"/>
      <c r="U267" s="444"/>
      <c r="V267" s="405"/>
    </row>
    <row r="268" spans="1:22" x14ac:dyDescent="0.3">
      <c r="A268" s="503"/>
      <c r="B268" s="612" t="s">
        <v>179</v>
      </c>
      <c r="C268" s="608"/>
      <c r="D268" s="608"/>
      <c r="E268" s="608"/>
      <c r="F268" s="608"/>
      <c r="G268" s="608"/>
      <c r="H268" s="628"/>
      <c r="I268" s="628"/>
      <c r="J268" s="628"/>
      <c r="K268" s="628"/>
      <c r="L268" s="628"/>
      <c r="M268" s="628"/>
      <c r="N268" s="628"/>
      <c r="O268" s="628"/>
      <c r="P268" s="620" t="s">
        <v>108</v>
      </c>
      <c r="Q268" s="613" t="s">
        <v>109</v>
      </c>
      <c r="R268" s="620" t="s">
        <v>117</v>
      </c>
      <c r="S268" s="613" t="s">
        <v>109</v>
      </c>
      <c r="T268" s="608"/>
      <c r="U268" s="611"/>
      <c r="V268" s="405"/>
    </row>
    <row r="269" spans="1:22" x14ac:dyDescent="0.3">
      <c r="A269" s="430"/>
      <c r="B269" s="572" t="s">
        <v>94</v>
      </c>
      <c r="C269" s="539"/>
      <c r="D269" s="539"/>
      <c r="E269" s="539"/>
      <c r="F269" s="539"/>
      <c r="G269" s="539"/>
      <c r="H269" s="540"/>
      <c r="I269" s="540"/>
      <c r="J269" s="540"/>
      <c r="K269" s="540"/>
      <c r="L269" s="540"/>
      <c r="M269" s="540"/>
      <c r="N269" s="540"/>
      <c r="O269" s="540"/>
      <c r="P269" s="572">
        <v>0</v>
      </c>
      <c r="Q269" s="627">
        <v>0</v>
      </c>
      <c r="R269" s="541">
        <v>0</v>
      </c>
      <c r="S269" s="627">
        <v>0</v>
      </c>
      <c r="T269" s="431"/>
      <c r="U269" s="444"/>
      <c r="V269" s="405"/>
    </row>
    <row r="270" spans="1:22" x14ac:dyDescent="0.3">
      <c r="A270" s="428"/>
      <c r="B270" s="531" t="s">
        <v>95</v>
      </c>
      <c r="C270" s="532"/>
      <c r="D270" s="532"/>
      <c r="E270" s="532"/>
      <c r="F270" s="532"/>
      <c r="G270" s="532"/>
      <c r="H270" s="533"/>
      <c r="I270" s="533"/>
      <c r="J270" s="533"/>
      <c r="K270" s="533"/>
      <c r="L270" s="533"/>
      <c r="M270" s="533"/>
      <c r="N270" s="533"/>
      <c r="O270" s="533"/>
      <c r="P270" s="531">
        <v>0</v>
      </c>
      <c r="Q270" s="534">
        <v>0</v>
      </c>
      <c r="R270" s="535">
        <v>0</v>
      </c>
      <c r="S270" s="534">
        <v>0</v>
      </c>
      <c r="T270" s="419"/>
      <c r="U270" s="451"/>
      <c r="V270" s="405"/>
    </row>
    <row r="271" spans="1:22" x14ac:dyDescent="0.3">
      <c r="A271" s="428"/>
      <c r="B271" s="531" t="s">
        <v>96</v>
      </c>
      <c r="C271" s="532"/>
      <c r="D271" s="532"/>
      <c r="E271" s="532"/>
      <c r="F271" s="532"/>
      <c r="G271" s="532"/>
      <c r="H271" s="533"/>
      <c r="I271" s="533"/>
      <c r="J271" s="533"/>
      <c r="K271" s="533"/>
      <c r="L271" s="533"/>
      <c r="M271" s="533"/>
      <c r="N271" s="533"/>
      <c r="O271" s="533"/>
      <c r="P271" s="531">
        <v>0</v>
      </c>
      <c r="Q271" s="534">
        <v>0</v>
      </c>
      <c r="R271" s="535">
        <v>0</v>
      </c>
      <c r="S271" s="534">
        <v>0</v>
      </c>
      <c r="T271" s="419"/>
      <c r="U271" s="451"/>
      <c r="V271" s="405"/>
    </row>
    <row r="272" spans="1:22" x14ac:dyDescent="0.3">
      <c r="A272" s="428"/>
      <c r="B272" s="531" t="s">
        <v>171</v>
      </c>
      <c r="C272" s="532"/>
      <c r="D272" s="532"/>
      <c r="E272" s="532"/>
      <c r="F272" s="532"/>
      <c r="G272" s="532"/>
      <c r="H272" s="533"/>
      <c r="I272" s="533"/>
      <c r="J272" s="533"/>
      <c r="K272" s="533"/>
      <c r="L272" s="533"/>
      <c r="M272" s="533"/>
      <c r="N272" s="533"/>
      <c r="O272" s="533"/>
      <c r="P272" s="531">
        <v>0</v>
      </c>
      <c r="Q272" s="534">
        <v>0</v>
      </c>
      <c r="R272" s="535">
        <v>0</v>
      </c>
      <c r="S272" s="534">
        <v>0</v>
      </c>
      <c r="T272" s="419"/>
      <c r="U272" s="451"/>
      <c r="V272" s="405"/>
    </row>
    <row r="273" spans="1:22" x14ac:dyDescent="0.3">
      <c r="A273" s="428"/>
      <c r="B273" s="531" t="s">
        <v>172</v>
      </c>
      <c r="C273" s="532"/>
      <c r="D273" s="532"/>
      <c r="E273" s="532"/>
      <c r="F273" s="532"/>
      <c r="G273" s="532"/>
      <c r="H273" s="533"/>
      <c r="I273" s="533"/>
      <c r="J273" s="533"/>
      <c r="K273" s="533"/>
      <c r="L273" s="533"/>
      <c r="M273" s="533"/>
      <c r="N273" s="533"/>
      <c r="O273" s="533"/>
      <c r="P273" s="531">
        <v>0</v>
      </c>
      <c r="Q273" s="534">
        <v>0</v>
      </c>
      <c r="R273" s="535">
        <v>0</v>
      </c>
      <c r="S273" s="534">
        <v>0</v>
      </c>
      <c r="T273" s="419"/>
      <c r="U273" s="451"/>
      <c r="V273" s="405"/>
    </row>
    <row r="274" spans="1:22" x14ac:dyDescent="0.3">
      <c r="A274" s="428"/>
      <c r="B274" s="531" t="s">
        <v>173</v>
      </c>
      <c r="C274" s="532"/>
      <c r="D274" s="532"/>
      <c r="E274" s="532"/>
      <c r="F274" s="532"/>
      <c r="G274" s="532"/>
      <c r="H274" s="533"/>
      <c r="I274" s="533"/>
      <c r="J274" s="533"/>
      <c r="K274" s="533"/>
      <c r="L274" s="533"/>
      <c r="M274" s="533"/>
      <c r="N274" s="533"/>
      <c r="O274" s="533"/>
      <c r="P274" s="531">
        <v>0</v>
      </c>
      <c r="Q274" s="534">
        <v>0</v>
      </c>
      <c r="R274" s="535">
        <v>0</v>
      </c>
      <c r="S274" s="534">
        <v>0</v>
      </c>
      <c r="T274" s="419"/>
      <c r="U274" s="451"/>
      <c r="V274" s="405"/>
    </row>
    <row r="275" spans="1:22" x14ac:dyDescent="0.3">
      <c r="A275" s="428"/>
      <c r="B275" s="531" t="s">
        <v>174</v>
      </c>
      <c r="C275" s="532"/>
      <c r="D275" s="532"/>
      <c r="E275" s="532"/>
      <c r="F275" s="532"/>
      <c r="G275" s="532"/>
      <c r="H275" s="533"/>
      <c r="I275" s="533"/>
      <c r="J275" s="533"/>
      <c r="K275" s="533"/>
      <c r="L275" s="533"/>
      <c r="M275" s="533"/>
      <c r="N275" s="533"/>
      <c r="O275" s="533"/>
      <c r="P275" s="531">
        <v>0</v>
      </c>
      <c r="Q275" s="534">
        <v>0</v>
      </c>
      <c r="R275" s="535">
        <v>0</v>
      </c>
      <c r="S275" s="534">
        <v>0</v>
      </c>
      <c r="T275" s="419"/>
      <c r="U275" s="451"/>
      <c r="V275" s="405"/>
    </row>
    <row r="276" spans="1:22" x14ac:dyDescent="0.3">
      <c r="A276" s="428"/>
      <c r="B276" s="531" t="s">
        <v>175</v>
      </c>
      <c r="C276" s="532"/>
      <c r="D276" s="532"/>
      <c r="E276" s="532"/>
      <c r="F276" s="532"/>
      <c r="G276" s="532"/>
      <c r="H276" s="533"/>
      <c r="I276" s="533"/>
      <c r="J276" s="533"/>
      <c r="K276" s="533"/>
      <c r="L276" s="533"/>
      <c r="M276" s="533"/>
      <c r="N276" s="533"/>
      <c r="O276" s="533"/>
      <c r="P276" s="531">
        <v>0</v>
      </c>
      <c r="Q276" s="534">
        <v>0</v>
      </c>
      <c r="R276" s="535">
        <v>0</v>
      </c>
      <c r="S276" s="534">
        <v>0</v>
      </c>
      <c r="T276" s="419"/>
      <c r="U276" s="451"/>
      <c r="V276" s="405"/>
    </row>
    <row r="277" spans="1:22" x14ac:dyDescent="0.3">
      <c r="A277" s="428"/>
      <c r="B277" s="531"/>
      <c r="C277" s="532"/>
      <c r="D277" s="532"/>
      <c r="E277" s="532"/>
      <c r="F277" s="532"/>
      <c r="G277" s="532"/>
      <c r="H277" s="533"/>
      <c r="I277" s="533"/>
      <c r="J277" s="533"/>
      <c r="K277" s="533"/>
      <c r="L277" s="533"/>
      <c r="M277" s="533"/>
      <c r="N277" s="533"/>
      <c r="O277" s="533"/>
      <c r="P277" s="531"/>
      <c r="Q277" s="534"/>
      <c r="R277" s="535"/>
      <c r="S277" s="534"/>
      <c r="T277" s="419"/>
      <c r="U277" s="451"/>
      <c r="V277" s="405"/>
    </row>
    <row r="278" spans="1:22" x14ac:dyDescent="0.3">
      <c r="A278" s="428"/>
      <c r="B278" s="532" t="s">
        <v>123</v>
      </c>
      <c r="C278" s="532"/>
      <c r="D278" s="532"/>
      <c r="E278" s="532"/>
      <c r="F278" s="532"/>
      <c r="G278" s="532"/>
      <c r="H278" s="533"/>
      <c r="I278" s="533"/>
      <c r="J278" s="533"/>
      <c r="K278" s="533"/>
      <c r="L278" s="533"/>
      <c r="M278" s="533"/>
      <c r="N278" s="533"/>
      <c r="O278" s="533"/>
      <c r="P278" s="531">
        <f>SUM(P269:P276)</f>
        <v>0</v>
      </c>
      <c r="Q278" s="534">
        <f>SUM(Q269:Q276)</f>
        <v>0</v>
      </c>
      <c r="R278" s="535">
        <f>SUM(R269:R276)</f>
        <v>0</v>
      </c>
      <c r="S278" s="534">
        <f>SUM(S269:S276)</f>
        <v>0</v>
      </c>
      <c r="T278" s="419"/>
      <c r="U278" s="451"/>
      <c r="V278" s="405"/>
    </row>
    <row r="279" spans="1:22" x14ac:dyDescent="0.3">
      <c r="A279" s="428"/>
      <c r="B279" s="532"/>
      <c r="C279" s="532"/>
      <c r="D279" s="532"/>
      <c r="E279" s="532"/>
      <c r="F279" s="532"/>
      <c r="G279" s="532"/>
      <c r="H279" s="533"/>
      <c r="I279" s="533"/>
      <c r="J279" s="533"/>
      <c r="K279" s="533"/>
      <c r="L279" s="533"/>
      <c r="M279" s="533"/>
      <c r="N279" s="533"/>
      <c r="O279" s="533"/>
      <c r="P279" s="531"/>
      <c r="Q279" s="534"/>
      <c r="R279" s="535"/>
      <c r="S279" s="534"/>
      <c r="T279" s="419"/>
      <c r="U279" s="451"/>
      <c r="V279" s="405"/>
    </row>
    <row r="280" spans="1:22" x14ac:dyDescent="0.3">
      <c r="A280" s="428"/>
      <c r="B280" s="536" t="s">
        <v>180</v>
      </c>
      <c r="C280" s="532"/>
      <c r="D280" s="532"/>
      <c r="E280" s="532"/>
      <c r="F280" s="532"/>
      <c r="G280" s="532"/>
      <c r="H280" s="533"/>
      <c r="I280" s="533"/>
      <c r="J280" s="533"/>
      <c r="K280" s="533"/>
      <c r="L280" s="533"/>
      <c r="M280" s="533"/>
      <c r="N280" s="533"/>
      <c r="O280" s="533"/>
      <c r="P280" s="537">
        <f>+P254+P266+P278</f>
        <v>1745</v>
      </c>
      <c r="Q280" s="534"/>
      <c r="R280" s="538">
        <f>+R278+R266+R254</f>
        <v>212551</v>
      </c>
      <c r="S280" s="534"/>
      <c r="T280" s="419"/>
      <c r="U280" s="451"/>
      <c r="V280" s="405"/>
    </row>
    <row r="281" spans="1:22" x14ac:dyDescent="0.3">
      <c r="A281" s="430"/>
      <c r="B281" s="539"/>
      <c r="C281" s="539"/>
      <c r="D281" s="539"/>
      <c r="E281" s="539"/>
      <c r="F281" s="539"/>
      <c r="G281" s="539"/>
      <c r="H281" s="540"/>
      <c r="I281" s="540"/>
      <c r="J281" s="540"/>
      <c r="K281" s="540"/>
      <c r="L281" s="540"/>
      <c r="M281" s="540"/>
      <c r="N281" s="540"/>
      <c r="O281" s="540"/>
      <c r="P281" s="540"/>
      <c r="Q281" s="540"/>
      <c r="R281" s="541"/>
      <c r="S281" s="540"/>
      <c r="T281" s="431"/>
      <c r="U281" s="444"/>
      <c r="V281" s="405"/>
    </row>
    <row r="282" spans="1:22" x14ac:dyDescent="0.3">
      <c r="A282" s="430"/>
      <c r="B282" s="542"/>
      <c r="C282" s="542"/>
      <c r="D282" s="542"/>
      <c r="E282" s="542"/>
      <c r="F282" s="542"/>
      <c r="G282" s="542"/>
      <c r="H282" s="543"/>
      <c r="I282" s="543"/>
      <c r="J282" s="543"/>
      <c r="K282" s="543"/>
      <c r="L282" s="543"/>
      <c r="M282" s="543"/>
      <c r="N282" s="543"/>
      <c r="O282" s="543"/>
      <c r="P282" s="543"/>
      <c r="Q282" s="543"/>
      <c r="R282" s="544"/>
      <c r="S282" s="543"/>
      <c r="T282" s="434"/>
      <c r="U282" s="409"/>
      <c r="V282" s="405"/>
    </row>
    <row r="283" spans="1:22" x14ac:dyDescent="0.3">
      <c r="A283" s="430"/>
      <c r="B283" s="545" t="s">
        <v>97</v>
      </c>
      <c r="C283" s="542"/>
      <c r="D283" s="542"/>
      <c r="E283" s="542"/>
      <c r="F283" s="546" t="s">
        <v>103</v>
      </c>
      <c r="G283" s="542"/>
      <c r="H283" s="545" t="s">
        <v>105</v>
      </c>
      <c r="I283" s="542"/>
      <c r="J283" s="542"/>
      <c r="K283" s="542"/>
      <c r="L283" s="542"/>
      <c r="M283" s="542"/>
      <c r="N283" s="542"/>
      <c r="O283" s="542"/>
      <c r="P283" s="542"/>
      <c r="Q283" s="542"/>
      <c r="R283" s="542"/>
      <c r="S283" s="542"/>
      <c r="T283" s="434"/>
      <c r="U283" s="409"/>
      <c r="V283" s="405"/>
    </row>
    <row r="284" spans="1:22" x14ac:dyDescent="0.3">
      <c r="A284" s="430"/>
      <c r="B284" s="542"/>
      <c r="C284" s="542"/>
      <c r="D284" s="542"/>
      <c r="E284" s="542"/>
      <c r="F284" s="542"/>
      <c r="G284" s="542"/>
      <c r="H284" s="542"/>
      <c r="I284" s="542"/>
      <c r="J284" s="542"/>
      <c r="K284" s="542"/>
      <c r="L284" s="542"/>
      <c r="M284" s="542"/>
      <c r="N284" s="542"/>
      <c r="O284" s="542"/>
      <c r="P284" s="542"/>
      <c r="Q284" s="542"/>
      <c r="R284" s="542"/>
      <c r="S284" s="542"/>
      <c r="T284" s="434"/>
      <c r="U284" s="409"/>
      <c r="V284" s="405"/>
    </row>
    <row r="285" spans="1:22" x14ac:dyDescent="0.3">
      <c r="A285" s="430"/>
      <c r="B285" s="545" t="s">
        <v>323</v>
      </c>
      <c r="C285" s="545"/>
      <c r="D285" s="545"/>
      <c r="E285" s="545"/>
      <c r="F285" s="547" t="s">
        <v>274</v>
      </c>
      <c r="G285" s="545"/>
      <c r="H285" s="501" t="s">
        <v>348</v>
      </c>
      <c r="I285" s="542"/>
      <c r="J285" s="542"/>
      <c r="K285" s="542"/>
      <c r="L285" s="542"/>
      <c r="M285" s="542"/>
      <c r="N285" s="542"/>
      <c r="O285" s="542"/>
      <c r="P285" s="542"/>
      <c r="Q285" s="542"/>
      <c r="R285" s="542"/>
      <c r="S285" s="542"/>
      <c r="T285" s="434"/>
      <c r="U285" s="409"/>
      <c r="V285" s="405"/>
    </row>
    <row r="286" spans="1:22" x14ac:dyDescent="0.3">
      <c r="A286" s="430"/>
      <c r="B286" s="545" t="s">
        <v>324</v>
      </c>
      <c r="C286" s="545"/>
      <c r="D286" s="545"/>
      <c r="E286" s="545"/>
      <c r="F286" s="547" t="s">
        <v>158</v>
      </c>
      <c r="G286" s="545"/>
      <c r="H286" s="501" t="s">
        <v>349</v>
      </c>
      <c r="I286" s="542"/>
      <c r="J286" s="542"/>
      <c r="K286" s="542"/>
      <c r="L286" s="542"/>
      <c r="M286" s="542"/>
      <c r="N286" s="542"/>
      <c r="O286" s="542"/>
      <c r="P286" s="542"/>
      <c r="Q286" s="542"/>
      <c r="R286" s="542"/>
      <c r="S286" s="542"/>
      <c r="T286" s="434"/>
      <c r="U286" s="409"/>
      <c r="V286" s="405"/>
    </row>
    <row r="287" spans="1:22" x14ac:dyDescent="0.3">
      <c r="A287" s="430"/>
      <c r="B287" s="545"/>
      <c r="C287" s="545"/>
      <c r="D287" s="545"/>
      <c r="E287" s="545"/>
      <c r="F287" s="545"/>
      <c r="G287" s="545"/>
      <c r="H287" s="542"/>
      <c r="I287" s="542"/>
      <c r="J287" s="542"/>
      <c r="K287" s="542"/>
      <c r="L287" s="542"/>
      <c r="M287" s="542"/>
      <c r="N287" s="542"/>
      <c r="O287" s="542"/>
      <c r="P287" s="542"/>
      <c r="Q287" s="542"/>
      <c r="R287" s="542"/>
      <c r="S287" s="542"/>
      <c r="T287" s="434"/>
      <c r="U287" s="409"/>
      <c r="V287" s="405"/>
    </row>
    <row r="288" spans="1:22" x14ac:dyDescent="0.3">
      <c r="A288" s="407"/>
      <c r="B288" s="545"/>
      <c r="C288" s="545"/>
      <c r="D288" s="545"/>
      <c r="E288" s="545"/>
      <c r="F288" s="545"/>
      <c r="G288" s="545"/>
      <c r="H288" s="542"/>
      <c r="I288" s="542"/>
      <c r="J288" s="542"/>
      <c r="K288" s="542"/>
      <c r="L288" s="542"/>
      <c r="M288" s="542"/>
      <c r="N288" s="542"/>
      <c r="O288" s="542"/>
      <c r="P288" s="542"/>
      <c r="Q288" s="542"/>
      <c r="R288" s="542"/>
      <c r="S288" s="542"/>
      <c r="T288" s="409"/>
      <c r="U288" s="409"/>
      <c r="V288" s="405"/>
    </row>
    <row r="289" spans="1:22" ht="18.600000000000001" thickBot="1" x14ac:dyDescent="0.4">
      <c r="A289" s="407"/>
      <c r="B289" s="548" t="str">
        <f>B195</f>
        <v>PM9 INVESTOR REPORT QUARTER ENDING JANUARY 2019</v>
      </c>
      <c r="C289" s="545"/>
      <c r="D289" s="545"/>
      <c r="E289" s="545"/>
      <c r="F289" s="545"/>
      <c r="G289" s="545"/>
      <c r="H289" s="542"/>
      <c r="I289" s="542"/>
      <c r="J289" s="542"/>
      <c r="K289" s="542"/>
      <c r="L289" s="542"/>
      <c r="M289" s="542"/>
      <c r="N289" s="542"/>
      <c r="O289" s="542"/>
      <c r="P289" s="542"/>
      <c r="Q289" s="542"/>
      <c r="R289" s="542"/>
      <c r="S289" s="542"/>
      <c r="T289" s="409"/>
      <c r="U289" s="409"/>
      <c r="V289" s="405"/>
    </row>
    <row r="290" spans="1:22" x14ac:dyDescent="0.3">
      <c r="A290" s="502"/>
      <c r="B290" s="502"/>
      <c r="C290" s="502"/>
      <c r="D290" s="502"/>
      <c r="E290" s="502"/>
      <c r="F290" s="502"/>
      <c r="G290" s="502"/>
      <c r="H290" s="502"/>
      <c r="I290" s="502"/>
      <c r="J290" s="502"/>
      <c r="K290" s="502"/>
      <c r="L290" s="502"/>
      <c r="M290" s="502"/>
      <c r="N290" s="502"/>
      <c r="O290" s="502"/>
      <c r="P290" s="502"/>
      <c r="Q290" s="502"/>
      <c r="R290" s="502"/>
      <c r="S290" s="502"/>
      <c r="T290" s="502"/>
      <c r="U290" s="502"/>
    </row>
  </sheetData>
  <hyperlinks>
    <hyperlink ref="J9" r:id="rId1" xr:uid="{00000000-0004-0000-3500-000000000000}"/>
    <hyperlink ref="N230" r:id="rId2" xr:uid="{00000000-0004-0000-3500-000001000000}"/>
  </hyperlinks>
  <printOptions horizontalCentered="1" verticalCentered="1"/>
  <pageMargins left="0.19685039370078741" right="0.19685039370078741" top="0.27559055118110237" bottom="0.27559055118110237" header="0" footer="0"/>
  <pageSetup scale="40" orientation="landscape" r:id="rId3"/>
  <headerFooter alignWithMargins="0"/>
  <rowBreaks count="3" manualBreakCount="3">
    <brk id="61" max="20" man="1"/>
    <brk id="134" max="20" man="1"/>
    <brk id="195" max="20" man="1"/>
  </rowBreaks>
  <drawing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89CB31"/>
  </sheetPr>
  <dimension ref="A1:W290"/>
  <sheetViews>
    <sheetView showGridLines="0" showOutlineSymbols="0" zoomScale="70" zoomScaleNormal="70" workbookViewId="0"/>
  </sheetViews>
  <sheetFormatPr defaultColWidth="9.6328125" defaultRowHeight="15.6" x14ac:dyDescent="0.3"/>
  <cols>
    <col min="1" max="1" width="4" style="406" customWidth="1"/>
    <col min="2" max="2" width="71.1796875" style="406" customWidth="1"/>
    <col min="3" max="3" width="2.1796875" style="406" customWidth="1"/>
    <col min="4" max="4" width="19.36328125" style="406" customWidth="1"/>
    <col min="5" max="5" width="2.1796875" style="406" customWidth="1"/>
    <col min="6" max="6" width="25.08984375" style="406" customWidth="1"/>
    <col min="7" max="7" width="2.1796875" style="406" customWidth="1"/>
    <col min="8" max="8" width="16.1796875" style="406" customWidth="1"/>
    <col min="9" max="9" width="2.1796875" style="406" customWidth="1"/>
    <col min="10" max="10" width="17.90625" style="406" customWidth="1"/>
    <col min="11" max="11" width="2.36328125" style="406" customWidth="1"/>
    <col min="12" max="12" width="14.90625" style="406" customWidth="1"/>
    <col min="13" max="13" width="2.36328125" style="406" customWidth="1"/>
    <col min="14" max="14" width="15.54296875" style="406" customWidth="1"/>
    <col min="15" max="15" width="2.1796875" style="406" customWidth="1"/>
    <col min="16" max="16" width="15.54296875" style="406" customWidth="1"/>
    <col min="17" max="18" width="12.6328125" style="406" customWidth="1"/>
    <col min="19" max="19" width="9.6328125" style="406" customWidth="1"/>
    <col min="20" max="20" width="14.6328125" style="406" customWidth="1"/>
    <col min="21" max="21" width="11.81640625" style="406" customWidth="1"/>
    <col min="22" max="16384" width="9.6328125" style="406"/>
  </cols>
  <sheetData>
    <row r="1" spans="1:22" ht="21" x14ac:dyDescent="0.4">
      <c r="A1" s="403"/>
      <c r="B1" s="602" t="s">
        <v>181</v>
      </c>
      <c r="C1" s="404" t="s">
        <v>263</v>
      </c>
      <c r="D1" s="404"/>
      <c r="E1" s="404"/>
      <c r="F1" s="404"/>
      <c r="G1" s="404"/>
      <c r="H1" s="404"/>
      <c r="I1" s="404"/>
      <c r="J1" s="404"/>
      <c r="K1" s="404"/>
      <c r="L1" s="404"/>
      <c r="M1" s="404"/>
      <c r="N1" s="404"/>
      <c r="O1" s="404"/>
      <c r="P1" s="404"/>
      <c r="Q1" s="404"/>
      <c r="R1" s="404"/>
      <c r="S1" s="404"/>
      <c r="T1" s="404"/>
      <c r="U1" s="404"/>
      <c r="V1" s="405"/>
    </row>
    <row r="2" spans="1:22" x14ac:dyDescent="0.3">
      <c r="A2" s="407"/>
      <c r="B2" s="408"/>
      <c r="C2" s="409"/>
      <c r="D2" s="409"/>
      <c r="E2" s="409"/>
      <c r="F2" s="409"/>
      <c r="G2" s="409"/>
      <c r="H2" s="409"/>
      <c r="I2" s="409"/>
      <c r="J2" s="409"/>
      <c r="K2" s="409"/>
      <c r="L2" s="409"/>
      <c r="M2" s="409"/>
      <c r="N2" s="409"/>
      <c r="O2" s="409"/>
      <c r="P2" s="409"/>
      <c r="Q2" s="409"/>
      <c r="R2" s="409"/>
      <c r="S2" s="409"/>
      <c r="T2" s="409"/>
      <c r="U2" s="409"/>
      <c r="V2" s="405"/>
    </row>
    <row r="3" spans="1:22" x14ac:dyDescent="0.3">
      <c r="A3" s="410"/>
      <c r="B3" s="411" t="s">
        <v>182</v>
      </c>
      <c r="C3" s="409"/>
      <c r="D3" s="409"/>
      <c r="E3" s="409"/>
      <c r="F3" s="409"/>
      <c r="G3" s="409"/>
      <c r="H3" s="409"/>
      <c r="I3" s="409"/>
      <c r="J3" s="409"/>
      <c r="K3" s="409"/>
      <c r="L3" s="409"/>
      <c r="M3" s="409"/>
      <c r="N3" s="409"/>
      <c r="O3" s="409"/>
      <c r="P3" s="409"/>
      <c r="Q3" s="409"/>
      <c r="R3" s="409"/>
      <c r="S3" s="409"/>
      <c r="T3" s="409"/>
      <c r="U3" s="409"/>
      <c r="V3" s="405"/>
    </row>
    <row r="4" spans="1:22" x14ac:dyDescent="0.3">
      <c r="A4" s="407"/>
      <c r="B4" s="408"/>
      <c r="C4" s="409"/>
      <c r="D4" s="409"/>
      <c r="E4" s="409"/>
      <c r="F4" s="409"/>
      <c r="G4" s="409"/>
      <c r="H4" s="409"/>
      <c r="I4" s="409"/>
      <c r="J4" s="409"/>
      <c r="K4" s="409"/>
      <c r="L4" s="409"/>
      <c r="M4" s="409"/>
      <c r="N4" s="409"/>
      <c r="O4" s="409"/>
      <c r="P4" s="409"/>
      <c r="Q4" s="409"/>
      <c r="R4" s="409"/>
      <c r="S4" s="409"/>
      <c r="T4" s="409"/>
      <c r="U4" s="409"/>
      <c r="V4" s="405"/>
    </row>
    <row r="5" spans="1:22" x14ac:dyDescent="0.3">
      <c r="A5" s="407"/>
      <c r="B5" s="601" t="s">
        <v>146</v>
      </c>
      <c r="C5" s="409"/>
      <c r="D5" s="409"/>
      <c r="E5" s="409"/>
      <c r="F5" s="409"/>
      <c r="G5" s="409"/>
      <c r="H5" s="409"/>
      <c r="I5" s="409"/>
      <c r="J5" s="409"/>
      <c r="K5" s="409"/>
      <c r="L5" s="409"/>
      <c r="M5" s="409"/>
      <c r="N5" s="409"/>
      <c r="O5" s="409"/>
      <c r="P5" s="409"/>
      <c r="Q5" s="409"/>
      <c r="R5" s="409"/>
      <c r="S5" s="409"/>
      <c r="T5" s="409"/>
      <c r="U5" s="409"/>
      <c r="V5" s="405"/>
    </row>
    <row r="6" spans="1:22" x14ac:dyDescent="0.3">
      <c r="A6" s="407"/>
      <c r="B6" s="601" t="s">
        <v>148</v>
      </c>
      <c r="C6" s="409"/>
      <c r="D6" s="409"/>
      <c r="E6" s="409"/>
      <c r="F6" s="409"/>
      <c r="G6" s="409"/>
      <c r="H6" s="409"/>
      <c r="I6" s="409"/>
      <c r="J6" s="409"/>
      <c r="K6" s="409"/>
      <c r="L6" s="409"/>
      <c r="M6" s="409"/>
      <c r="N6" s="409"/>
      <c r="O6" s="409"/>
      <c r="P6" s="409"/>
      <c r="Q6" s="409"/>
      <c r="R6" s="409"/>
      <c r="S6" s="409"/>
      <c r="T6" s="409"/>
      <c r="U6" s="409"/>
      <c r="V6" s="405"/>
    </row>
    <row r="7" spans="1:22" x14ac:dyDescent="0.3">
      <c r="A7" s="407"/>
      <c r="B7" s="601" t="s">
        <v>147</v>
      </c>
      <c r="C7" s="409"/>
      <c r="D7" s="409"/>
      <c r="E7" s="409"/>
      <c r="F7" s="409"/>
      <c r="G7" s="409"/>
      <c r="H7" s="409"/>
      <c r="I7" s="409"/>
      <c r="J7" s="409"/>
      <c r="K7" s="409"/>
      <c r="L7" s="409"/>
      <c r="M7" s="409"/>
      <c r="N7" s="409"/>
      <c r="O7" s="409"/>
      <c r="P7" s="409"/>
      <c r="Q7" s="409"/>
      <c r="R7" s="409"/>
      <c r="S7" s="409"/>
      <c r="T7" s="409"/>
      <c r="U7" s="409"/>
      <c r="V7" s="405"/>
    </row>
    <row r="8" spans="1:22" x14ac:dyDescent="0.3">
      <c r="A8" s="407"/>
      <c r="B8" s="412"/>
      <c r="C8" s="409"/>
      <c r="D8" s="409"/>
      <c r="E8" s="409"/>
      <c r="F8" s="409"/>
      <c r="G8" s="409"/>
      <c r="H8" s="409"/>
      <c r="I8" s="409"/>
      <c r="J8" s="409"/>
      <c r="K8" s="409"/>
      <c r="L8" s="409"/>
      <c r="M8" s="409"/>
      <c r="N8" s="409"/>
      <c r="O8" s="409"/>
      <c r="P8" s="409"/>
      <c r="Q8" s="409"/>
      <c r="R8" s="409"/>
      <c r="S8" s="409"/>
      <c r="T8" s="409"/>
      <c r="U8" s="409"/>
      <c r="V8" s="405"/>
    </row>
    <row r="9" spans="1:22" ht="18" x14ac:dyDescent="0.35">
      <c r="A9" s="407"/>
      <c r="B9" s="413" t="s">
        <v>206</v>
      </c>
      <c r="C9" s="409"/>
      <c r="D9" s="409"/>
      <c r="E9" s="409"/>
      <c r="F9" s="409"/>
      <c r="G9" s="409"/>
      <c r="H9" s="409"/>
      <c r="I9" s="409"/>
      <c r="J9" s="414" t="s">
        <v>347</v>
      </c>
      <c r="K9" s="409"/>
      <c r="L9" s="409"/>
      <c r="M9" s="409"/>
      <c r="N9" s="409"/>
      <c r="O9" s="409"/>
      <c r="P9" s="409"/>
      <c r="Q9" s="409"/>
      <c r="R9" s="409"/>
      <c r="S9" s="409"/>
      <c r="T9" s="409"/>
      <c r="U9" s="409"/>
      <c r="V9" s="405"/>
    </row>
    <row r="10" spans="1:22" x14ac:dyDescent="0.3">
      <c r="A10" s="407"/>
      <c r="B10" s="412"/>
      <c r="C10" s="415"/>
      <c r="D10" s="415"/>
      <c r="E10" s="415"/>
      <c r="F10" s="409"/>
      <c r="G10" s="409"/>
      <c r="H10" s="409"/>
      <c r="I10" s="409"/>
      <c r="J10" s="409"/>
      <c r="K10" s="409"/>
      <c r="L10" s="409"/>
      <c r="M10" s="409"/>
      <c r="N10" s="409"/>
      <c r="O10" s="409"/>
      <c r="P10" s="409"/>
      <c r="Q10" s="409"/>
      <c r="R10" s="409"/>
      <c r="S10" s="409"/>
      <c r="T10" s="409"/>
      <c r="U10" s="409"/>
      <c r="V10" s="405"/>
    </row>
    <row r="11" spans="1:22" x14ac:dyDescent="0.3">
      <c r="A11" s="407"/>
      <c r="B11" s="545" t="s">
        <v>0</v>
      </c>
      <c r="C11" s="542"/>
      <c r="D11" s="542"/>
      <c r="E11" s="542"/>
      <c r="F11" s="542"/>
      <c r="G11" s="542"/>
      <c r="H11" s="542"/>
      <c r="I11" s="542"/>
      <c r="J11" s="542"/>
      <c r="K11" s="542"/>
      <c r="L11" s="542"/>
      <c r="M11" s="542"/>
      <c r="N11" s="542"/>
      <c r="O11" s="542"/>
      <c r="P11" s="542"/>
      <c r="Q11" s="542"/>
      <c r="R11" s="542"/>
      <c r="S11" s="542"/>
      <c r="T11" s="542"/>
      <c r="U11" s="409"/>
      <c r="V11" s="405"/>
    </row>
    <row r="12" spans="1:22" ht="16.2" thickBot="1" x14ac:dyDescent="0.35">
      <c r="A12" s="407"/>
      <c r="B12" s="545"/>
      <c r="C12" s="542"/>
      <c r="D12" s="542"/>
      <c r="E12" s="542"/>
      <c r="F12" s="542"/>
      <c r="G12" s="542"/>
      <c r="H12" s="542"/>
      <c r="I12" s="542"/>
      <c r="J12" s="542"/>
      <c r="K12" s="542"/>
      <c r="L12" s="542"/>
      <c r="M12" s="542"/>
      <c r="N12" s="542"/>
      <c r="O12" s="542"/>
      <c r="P12" s="542"/>
      <c r="Q12" s="542"/>
      <c r="R12" s="542"/>
      <c r="S12" s="542"/>
      <c r="T12" s="542"/>
      <c r="U12" s="409"/>
      <c r="V12" s="405"/>
    </row>
    <row r="13" spans="1:22" x14ac:dyDescent="0.3">
      <c r="A13" s="403"/>
      <c r="B13" s="593"/>
      <c r="C13" s="593"/>
      <c r="D13" s="593"/>
      <c r="E13" s="593"/>
      <c r="F13" s="593"/>
      <c r="G13" s="593"/>
      <c r="H13" s="593"/>
      <c r="I13" s="593"/>
      <c r="J13" s="593"/>
      <c r="K13" s="593"/>
      <c r="L13" s="593"/>
      <c r="M13" s="593"/>
      <c r="N13" s="593"/>
      <c r="O13" s="593"/>
      <c r="P13" s="593"/>
      <c r="Q13" s="593"/>
      <c r="R13" s="593"/>
      <c r="S13" s="593"/>
      <c r="T13" s="593"/>
      <c r="U13" s="404"/>
      <c r="V13" s="405"/>
    </row>
    <row r="14" spans="1:22" x14ac:dyDescent="0.3">
      <c r="A14" s="407"/>
      <c r="B14" s="545" t="s">
        <v>1</v>
      </c>
      <c r="C14" s="542"/>
      <c r="D14" s="542"/>
      <c r="E14" s="542"/>
      <c r="F14" s="542"/>
      <c r="G14" s="542"/>
      <c r="H14" s="542"/>
      <c r="I14" s="542"/>
      <c r="J14" s="542"/>
      <c r="K14" s="542"/>
      <c r="L14" s="542"/>
      <c r="M14" s="542"/>
      <c r="N14" s="542"/>
      <c r="O14" s="542"/>
      <c r="P14" s="542"/>
      <c r="Q14" s="542"/>
      <c r="R14" s="542"/>
      <c r="S14" s="542"/>
      <c r="T14" s="594" t="s">
        <v>183</v>
      </c>
      <c r="U14" s="416"/>
      <c r="V14" s="405"/>
    </row>
    <row r="15" spans="1:22" x14ac:dyDescent="0.3">
      <c r="A15" s="407"/>
      <c r="B15" s="545" t="s">
        <v>2</v>
      </c>
      <c r="C15" s="542"/>
      <c r="D15" s="542"/>
      <c r="E15" s="542"/>
      <c r="F15" s="542"/>
      <c r="G15" s="542"/>
      <c r="H15" s="595"/>
      <c r="I15" s="595"/>
      <c r="J15" s="595"/>
      <c r="K15" s="595"/>
      <c r="L15" s="595"/>
      <c r="M15" s="595"/>
      <c r="N15" s="595"/>
      <c r="O15" s="595"/>
      <c r="P15" s="595" t="s">
        <v>110</v>
      </c>
      <c r="Q15" s="596">
        <v>0.59430000000000005</v>
      </c>
      <c r="R15" s="546" t="s">
        <v>149</v>
      </c>
      <c r="S15" s="596">
        <v>0.40570000000000001</v>
      </c>
      <c r="T15" s="594"/>
      <c r="U15" s="416"/>
      <c r="V15" s="405"/>
    </row>
    <row r="16" spans="1:22" x14ac:dyDescent="0.3">
      <c r="A16" s="407"/>
      <c r="B16" s="545" t="s">
        <v>3</v>
      </c>
      <c r="C16" s="542"/>
      <c r="D16" s="542"/>
      <c r="E16" s="542"/>
      <c r="F16" s="542"/>
      <c r="G16" s="542"/>
      <c r="H16" s="595"/>
      <c r="I16" s="595"/>
      <c r="J16" s="595"/>
      <c r="K16" s="595"/>
      <c r="L16" s="595"/>
      <c r="M16" s="595"/>
      <c r="N16" s="595"/>
      <c r="O16" s="595"/>
      <c r="P16" s="595" t="s">
        <v>110</v>
      </c>
      <c r="Q16" s="596">
        <v>0.73470000000000002</v>
      </c>
      <c r="R16" s="546" t="s">
        <v>149</v>
      </c>
      <c r="S16" s="596">
        <v>0.26529999999999998</v>
      </c>
      <c r="T16" s="594"/>
      <c r="U16" s="416"/>
      <c r="V16" s="405"/>
    </row>
    <row r="17" spans="1:22" x14ac:dyDescent="0.3">
      <c r="A17" s="407"/>
      <c r="B17" s="545" t="s">
        <v>4</v>
      </c>
      <c r="C17" s="542"/>
      <c r="D17" s="542"/>
      <c r="E17" s="542"/>
      <c r="F17" s="542"/>
      <c r="G17" s="542"/>
      <c r="H17" s="542"/>
      <c r="I17" s="542"/>
      <c r="J17" s="542"/>
      <c r="K17" s="542"/>
      <c r="L17" s="542"/>
      <c r="M17" s="542"/>
      <c r="N17" s="542"/>
      <c r="O17" s="542"/>
      <c r="P17" s="542"/>
      <c r="Q17" s="597"/>
      <c r="R17" s="542"/>
      <c r="S17" s="542"/>
      <c r="T17" s="598">
        <v>38552</v>
      </c>
      <c r="U17" s="416"/>
      <c r="V17" s="405"/>
    </row>
    <row r="18" spans="1:22" x14ac:dyDescent="0.3">
      <c r="A18" s="407"/>
      <c r="B18" s="545" t="s">
        <v>5</v>
      </c>
      <c r="C18" s="542"/>
      <c r="D18" s="542"/>
      <c r="E18" s="542"/>
      <c r="F18" s="542"/>
      <c r="G18" s="542"/>
      <c r="H18" s="542"/>
      <c r="I18" s="542"/>
      <c r="J18" s="542"/>
      <c r="K18" s="542"/>
      <c r="L18" s="542"/>
      <c r="M18" s="542"/>
      <c r="N18" s="542"/>
      <c r="O18" s="542"/>
      <c r="P18" s="542"/>
      <c r="Q18" s="542"/>
      <c r="R18" s="542"/>
      <c r="S18" s="542"/>
      <c r="T18" s="598">
        <v>43606</v>
      </c>
      <c r="U18" s="416"/>
      <c r="V18" s="405"/>
    </row>
    <row r="19" spans="1:22" x14ac:dyDescent="0.3">
      <c r="A19" s="407"/>
      <c r="B19" s="542"/>
      <c r="C19" s="542"/>
      <c r="D19" s="542"/>
      <c r="E19" s="542"/>
      <c r="F19" s="542"/>
      <c r="G19" s="542"/>
      <c r="H19" s="542"/>
      <c r="I19" s="542"/>
      <c r="J19" s="542"/>
      <c r="K19" s="542"/>
      <c r="L19" s="542"/>
      <c r="M19" s="542"/>
      <c r="N19" s="542"/>
      <c r="O19" s="542"/>
      <c r="P19" s="542"/>
      <c r="Q19" s="542"/>
      <c r="R19" s="542"/>
      <c r="S19" s="542"/>
      <c r="T19" s="599"/>
      <c r="U19" s="409"/>
      <c r="V19" s="405"/>
    </row>
    <row r="20" spans="1:22" x14ac:dyDescent="0.3">
      <c r="A20" s="407"/>
      <c r="B20" s="600" t="s">
        <v>6</v>
      </c>
      <c r="C20" s="542"/>
      <c r="D20" s="542"/>
      <c r="E20" s="542"/>
      <c r="F20" s="542"/>
      <c r="G20" s="542"/>
      <c r="H20" s="542"/>
      <c r="I20" s="542"/>
      <c r="J20" s="542"/>
      <c r="K20" s="542"/>
      <c r="L20" s="542"/>
      <c r="M20" s="542"/>
      <c r="N20" s="542"/>
      <c r="O20" s="542"/>
      <c r="P20" s="542"/>
      <c r="Q20" s="542"/>
      <c r="R20" s="599" t="s">
        <v>111</v>
      </c>
      <c r="S20" s="542"/>
      <c r="T20" s="542"/>
      <c r="U20" s="409"/>
      <c r="V20" s="405"/>
    </row>
    <row r="21" spans="1:22" x14ac:dyDescent="0.3">
      <c r="A21" s="407"/>
      <c r="B21" s="409"/>
      <c r="C21" s="409"/>
      <c r="D21" s="409"/>
      <c r="E21" s="409"/>
      <c r="F21" s="409"/>
      <c r="G21" s="409"/>
      <c r="H21" s="409"/>
      <c r="I21" s="409"/>
      <c r="J21" s="409"/>
      <c r="K21" s="409"/>
      <c r="L21" s="409"/>
      <c r="M21" s="409"/>
      <c r="N21" s="409"/>
      <c r="O21" s="409"/>
      <c r="P21" s="409"/>
      <c r="Q21" s="409"/>
      <c r="R21" s="409"/>
      <c r="S21" s="409"/>
      <c r="T21" s="417"/>
      <c r="U21" s="409"/>
      <c r="V21" s="405"/>
    </row>
    <row r="22" spans="1:22" x14ac:dyDescent="0.3">
      <c r="A22" s="503"/>
      <c r="B22" s="608"/>
      <c r="C22" s="609"/>
      <c r="D22" s="609" t="s">
        <v>185</v>
      </c>
      <c r="E22" s="609"/>
      <c r="F22" s="609" t="s">
        <v>186</v>
      </c>
      <c r="G22" s="609"/>
      <c r="H22" s="609" t="s">
        <v>187</v>
      </c>
      <c r="I22" s="609"/>
      <c r="J22" s="609" t="s">
        <v>188</v>
      </c>
      <c r="K22" s="609"/>
      <c r="L22" s="609" t="s">
        <v>189</v>
      </c>
      <c r="M22" s="609"/>
      <c r="N22" s="609" t="s">
        <v>190</v>
      </c>
      <c r="O22" s="609"/>
      <c r="P22" s="609" t="s">
        <v>191</v>
      </c>
      <c r="Q22" s="610"/>
      <c r="R22" s="610"/>
      <c r="S22" s="608"/>
      <c r="T22" s="608"/>
      <c r="U22" s="611"/>
      <c r="V22" s="405"/>
    </row>
    <row r="23" spans="1:22" x14ac:dyDescent="0.3">
      <c r="A23" s="604"/>
      <c r="B23" s="605" t="s">
        <v>7</v>
      </c>
      <c r="C23" s="606"/>
      <c r="D23" s="606" t="s">
        <v>150</v>
      </c>
      <c r="E23" s="606"/>
      <c r="F23" s="606" t="s">
        <v>150</v>
      </c>
      <c r="G23" s="606"/>
      <c r="H23" s="606" t="s">
        <v>150</v>
      </c>
      <c r="I23" s="606"/>
      <c r="J23" s="606" t="s">
        <v>192</v>
      </c>
      <c r="K23" s="606"/>
      <c r="L23" s="606" t="s">
        <v>192</v>
      </c>
      <c r="M23" s="606"/>
      <c r="N23" s="606" t="s">
        <v>151</v>
      </c>
      <c r="O23" s="606"/>
      <c r="P23" s="606" t="s">
        <v>151</v>
      </c>
      <c r="Q23" s="606"/>
      <c r="R23" s="606"/>
      <c r="S23" s="605"/>
      <c r="T23" s="605"/>
      <c r="U23" s="607"/>
      <c r="V23" s="405"/>
    </row>
    <row r="24" spans="1:22" x14ac:dyDescent="0.3">
      <c r="A24" s="418"/>
      <c r="B24" s="532" t="s">
        <v>8</v>
      </c>
      <c r="C24" s="582"/>
      <c r="D24" s="582" t="s">
        <v>152</v>
      </c>
      <c r="E24" s="582"/>
      <c r="F24" s="582" t="s">
        <v>152</v>
      </c>
      <c r="G24" s="582"/>
      <c r="H24" s="582" t="s">
        <v>152</v>
      </c>
      <c r="I24" s="582"/>
      <c r="J24" s="582" t="s">
        <v>193</v>
      </c>
      <c r="K24" s="582"/>
      <c r="L24" s="582" t="s">
        <v>193</v>
      </c>
      <c r="M24" s="582"/>
      <c r="N24" s="582" t="s">
        <v>153</v>
      </c>
      <c r="O24" s="582"/>
      <c r="P24" s="582" t="s">
        <v>153</v>
      </c>
      <c r="Q24" s="582"/>
      <c r="R24" s="582"/>
      <c r="S24" s="532"/>
      <c r="T24" s="532"/>
      <c r="U24" s="420"/>
      <c r="V24" s="405"/>
    </row>
    <row r="25" spans="1:22" x14ac:dyDescent="0.3">
      <c r="A25" s="421"/>
      <c r="B25" s="536" t="s">
        <v>9</v>
      </c>
      <c r="C25" s="583"/>
      <c r="D25" s="583" t="s">
        <v>329</v>
      </c>
      <c r="E25" s="583"/>
      <c r="F25" s="583" t="s">
        <v>329</v>
      </c>
      <c r="G25" s="583"/>
      <c r="H25" s="583" t="s">
        <v>329</v>
      </c>
      <c r="I25" s="583"/>
      <c r="J25" s="583" t="s">
        <v>334</v>
      </c>
      <c r="K25" s="583"/>
      <c r="L25" s="583" t="s">
        <v>334</v>
      </c>
      <c r="M25" s="583"/>
      <c r="N25" s="583" t="s">
        <v>330</v>
      </c>
      <c r="O25" s="583"/>
      <c r="P25" s="583" t="s">
        <v>330</v>
      </c>
      <c r="Q25" s="583"/>
      <c r="R25" s="582"/>
      <c r="S25" s="532"/>
      <c r="T25" s="532"/>
      <c r="U25" s="420"/>
      <c r="V25" s="405"/>
    </row>
    <row r="26" spans="1:22" x14ac:dyDescent="0.3">
      <c r="A26" s="421"/>
      <c r="B26" s="536" t="s">
        <v>10</v>
      </c>
      <c r="C26" s="583"/>
      <c r="D26" s="583" t="s">
        <v>339</v>
      </c>
      <c r="E26" s="583"/>
      <c r="F26" s="583" t="s">
        <v>339</v>
      </c>
      <c r="G26" s="583"/>
      <c r="H26" s="583" t="s">
        <v>339</v>
      </c>
      <c r="I26" s="583"/>
      <c r="J26" s="583" t="s">
        <v>339</v>
      </c>
      <c r="K26" s="583"/>
      <c r="L26" s="583" t="s">
        <v>339</v>
      </c>
      <c r="M26" s="583"/>
      <c r="N26" s="583" t="s">
        <v>339</v>
      </c>
      <c r="O26" s="583"/>
      <c r="P26" s="583" t="s">
        <v>339</v>
      </c>
      <c r="Q26" s="583"/>
      <c r="R26" s="582"/>
      <c r="S26" s="532"/>
      <c r="T26" s="532"/>
      <c r="U26" s="420"/>
      <c r="V26" s="405"/>
    </row>
    <row r="27" spans="1:22" x14ac:dyDescent="0.3">
      <c r="A27" s="418"/>
      <c r="B27" s="532" t="s">
        <v>11</v>
      </c>
      <c r="C27" s="582"/>
      <c r="D27" s="582" t="s">
        <v>194</v>
      </c>
      <c r="E27" s="582"/>
      <c r="F27" s="552" t="s">
        <v>195</v>
      </c>
      <c r="G27" s="582"/>
      <c r="H27" s="582" t="s">
        <v>196</v>
      </c>
      <c r="I27" s="582"/>
      <c r="J27" s="582" t="s">
        <v>198</v>
      </c>
      <c r="K27" s="582"/>
      <c r="L27" s="582" t="s">
        <v>199</v>
      </c>
      <c r="M27" s="582"/>
      <c r="N27" s="582" t="s">
        <v>200</v>
      </c>
      <c r="O27" s="582"/>
      <c r="P27" s="582" t="s">
        <v>201</v>
      </c>
      <c r="Q27" s="582"/>
      <c r="R27" s="552"/>
      <c r="S27" s="532"/>
      <c r="T27" s="532"/>
      <c r="U27" s="420"/>
      <c r="V27" s="405"/>
    </row>
    <row r="28" spans="1:22" x14ac:dyDescent="0.3">
      <c r="A28" s="418"/>
      <c r="B28" s="532" t="s">
        <v>11</v>
      </c>
      <c r="C28" s="582"/>
      <c r="D28" s="582" t="s">
        <v>127</v>
      </c>
      <c r="E28" s="582"/>
      <c r="F28" s="552" t="s">
        <v>127</v>
      </c>
      <c r="G28" s="582"/>
      <c r="H28" s="582" t="s">
        <v>197</v>
      </c>
      <c r="I28" s="582"/>
      <c r="J28" s="582" t="s">
        <v>127</v>
      </c>
      <c r="K28" s="582"/>
      <c r="L28" s="582" t="s">
        <v>127</v>
      </c>
      <c r="M28" s="582"/>
      <c r="N28" s="582" t="s">
        <v>127</v>
      </c>
      <c r="O28" s="582"/>
      <c r="P28" s="582" t="s">
        <v>127</v>
      </c>
      <c r="Q28" s="582"/>
      <c r="R28" s="552"/>
      <c r="S28" s="532"/>
      <c r="T28" s="532"/>
      <c r="U28" s="420"/>
      <c r="V28" s="405"/>
    </row>
    <row r="29" spans="1:22" x14ac:dyDescent="0.3">
      <c r="A29" s="418"/>
      <c r="B29" s="532" t="s">
        <v>142</v>
      </c>
      <c r="C29" s="584"/>
      <c r="D29" s="577">
        <v>346000</v>
      </c>
      <c r="E29" s="584"/>
      <c r="F29" s="585">
        <v>355000</v>
      </c>
      <c r="G29" s="577"/>
      <c r="H29" s="586">
        <v>60000</v>
      </c>
      <c r="I29" s="577"/>
      <c r="J29" s="577">
        <v>7000</v>
      </c>
      <c r="K29" s="577"/>
      <c r="L29" s="585">
        <v>29500</v>
      </c>
      <c r="M29" s="577"/>
      <c r="N29" s="587">
        <v>3000</v>
      </c>
      <c r="O29" s="577"/>
      <c r="P29" s="585">
        <v>66000</v>
      </c>
      <c r="Q29" s="577"/>
      <c r="R29" s="577"/>
      <c r="S29" s="584"/>
      <c r="T29" s="577"/>
      <c r="U29" s="423"/>
      <c r="V29" s="405"/>
    </row>
    <row r="30" spans="1:22" x14ac:dyDescent="0.3">
      <c r="A30" s="418"/>
      <c r="B30" s="532" t="s">
        <v>141</v>
      </c>
      <c r="C30" s="584"/>
      <c r="D30" s="577">
        <f>D29*D36</f>
        <v>92340.825999999986</v>
      </c>
      <c r="E30" s="584"/>
      <c r="F30" s="585">
        <f>F29*F36</f>
        <v>94742.75499999999</v>
      </c>
      <c r="G30" s="577"/>
      <c r="H30" s="586">
        <f>H29*H36</f>
        <v>16012.716000000002</v>
      </c>
      <c r="I30" s="577"/>
      <c r="J30" s="577">
        <f>J29*J36</f>
        <v>4251.0006000000003</v>
      </c>
      <c r="K30" s="577"/>
      <c r="L30" s="585">
        <f>L29*L36</f>
        <v>17914.931099999998</v>
      </c>
      <c r="M30" s="577"/>
      <c r="N30" s="587">
        <f>N29*N36</f>
        <v>1821.8573999999999</v>
      </c>
      <c r="O30" s="577"/>
      <c r="P30" s="585">
        <f>P29*P36</f>
        <v>40080.862800000003</v>
      </c>
      <c r="Q30" s="577"/>
      <c r="R30" s="577"/>
      <c r="S30" s="584"/>
      <c r="T30" s="577"/>
      <c r="U30" s="423"/>
      <c r="V30" s="405"/>
    </row>
    <row r="31" spans="1:22" x14ac:dyDescent="0.3">
      <c r="A31" s="421"/>
      <c r="B31" s="536" t="s">
        <v>143</v>
      </c>
      <c r="C31" s="588"/>
      <c r="D31" s="589">
        <f>D35*D29</f>
        <v>91007.272800000006</v>
      </c>
      <c r="E31" s="588"/>
      <c r="F31" s="590">
        <f>F35*F29</f>
        <v>93374.513999999996</v>
      </c>
      <c r="G31" s="589"/>
      <c r="H31" s="591">
        <f>H35*H29</f>
        <v>15781.464</v>
      </c>
      <c r="I31" s="589"/>
      <c r="J31" s="589">
        <f>J35*J29</f>
        <v>4189.6077999999998</v>
      </c>
      <c r="K31" s="589"/>
      <c r="L31" s="590">
        <f>L35*L29</f>
        <v>17656.204300000001</v>
      </c>
      <c r="M31" s="589"/>
      <c r="N31" s="592">
        <f>N35*N29</f>
        <v>1795.5462</v>
      </c>
      <c r="O31" s="589"/>
      <c r="P31" s="590">
        <f>P35*P29</f>
        <v>39502.0164</v>
      </c>
      <c r="Q31" s="589"/>
      <c r="R31" s="589"/>
      <c r="S31" s="588"/>
      <c r="T31" s="589"/>
      <c r="U31" s="423"/>
      <c r="V31" s="405"/>
    </row>
    <row r="32" spans="1:22" x14ac:dyDescent="0.3">
      <c r="A32" s="418"/>
      <c r="B32" s="532" t="s">
        <v>289</v>
      </c>
      <c r="C32" s="584"/>
      <c r="D32" s="577">
        <v>346000</v>
      </c>
      <c r="E32" s="584"/>
      <c r="F32" s="577">
        <v>244500</v>
      </c>
      <c r="G32" s="577"/>
      <c r="H32" s="577">
        <v>33900</v>
      </c>
      <c r="I32" s="577"/>
      <c r="J32" s="577">
        <v>7000</v>
      </c>
      <c r="K32" s="577"/>
      <c r="L32" s="577">
        <v>20300</v>
      </c>
      <c r="M32" s="577"/>
      <c r="N32" s="577">
        <v>3000</v>
      </c>
      <c r="O32" s="577"/>
      <c r="P32" s="577">
        <v>45300</v>
      </c>
      <c r="Q32" s="577"/>
      <c r="R32" s="577"/>
      <c r="S32" s="584"/>
      <c r="T32" s="577">
        <f>SUM(C32:P32)</f>
        <v>700000</v>
      </c>
      <c r="U32" s="423"/>
      <c r="V32" s="405"/>
    </row>
    <row r="33" spans="1:22" x14ac:dyDescent="0.3">
      <c r="A33" s="418"/>
      <c r="B33" s="532" t="s">
        <v>290</v>
      </c>
      <c r="C33" s="584"/>
      <c r="D33" s="577">
        <f>D32*D36</f>
        <v>92340.825999999986</v>
      </c>
      <c r="E33" s="584"/>
      <c r="F33" s="577">
        <f>F32*F36</f>
        <v>65252.404499999997</v>
      </c>
      <c r="G33" s="577"/>
      <c r="H33" s="577">
        <f>H32*H36</f>
        <v>9047.1845400000002</v>
      </c>
      <c r="I33" s="577"/>
      <c r="J33" s="577">
        <f>J32*J36</f>
        <v>4251.0006000000003</v>
      </c>
      <c r="K33" s="577"/>
      <c r="L33" s="577">
        <f>L32*L36</f>
        <v>12327.901739999999</v>
      </c>
      <c r="M33" s="577"/>
      <c r="N33" s="577">
        <f>N32*N36</f>
        <v>1821.8573999999999</v>
      </c>
      <c r="O33" s="577"/>
      <c r="P33" s="577">
        <f>P32*P36</f>
        <v>27510.046739999998</v>
      </c>
      <c r="Q33" s="577"/>
      <c r="R33" s="577"/>
      <c r="S33" s="584"/>
      <c r="T33" s="577">
        <f>SUM(C33:P33)</f>
        <v>212551.22151999996</v>
      </c>
      <c r="U33" s="423"/>
      <c r="V33" s="405"/>
    </row>
    <row r="34" spans="1:22" x14ac:dyDescent="0.3">
      <c r="A34" s="421"/>
      <c r="B34" s="536" t="s">
        <v>291</v>
      </c>
      <c r="C34" s="588"/>
      <c r="D34" s="589">
        <f>D35*D32</f>
        <v>91007.272800000006</v>
      </c>
      <c r="E34" s="588"/>
      <c r="F34" s="589">
        <f>F35*F32</f>
        <v>64310.052600000003</v>
      </c>
      <c r="G34" s="589"/>
      <c r="H34" s="589">
        <f>H35*H32</f>
        <v>8916.5271599999996</v>
      </c>
      <c r="I34" s="589"/>
      <c r="J34" s="589">
        <f>J35*J32</f>
        <v>4189.6077999999998</v>
      </c>
      <c r="K34" s="589"/>
      <c r="L34" s="589">
        <f>L35*L32</f>
        <v>12149.86262</v>
      </c>
      <c r="M34" s="589"/>
      <c r="N34" s="589">
        <f>N35*N32</f>
        <v>1795.5462</v>
      </c>
      <c r="O34" s="589"/>
      <c r="P34" s="589">
        <f>P35*P32</f>
        <v>27112.747620000002</v>
      </c>
      <c r="Q34" s="589"/>
      <c r="R34" s="589"/>
      <c r="S34" s="588"/>
      <c r="T34" s="589">
        <f>SUM(C34:P34)</f>
        <v>209481.61680000002</v>
      </c>
      <c r="U34" s="423"/>
      <c r="V34" s="405"/>
    </row>
    <row r="35" spans="1:22" x14ac:dyDescent="0.3">
      <c r="A35" s="421"/>
      <c r="B35" s="514" t="s">
        <v>139</v>
      </c>
      <c r="C35" s="515"/>
      <c r="D35" s="516">
        <v>0.26302680000000001</v>
      </c>
      <c r="E35" s="517"/>
      <c r="F35" s="516">
        <v>0.26302680000000001</v>
      </c>
      <c r="G35" s="516"/>
      <c r="H35" s="516">
        <v>0.26302439999999999</v>
      </c>
      <c r="I35" s="518"/>
      <c r="J35" s="516">
        <v>0.59851540000000003</v>
      </c>
      <c r="K35" s="516"/>
      <c r="L35" s="516">
        <v>0.59851540000000003</v>
      </c>
      <c r="M35" s="518"/>
      <c r="N35" s="516">
        <v>0.59851540000000003</v>
      </c>
      <c r="O35" s="516"/>
      <c r="P35" s="516">
        <v>0.59851540000000003</v>
      </c>
      <c r="Q35" s="424"/>
      <c r="R35" s="424"/>
      <c r="S35" s="425"/>
      <c r="T35" s="424"/>
      <c r="U35" s="426"/>
      <c r="V35" s="405"/>
    </row>
    <row r="36" spans="1:22" x14ac:dyDescent="0.3">
      <c r="A36" s="421"/>
      <c r="B36" s="514" t="s">
        <v>140</v>
      </c>
      <c r="C36" s="515"/>
      <c r="D36" s="516">
        <v>0.26688099999999998</v>
      </c>
      <c r="E36" s="517"/>
      <c r="F36" s="516">
        <v>0.26688099999999998</v>
      </c>
      <c r="G36" s="516"/>
      <c r="H36" s="516">
        <v>0.26687860000000002</v>
      </c>
      <c r="I36" s="518"/>
      <c r="J36" s="516">
        <v>0.60728579999999999</v>
      </c>
      <c r="K36" s="516"/>
      <c r="L36" s="516">
        <v>0.60728579999999999</v>
      </c>
      <c r="M36" s="518"/>
      <c r="N36" s="516">
        <v>0.60728579999999999</v>
      </c>
      <c r="O36" s="516"/>
      <c r="P36" s="516">
        <v>0.60728579999999999</v>
      </c>
      <c r="Q36" s="427"/>
      <c r="R36" s="427"/>
      <c r="S36" s="425"/>
      <c r="T36" s="424"/>
      <c r="U36" s="426"/>
      <c r="V36" s="405"/>
    </row>
    <row r="37" spans="1:22" x14ac:dyDescent="0.3">
      <c r="A37" s="428"/>
      <c r="B37" s="532" t="s">
        <v>12</v>
      </c>
      <c r="C37" s="532"/>
      <c r="D37" s="552" t="s">
        <v>166</v>
      </c>
      <c r="E37" s="532"/>
      <c r="F37" s="552" t="s">
        <v>166</v>
      </c>
      <c r="G37" s="552"/>
      <c r="H37" s="552" t="s">
        <v>166</v>
      </c>
      <c r="I37" s="552"/>
      <c r="J37" s="552" t="s">
        <v>204</v>
      </c>
      <c r="K37" s="552"/>
      <c r="L37" s="552" t="s">
        <v>204</v>
      </c>
      <c r="M37" s="552"/>
      <c r="N37" s="552" t="s">
        <v>205</v>
      </c>
      <c r="O37" s="552"/>
      <c r="P37" s="552" t="s">
        <v>205</v>
      </c>
      <c r="Q37" s="552"/>
      <c r="R37" s="552"/>
      <c r="S37" s="532"/>
      <c r="T37" s="532"/>
      <c r="U37" s="562"/>
      <c r="V37" s="405"/>
    </row>
    <row r="38" spans="1:22" x14ac:dyDescent="0.3">
      <c r="A38" s="428"/>
      <c r="B38" s="532" t="s">
        <v>13</v>
      </c>
      <c r="C38" s="532"/>
      <c r="D38" s="574">
        <v>1.22988E-2</v>
      </c>
      <c r="E38" s="532"/>
      <c r="F38" s="574">
        <v>5.1999999999999995E-4</v>
      </c>
      <c r="G38" s="558"/>
      <c r="H38" s="574">
        <v>3.0437499999999999E-2</v>
      </c>
      <c r="I38" s="558"/>
      <c r="J38" s="574">
        <v>1.4498799999999999E-2</v>
      </c>
      <c r="K38" s="558"/>
      <c r="L38" s="574">
        <v>2.7200000000000002E-3</v>
      </c>
      <c r="M38" s="558"/>
      <c r="N38" s="574">
        <v>1.9098799999999999E-2</v>
      </c>
      <c r="O38" s="558"/>
      <c r="P38" s="574">
        <v>7.3200000000000001E-3</v>
      </c>
      <c r="Q38" s="558"/>
      <c r="R38" s="574"/>
      <c r="S38" s="532"/>
      <c r="T38" s="558"/>
      <c r="U38" s="562"/>
      <c r="V38" s="405"/>
    </row>
    <row r="39" spans="1:22" x14ac:dyDescent="0.3">
      <c r="A39" s="428"/>
      <c r="B39" s="532" t="s">
        <v>14</v>
      </c>
      <c r="C39" s="532"/>
      <c r="D39" s="574">
        <v>1.2465E-2</v>
      </c>
      <c r="E39" s="532"/>
      <c r="F39" s="574">
        <v>4.4000000000000002E-4</v>
      </c>
      <c r="G39" s="558"/>
      <c r="H39" s="574">
        <v>2.9761300000000001E-2</v>
      </c>
      <c r="I39" s="558"/>
      <c r="J39" s="574">
        <v>1.4664999999999999E-2</v>
      </c>
      <c r="K39" s="558"/>
      <c r="L39" s="574">
        <v>2.64E-3</v>
      </c>
      <c r="M39" s="558"/>
      <c r="N39" s="574">
        <v>1.9265000000000001E-2</v>
      </c>
      <c r="O39" s="558"/>
      <c r="P39" s="574">
        <v>7.2399999999999999E-3</v>
      </c>
      <c r="Q39" s="558"/>
      <c r="R39" s="574"/>
      <c r="S39" s="532"/>
      <c r="T39" s="532"/>
      <c r="U39" s="562"/>
      <c r="V39" s="405"/>
    </row>
    <row r="40" spans="1:22" x14ac:dyDescent="0.3">
      <c r="A40" s="428"/>
      <c r="B40" s="532" t="s">
        <v>292</v>
      </c>
      <c r="C40" s="532"/>
      <c r="D40" s="552" t="s">
        <v>166</v>
      </c>
      <c r="E40" s="532"/>
      <c r="F40" s="552" t="s">
        <v>209</v>
      </c>
      <c r="G40" s="552"/>
      <c r="H40" s="552" t="s">
        <v>210</v>
      </c>
      <c r="I40" s="552"/>
      <c r="J40" s="552" t="s">
        <v>204</v>
      </c>
      <c r="K40" s="552"/>
      <c r="L40" s="552" t="s">
        <v>211</v>
      </c>
      <c r="M40" s="552"/>
      <c r="N40" s="552" t="s">
        <v>205</v>
      </c>
      <c r="O40" s="552"/>
      <c r="P40" s="552" t="s">
        <v>212</v>
      </c>
      <c r="Q40" s="558"/>
      <c r="R40" s="574"/>
      <c r="S40" s="532"/>
      <c r="T40" s="558"/>
      <c r="U40" s="562"/>
      <c r="V40" s="405"/>
    </row>
    <row r="41" spans="1:22" x14ac:dyDescent="0.3">
      <c r="A41" s="428"/>
      <c r="B41" s="532" t="s">
        <v>293</v>
      </c>
      <c r="C41" s="532"/>
      <c r="D41" s="574">
        <f>+D38</f>
        <v>1.22988E-2</v>
      </c>
      <c r="E41" s="532"/>
      <c r="F41" s="574">
        <v>1.2498799999999999E-2</v>
      </c>
      <c r="G41" s="558"/>
      <c r="H41" s="574">
        <v>1.2758800000000001E-2</v>
      </c>
      <c r="I41" s="558"/>
      <c r="J41" s="574">
        <f>+J38</f>
        <v>1.4498799999999999E-2</v>
      </c>
      <c r="K41" s="558"/>
      <c r="L41" s="574">
        <v>1.5088799999999999E-2</v>
      </c>
      <c r="M41" s="558"/>
      <c r="N41" s="574">
        <f>+N38</f>
        <v>1.9098799999999999E-2</v>
      </c>
      <c r="O41" s="558"/>
      <c r="P41" s="574">
        <v>1.9978800000000001E-2</v>
      </c>
      <c r="Q41" s="558"/>
      <c r="R41" s="574"/>
      <c r="S41" s="532"/>
      <c r="T41" s="558">
        <f>SUMPRODUCT(D41:P41,D33:P33)/T33</f>
        <v>1.3637889092082297E-2</v>
      </c>
      <c r="U41" s="562"/>
      <c r="V41" s="405"/>
    </row>
    <row r="42" spans="1:22" x14ac:dyDescent="0.3">
      <c r="A42" s="428"/>
      <c r="B42" s="532" t="s">
        <v>294</v>
      </c>
      <c r="C42" s="532"/>
      <c r="D42" s="574">
        <f>+D39</f>
        <v>1.2465E-2</v>
      </c>
      <c r="E42" s="532"/>
      <c r="F42" s="574">
        <v>1.2664999999999999E-2</v>
      </c>
      <c r="G42" s="558"/>
      <c r="H42" s="574">
        <v>1.2925000000000001E-2</v>
      </c>
      <c r="I42" s="558"/>
      <c r="J42" s="574">
        <f>+J39</f>
        <v>1.4664999999999999E-2</v>
      </c>
      <c r="K42" s="558"/>
      <c r="L42" s="574">
        <v>1.5254999999999999E-2</v>
      </c>
      <c r="M42" s="558"/>
      <c r="N42" s="574">
        <f>+N39</f>
        <v>1.9265000000000001E-2</v>
      </c>
      <c r="O42" s="558"/>
      <c r="P42" s="574">
        <v>2.0145E-2</v>
      </c>
      <c r="Q42" s="558"/>
      <c r="R42" s="574"/>
      <c r="S42" s="532"/>
      <c r="T42" s="532"/>
      <c r="U42" s="562"/>
      <c r="V42" s="405"/>
    </row>
    <row r="43" spans="1:22" x14ac:dyDescent="0.3">
      <c r="A43" s="428"/>
      <c r="B43" s="532" t="s">
        <v>15</v>
      </c>
      <c r="C43" s="575"/>
      <c r="D43" s="575">
        <v>39948</v>
      </c>
      <c r="E43" s="575"/>
      <c r="F43" s="575">
        <v>39948</v>
      </c>
      <c r="G43" s="575"/>
      <c r="H43" s="575">
        <v>39948</v>
      </c>
      <c r="I43" s="575"/>
      <c r="J43" s="575">
        <v>39948</v>
      </c>
      <c r="K43" s="575"/>
      <c r="L43" s="575">
        <v>39948</v>
      </c>
      <c r="M43" s="575"/>
      <c r="N43" s="575">
        <v>39948</v>
      </c>
      <c r="O43" s="575"/>
      <c r="P43" s="575">
        <v>39948</v>
      </c>
      <c r="Q43" s="552"/>
      <c r="R43" s="552"/>
      <c r="S43" s="532"/>
      <c r="T43" s="532"/>
      <c r="U43" s="562"/>
      <c r="V43" s="405"/>
    </row>
    <row r="44" spans="1:22" x14ac:dyDescent="0.3">
      <c r="A44" s="428"/>
      <c r="B44" s="532" t="s">
        <v>16</v>
      </c>
      <c r="C44" s="575"/>
      <c r="D44" s="575">
        <v>40313</v>
      </c>
      <c r="E44" s="575"/>
      <c r="F44" s="575">
        <v>40313</v>
      </c>
      <c r="G44" s="575"/>
      <c r="H44" s="575">
        <v>40313</v>
      </c>
      <c r="I44" s="552"/>
      <c r="J44" s="575">
        <v>40313</v>
      </c>
      <c r="K44" s="552"/>
      <c r="L44" s="575">
        <v>40313</v>
      </c>
      <c r="M44" s="552"/>
      <c r="N44" s="575">
        <v>40313</v>
      </c>
      <c r="O44" s="552"/>
      <c r="P44" s="575">
        <v>40313</v>
      </c>
      <c r="Q44" s="552"/>
      <c r="R44" s="552"/>
      <c r="S44" s="532"/>
      <c r="T44" s="532"/>
      <c r="U44" s="562"/>
      <c r="V44" s="405"/>
    </row>
    <row r="45" spans="1:22" x14ac:dyDescent="0.3">
      <c r="A45" s="428"/>
      <c r="B45" s="532" t="s">
        <v>128</v>
      </c>
      <c r="C45" s="532"/>
      <c r="D45" s="552" t="s">
        <v>166</v>
      </c>
      <c r="E45" s="532"/>
      <c r="F45" s="552" t="s">
        <v>166</v>
      </c>
      <c r="G45" s="552"/>
      <c r="H45" s="552" t="s">
        <v>166</v>
      </c>
      <c r="I45" s="552"/>
      <c r="J45" s="552" t="s">
        <v>204</v>
      </c>
      <c r="K45" s="552"/>
      <c r="L45" s="552" t="s">
        <v>204</v>
      </c>
      <c r="M45" s="552"/>
      <c r="N45" s="552" t="s">
        <v>205</v>
      </c>
      <c r="O45" s="552"/>
      <c r="P45" s="552" t="s">
        <v>205</v>
      </c>
      <c r="Q45" s="552"/>
      <c r="R45" s="552"/>
      <c r="S45" s="532"/>
      <c r="T45" s="532"/>
      <c r="U45" s="562"/>
      <c r="V45" s="405"/>
    </row>
    <row r="46" spans="1:22" x14ac:dyDescent="0.3">
      <c r="A46" s="428"/>
      <c r="B46" s="532" t="s">
        <v>295</v>
      </c>
      <c r="C46" s="532"/>
      <c r="D46" s="552" t="s">
        <v>166</v>
      </c>
      <c r="E46" s="532"/>
      <c r="F46" s="552" t="s">
        <v>209</v>
      </c>
      <c r="G46" s="552"/>
      <c r="H46" s="552" t="s">
        <v>210</v>
      </c>
      <c r="I46" s="552"/>
      <c r="J46" s="552" t="s">
        <v>204</v>
      </c>
      <c r="K46" s="552"/>
      <c r="L46" s="552" t="s">
        <v>211</v>
      </c>
      <c r="M46" s="552"/>
      <c r="N46" s="552" t="s">
        <v>205</v>
      </c>
      <c r="O46" s="552"/>
      <c r="P46" s="552" t="s">
        <v>212</v>
      </c>
      <c r="Q46" s="552"/>
      <c r="R46" s="552"/>
      <c r="S46" s="532"/>
      <c r="T46" s="532"/>
      <c r="U46" s="562"/>
      <c r="V46" s="405"/>
    </row>
    <row r="47" spans="1:22" x14ac:dyDescent="0.3">
      <c r="A47" s="428"/>
      <c r="B47" s="532"/>
      <c r="C47" s="532"/>
      <c r="D47" s="532"/>
      <c r="E47" s="532"/>
      <c r="F47" s="552"/>
      <c r="G47" s="552"/>
      <c r="H47" s="550"/>
      <c r="I47" s="550"/>
      <c r="J47" s="550"/>
      <c r="K47" s="550"/>
      <c r="L47" s="550"/>
      <c r="M47" s="550"/>
      <c r="N47" s="550"/>
      <c r="O47" s="550"/>
      <c r="P47" s="550"/>
      <c r="Q47" s="550"/>
      <c r="R47" s="550"/>
      <c r="S47" s="550"/>
      <c r="T47" s="550"/>
      <c r="U47" s="562"/>
      <c r="V47" s="405"/>
    </row>
    <row r="48" spans="1:22" x14ac:dyDescent="0.3">
      <c r="A48" s="428"/>
      <c r="B48" s="532" t="s">
        <v>224</v>
      </c>
      <c r="C48" s="532"/>
      <c r="D48" s="532"/>
      <c r="E48" s="532"/>
      <c r="F48" s="576"/>
      <c r="G48" s="532"/>
      <c r="H48" s="532"/>
      <c r="I48" s="532"/>
      <c r="J48" s="532"/>
      <c r="K48" s="532"/>
      <c r="L48" s="532"/>
      <c r="M48" s="532"/>
      <c r="N48" s="532"/>
      <c r="O48" s="532"/>
      <c r="P48" s="532"/>
      <c r="Q48" s="532"/>
      <c r="R48" s="532"/>
      <c r="S48" s="532"/>
      <c r="T48" s="558">
        <f>SUM(J32:P32)/SUM(D32:H32)</f>
        <v>0.1210762331838565</v>
      </c>
      <c r="U48" s="562"/>
      <c r="V48" s="405"/>
    </row>
    <row r="49" spans="1:23" x14ac:dyDescent="0.3">
      <c r="A49" s="428"/>
      <c r="B49" s="532" t="s">
        <v>225</v>
      </c>
      <c r="C49" s="532"/>
      <c r="D49" s="532"/>
      <c r="E49" s="532"/>
      <c r="F49" s="576"/>
      <c r="G49" s="532"/>
      <c r="H49" s="532"/>
      <c r="I49" s="532"/>
      <c r="J49" s="532"/>
      <c r="K49" s="532"/>
      <c r="L49" s="532"/>
      <c r="M49" s="532"/>
      <c r="N49" s="532"/>
      <c r="O49" s="532"/>
      <c r="P49" s="532"/>
      <c r="Q49" s="532"/>
      <c r="R49" s="532"/>
      <c r="S49" s="532"/>
      <c r="T49" s="558">
        <f>SUM(J34:P34)/SUM(D34:H34)</f>
        <v>0.27550814606549839</v>
      </c>
      <c r="U49" s="562"/>
      <c r="V49" s="405"/>
    </row>
    <row r="50" spans="1:23" x14ac:dyDescent="0.3">
      <c r="A50" s="428"/>
      <c r="B50" s="532" t="s">
        <v>226</v>
      </c>
      <c r="C50" s="532"/>
      <c r="D50" s="532"/>
      <c r="E50" s="532"/>
      <c r="F50" s="532"/>
      <c r="G50" s="532"/>
      <c r="H50" s="532"/>
      <c r="I50" s="532"/>
      <c r="J50" s="532"/>
      <c r="K50" s="532"/>
      <c r="L50" s="532"/>
      <c r="M50" s="532"/>
      <c r="N50" s="532"/>
      <c r="O50" s="532"/>
      <c r="P50" s="532"/>
      <c r="Q50" s="532"/>
      <c r="R50" s="552" t="s">
        <v>112</v>
      </c>
      <c r="S50" s="552" t="s">
        <v>118</v>
      </c>
      <c r="T50" s="577">
        <f>+T32/2-SUM(J32:P32)</f>
        <v>274400</v>
      </c>
      <c r="U50" s="562"/>
      <c r="V50" s="405"/>
    </row>
    <row r="51" spans="1:23" x14ac:dyDescent="0.3">
      <c r="A51" s="428"/>
      <c r="B51" s="532"/>
      <c r="C51" s="532"/>
      <c r="D51" s="532"/>
      <c r="E51" s="532"/>
      <c r="F51" s="532"/>
      <c r="G51" s="532"/>
      <c r="H51" s="532"/>
      <c r="I51" s="532"/>
      <c r="J51" s="532"/>
      <c r="K51" s="532"/>
      <c r="L51" s="532"/>
      <c r="M51" s="532"/>
      <c r="N51" s="532"/>
      <c r="O51" s="532"/>
      <c r="P51" s="532"/>
      <c r="Q51" s="532"/>
      <c r="R51" s="532" t="s">
        <v>284</v>
      </c>
      <c r="S51" s="532"/>
      <c r="T51" s="560"/>
      <c r="U51" s="562"/>
      <c r="V51" s="405"/>
    </row>
    <row r="52" spans="1:23" x14ac:dyDescent="0.3">
      <c r="A52" s="428"/>
      <c r="B52" s="532" t="s">
        <v>154</v>
      </c>
      <c r="C52" s="532"/>
      <c r="D52" s="532"/>
      <c r="E52" s="532"/>
      <c r="F52" s="532"/>
      <c r="G52" s="532"/>
      <c r="H52" s="532"/>
      <c r="I52" s="532"/>
      <c r="J52" s="532"/>
      <c r="K52" s="532"/>
      <c r="L52" s="532"/>
      <c r="M52" s="532"/>
      <c r="N52" s="532"/>
      <c r="O52" s="532"/>
      <c r="P52" s="532"/>
      <c r="Q52" s="532"/>
      <c r="R52" s="552"/>
      <c r="S52" s="552"/>
      <c r="T52" s="552" t="s">
        <v>120</v>
      </c>
      <c r="U52" s="562"/>
      <c r="V52" s="405"/>
    </row>
    <row r="53" spans="1:23" x14ac:dyDescent="0.3">
      <c r="A53" s="428"/>
      <c r="B53" s="536" t="s">
        <v>155</v>
      </c>
      <c r="C53" s="536"/>
      <c r="D53" s="536"/>
      <c r="E53" s="536"/>
      <c r="F53" s="536"/>
      <c r="G53" s="536"/>
      <c r="H53" s="536"/>
      <c r="I53" s="536"/>
      <c r="J53" s="536"/>
      <c r="K53" s="536"/>
      <c r="L53" s="536"/>
      <c r="M53" s="536"/>
      <c r="N53" s="536"/>
      <c r="O53" s="536"/>
      <c r="P53" s="536"/>
      <c r="Q53" s="536"/>
      <c r="R53" s="557"/>
      <c r="S53" s="557"/>
      <c r="T53" s="578">
        <v>43600</v>
      </c>
      <c r="U53" s="562"/>
      <c r="V53" s="405"/>
    </row>
    <row r="54" spans="1:23" x14ac:dyDescent="0.3">
      <c r="A54" s="428"/>
      <c r="B54" s="532" t="s">
        <v>130</v>
      </c>
      <c r="C54" s="532"/>
      <c r="D54" s="532"/>
      <c r="E54" s="532"/>
      <c r="F54" s="532"/>
      <c r="G54" s="532"/>
      <c r="H54" s="579"/>
      <c r="I54" s="579"/>
      <c r="J54" s="579"/>
      <c r="K54" s="579"/>
      <c r="L54" s="579"/>
      <c r="M54" s="579"/>
      <c r="N54" s="579"/>
      <c r="O54" s="579"/>
      <c r="P54" s="532">
        <f>+T54-R54+1</f>
        <v>92</v>
      </c>
      <c r="Q54" s="532"/>
      <c r="R54" s="580">
        <v>43419</v>
      </c>
      <c r="S54" s="581"/>
      <c r="T54" s="580">
        <v>43510</v>
      </c>
      <c r="U54" s="562"/>
      <c r="V54" s="405"/>
    </row>
    <row r="55" spans="1:23" x14ac:dyDescent="0.3">
      <c r="A55" s="428"/>
      <c r="B55" s="532" t="s">
        <v>131</v>
      </c>
      <c r="C55" s="532"/>
      <c r="D55" s="532"/>
      <c r="E55" s="532"/>
      <c r="F55" s="532"/>
      <c r="G55" s="532"/>
      <c r="H55" s="532"/>
      <c r="I55" s="532"/>
      <c r="J55" s="532"/>
      <c r="K55" s="532"/>
      <c r="L55" s="532"/>
      <c r="M55" s="532"/>
      <c r="N55" s="532"/>
      <c r="O55" s="532"/>
      <c r="P55" s="532">
        <f>+T55-R55+1</f>
        <v>89</v>
      </c>
      <c r="Q55" s="532"/>
      <c r="R55" s="580">
        <v>43511</v>
      </c>
      <c r="S55" s="581"/>
      <c r="T55" s="580">
        <v>43599</v>
      </c>
      <c r="U55" s="562"/>
      <c r="V55" s="405"/>
    </row>
    <row r="56" spans="1:23" x14ac:dyDescent="0.3">
      <c r="A56" s="428"/>
      <c r="B56" s="532" t="s">
        <v>213</v>
      </c>
      <c r="C56" s="532"/>
      <c r="D56" s="532"/>
      <c r="E56" s="532"/>
      <c r="F56" s="532"/>
      <c r="G56" s="532"/>
      <c r="H56" s="532"/>
      <c r="I56" s="532"/>
      <c r="J56" s="532"/>
      <c r="K56" s="532"/>
      <c r="L56" s="532"/>
      <c r="M56" s="532"/>
      <c r="N56" s="532"/>
      <c r="O56" s="532"/>
      <c r="P56" s="532"/>
      <c r="Q56" s="532"/>
      <c r="R56" s="580"/>
      <c r="S56" s="581"/>
      <c r="T56" s="580" t="s">
        <v>129</v>
      </c>
      <c r="U56" s="562"/>
      <c r="V56" s="405"/>
    </row>
    <row r="57" spans="1:23" x14ac:dyDescent="0.3">
      <c r="A57" s="428"/>
      <c r="B57" s="532" t="s">
        <v>227</v>
      </c>
      <c r="C57" s="532"/>
      <c r="D57" s="532"/>
      <c r="E57" s="532"/>
      <c r="F57" s="532"/>
      <c r="G57" s="532"/>
      <c r="H57" s="532"/>
      <c r="I57" s="532"/>
      <c r="J57" s="532"/>
      <c r="K57" s="532"/>
      <c r="L57" s="532"/>
      <c r="M57" s="532"/>
      <c r="N57" s="532"/>
      <c r="O57" s="532"/>
      <c r="P57" s="532"/>
      <c r="Q57" s="532"/>
      <c r="R57" s="580"/>
      <c r="S57" s="581"/>
      <c r="T57" s="580" t="s">
        <v>169</v>
      </c>
      <c r="U57" s="562"/>
      <c r="V57" s="405"/>
      <c r="W57" s="429"/>
    </row>
    <row r="58" spans="1:23" x14ac:dyDescent="0.3">
      <c r="A58" s="428"/>
      <c r="B58" s="532" t="s">
        <v>17</v>
      </c>
      <c r="C58" s="532"/>
      <c r="D58" s="532"/>
      <c r="E58" s="532"/>
      <c r="F58" s="532"/>
      <c r="G58" s="532"/>
      <c r="H58" s="532"/>
      <c r="I58" s="532"/>
      <c r="J58" s="532"/>
      <c r="K58" s="532"/>
      <c r="L58" s="532"/>
      <c r="M58" s="532"/>
      <c r="N58" s="532"/>
      <c r="O58" s="532"/>
      <c r="P58" s="532"/>
      <c r="Q58" s="532"/>
      <c r="R58" s="580"/>
      <c r="S58" s="581"/>
      <c r="T58" s="580">
        <v>43586</v>
      </c>
      <c r="U58" s="562"/>
      <c r="V58" s="405"/>
    </row>
    <row r="59" spans="1:23" x14ac:dyDescent="0.3">
      <c r="A59" s="430"/>
      <c r="B59" s="431"/>
      <c r="C59" s="431"/>
      <c r="D59" s="431"/>
      <c r="E59" s="431"/>
      <c r="F59" s="431"/>
      <c r="G59" s="431"/>
      <c r="H59" s="431"/>
      <c r="I59" s="431"/>
      <c r="J59" s="431"/>
      <c r="K59" s="431"/>
      <c r="L59" s="431"/>
      <c r="M59" s="431"/>
      <c r="N59" s="431"/>
      <c r="O59" s="431"/>
      <c r="P59" s="431"/>
      <c r="Q59" s="431"/>
      <c r="R59" s="432"/>
      <c r="S59" s="433"/>
      <c r="T59" s="432"/>
      <c r="U59" s="431"/>
      <c r="V59" s="405"/>
    </row>
    <row r="60" spans="1:23" x14ac:dyDescent="0.3">
      <c r="A60" s="430"/>
      <c r="B60" s="434"/>
      <c r="C60" s="434"/>
      <c r="D60" s="434"/>
      <c r="E60" s="434"/>
      <c r="F60" s="434"/>
      <c r="G60" s="434"/>
      <c r="H60" s="434"/>
      <c r="I60" s="434"/>
      <c r="J60" s="434"/>
      <c r="K60" s="434"/>
      <c r="L60" s="434"/>
      <c r="M60" s="434"/>
      <c r="N60" s="434"/>
      <c r="O60" s="434"/>
      <c r="P60" s="434"/>
      <c r="Q60" s="434"/>
      <c r="R60" s="435"/>
      <c r="S60" s="436"/>
      <c r="T60" s="435"/>
      <c r="U60" s="434"/>
      <c r="V60" s="405"/>
    </row>
    <row r="61" spans="1:23" ht="18.600000000000001" thickBot="1" x14ac:dyDescent="0.4">
      <c r="A61" s="437"/>
      <c r="B61" s="565" t="s">
        <v>356</v>
      </c>
      <c r="C61" s="438"/>
      <c r="D61" s="438"/>
      <c r="E61" s="438"/>
      <c r="F61" s="438"/>
      <c r="G61" s="438"/>
      <c r="H61" s="438"/>
      <c r="I61" s="438"/>
      <c r="J61" s="438"/>
      <c r="K61" s="438"/>
      <c r="L61" s="438"/>
      <c r="M61" s="438"/>
      <c r="N61" s="438"/>
      <c r="O61" s="438"/>
      <c r="P61" s="438"/>
      <c r="Q61" s="438"/>
      <c r="R61" s="438"/>
      <c r="S61" s="438"/>
      <c r="T61" s="439"/>
      <c r="U61" s="440"/>
      <c r="V61" s="405"/>
    </row>
    <row r="62" spans="1:23" x14ac:dyDescent="0.3">
      <c r="A62" s="503"/>
      <c r="B62" s="505" t="s">
        <v>18</v>
      </c>
      <c r="C62" s="504"/>
      <c r="D62" s="504"/>
      <c r="E62" s="504"/>
      <c r="F62" s="504"/>
      <c r="G62" s="504"/>
      <c r="H62" s="504"/>
      <c r="I62" s="504"/>
      <c r="J62" s="504"/>
      <c r="K62" s="504"/>
      <c r="L62" s="504"/>
      <c r="M62" s="504"/>
      <c r="N62" s="504"/>
      <c r="O62" s="504"/>
      <c r="P62" s="504"/>
      <c r="Q62" s="504"/>
      <c r="R62" s="504"/>
      <c r="S62" s="504"/>
      <c r="T62" s="506"/>
      <c r="U62" s="504"/>
      <c r="V62" s="405"/>
    </row>
    <row r="63" spans="1:23" x14ac:dyDescent="0.3">
      <c r="A63" s="407"/>
      <c r="B63" s="415"/>
      <c r="C63" s="409"/>
      <c r="D63" s="409"/>
      <c r="E63" s="409"/>
      <c r="F63" s="409"/>
      <c r="G63" s="409"/>
      <c r="H63" s="409"/>
      <c r="I63" s="409"/>
      <c r="J63" s="409"/>
      <c r="K63" s="409"/>
      <c r="L63" s="409"/>
      <c r="M63" s="409"/>
      <c r="N63" s="409"/>
      <c r="O63" s="409"/>
      <c r="P63" s="409"/>
      <c r="Q63" s="409"/>
      <c r="R63" s="409"/>
      <c r="S63" s="409"/>
      <c r="T63" s="441"/>
      <c r="U63" s="409"/>
      <c r="V63" s="405"/>
    </row>
    <row r="64" spans="1:23" ht="46.8" x14ac:dyDescent="0.3">
      <c r="A64" s="407"/>
      <c r="B64" s="519" t="s">
        <v>19</v>
      </c>
      <c r="C64" s="520"/>
      <c r="D64" s="520"/>
      <c r="E64" s="520"/>
      <c r="F64" s="520"/>
      <c r="G64" s="520"/>
      <c r="H64" s="520"/>
      <c r="I64" s="520"/>
      <c r="J64" s="520" t="s">
        <v>100</v>
      </c>
      <c r="K64" s="520"/>
      <c r="L64" s="520" t="s">
        <v>102</v>
      </c>
      <c r="M64" s="520"/>
      <c r="N64" s="520" t="s">
        <v>104</v>
      </c>
      <c r="O64" s="520"/>
      <c r="P64" s="520" t="s">
        <v>106</v>
      </c>
      <c r="Q64" s="520"/>
      <c r="R64" s="520" t="s">
        <v>113</v>
      </c>
      <c r="S64" s="520"/>
      <c r="T64" s="521" t="s">
        <v>121</v>
      </c>
      <c r="U64" s="442"/>
      <c r="V64" s="405"/>
    </row>
    <row r="65" spans="1:22" x14ac:dyDescent="0.3">
      <c r="A65" s="418"/>
      <c r="B65" s="532" t="s">
        <v>20</v>
      </c>
      <c r="C65" s="531"/>
      <c r="D65" s="531"/>
      <c r="E65" s="531"/>
      <c r="F65" s="531"/>
      <c r="G65" s="531"/>
      <c r="H65" s="531"/>
      <c r="I65" s="531"/>
      <c r="J65" s="531">
        <v>699958</v>
      </c>
      <c r="K65" s="531"/>
      <c r="L65" s="535">
        <v>212551</v>
      </c>
      <c r="M65" s="531"/>
      <c r="N65" s="531">
        <v>3069</v>
      </c>
      <c r="O65" s="531"/>
      <c r="P65" s="531">
        <v>0</v>
      </c>
      <c r="Q65" s="531"/>
      <c r="R65" s="531">
        <v>0</v>
      </c>
      <c r="S65" s="531"/>
      <c r="T65" s="535">
        <f>+L65-N65+P65-R65</f>
        <v>209482</v>
      </c>
      <c r="U65" s="420"/>
      <c r="V65" s="405"/>
    </row>
    <row r="66" spans="1:22" x14ac:dyDescent="0.3">
      <c r="A66" s="418"/>
      <c r="B66" s="532" t="s">
        <v>21</v>
      </c>
      <c r="C66" s="531"/>
      <c r="D66" s="531"/>
      <c r="E66" s="531"/>
      <c r="F66" s="531"/>
      <c r="G66" s="531"/>
      <c r="H66" s="531"/>
      <c r="I66" s="531"/>
      <c r="J66" s="531">
        <v>42</v>
      </c>
      <c r="K66" s="531"/>
      <c r="L66" s="535">
        <v>0</v>
      </c>
      <c r="M66" s="531"/>
      <c r="N66" s="531">
        <v>0</v>
      </c>
      <c r="O66" s="531"/>
      <c r="P66" s="531">
        <v>0</v>
      </c>
      <c r="Q66" s="531"/>
      <c r="R66" s="531">
        <v>0</v>
      </c>
      <c r="S66" s="531"/>
      <c r="T66" s="535">
        <f>+L66-N66</f>
        <v>0</v>
      </c>
      <c r="U66" s="420"/>
      <c r="V66" s="405"/>
    </row>
    <row r="67" spans="1:22" x14ac:dyDescent="0.3">
      <c r="A67" s="418"/>
      <c r="B67" s="532"/>
      <c r="C67" s="531"/>
      <c r="D67" s="531"/>
      <c r="E67" s="531"/>
      <c r="F67" s="531"/>
      <c r="G67" s="531"/>
      <c r="H67" s="531"/>
      <c r="I67" s="531"/>
      <c r="J67" s="531"/>
      <c r="K67" s="531"/>
      <c r="L67" s="535"/>
      <c r="M67" s="531"/>
      <c r="N67" s="531"/>
      <c r="O67" s="531"/>
      <c r="P67" s="531"/>
      <c r="Q67" s="531"/>
      <c r="R67" s="531"/>
      <c r="S67" s="531"/>
      <c r="T67" s="535"/>
      <c r="U67" s="420"/>
      <c r="V67" s="405"/>
    </row>
    <row r="68" spans="1:22" x14ac:dyDescent="0.3">
      <c r="A68" s="418"/>
      <c r="B68" s="532" t="s">
        <v>22</v>
      </c>
      <c r="C68" s="531"/>
      <c r="D68" s="531"/>
      <c r="E68" s="531"/>
      <c r="F68" s="531"/>
      <c r="G68" s="531"/>
      <c r="H68" s="531"/>
      <c r="I68" s="531"/>
      <c r="J68" s="531">
        <f>SUM(J65:J67)</f>
        <v>700000</v>
      </c>
      <c r="K68" s="531"/>
      <c r="L68" s="531">
        <f>L65+L66</f>
        <v>212551</v>
      </c>
      <c r="M68" s="531"/>
      <c r="N68" s="531">
        <f>SUM(N65:N67)</f>
        <v>3069</v>
      </c>
      <c r="O68" s="531"/>
      <c r="P68" s="531">
        <f>SUM(P65:P67)</f>
        <v>0</v>
      </c>
      <c r="Q68" s="531"/>
      <c r="R68" s="531">
        <f>SUM(R65:R67)</f>
        <v>0</v>
      </c>
      <c r="S68" s="531"/>
      <c r="T68" s="531">
        <f>SUM(T65:T67)</f>
        <v>209482</v>
      </c>
      <c r="U68" s="420"/>
      <c r="V68" s="405"/>
    </row>
    <row r="69" spans="1:22" x14ac:dyDescent="0.3">
      <c r="A69" s="407"/>
      <c r="B69" s="539"/>
      <c r="C69" s="572"/>
      <c r="D69" s="572"/>
      <c r="E69" s="572"/>
      <c r="F69" s="572"/>
      <c r="G69" s="572"/>
      <c r="H69" s="572"/>
      <c r="I69" s="572"/>
      <c r="J69" s="572"/>
      <c r="K69" s="572"/>
      <c r="L69" s="572"/>
      <c r="M69" s="572"/>
      <c r="N69" s="572"/>
      <c r="O69" s="572"/>
      <c r="P69" s="572"/>
      <c r="Q69" s="572"/>
      <c r="R69" s="572"/>
      <c r="S69" s="572"/>
      <c r="T69" s="572"/>
      <c r="U69" s="444"/>
      <c r="V69" s="405"/>
    </row>
    <row r="70" spans="1:22" x14ac:dyDescent="0.3">
      <c r="A70" s="407"/>
      <c r="B70" s="545" t="s">
        <v>23</v>
      </c>
      <c r="C70" s="573"/>
      <c r="D70" s="573"/>
      <c r="E70" s="573"/>
      <c r="F70" s="573"/>
      <c r="G70" s="573"/>
      <c r="H70" s="573"/>
      <c r="I70" s="573"/>
      <c r="J70" s="573"/>
      <c r="K70" s="573"/>
      <c r="L70" s="573"/>
      <c r="M70" s="573"/>
      <c r="N70" s="573"/>
      <c r="O70" s="573"/>
      <c r="P70" s="573"/>
      <c r="Q70" s="573"/>
      <c r="R70" s="573"/>
      <c r="S70" s="573"/>
      <c r="T70" s="573"/>
      <c r="U70" s="409"/>
      <c r="V70" s="405"/>
    </row>
    <row r="71" spans="1:22" x14ac:dyDescent="0.3">
      <c r="A71" s="407"/>
      <c r="B71" s="542"/>
      <c r="C71" s="573"/>
      <c r="D71" s="573"/>
      <c r="E71" s="573"/>
      <c r="F71" s="573"/>
      <c r="G71" s="573"/>
      <c r="H71" s="573"/>
      <c r="I71" s="573"/>
      <c r="J71" s="573"/>
      <c r="K71" s="573"/>
      <c r="L71" s="573"/>
      <c r="M71" s="573"/>
      <c r="N71" s="573"/>
      <c r="O71" s="573"/>
      <c r="P71" s="573"/>
      <c r="Q71" s="573"/>
      <c r="R71" s="573"/>
      <c r="S71" s="573"/>
      <c r="T71" s="573"/>
      <c r="U71" s="409"/>
      <c r="V71" s="405"/>
    </row>
    <row r="72" spans="1:22" x14ac:dyDescent="0.3">
      <c r="A72" s="418"/>
      <c r="B72" s="532" t="s">
        <v>20</v>
      </c>
      <c r="C72" s="531"/>
      <c r="D72" s="531"/>
      <c r="E72" s="531"/>
      <c r="F72" s="531"/>
      <c r="G72" s="531"/>
      <c r="H72" s="531"/>
      <c r="I72" s="531"/>
      <c r="J72" s="531"/>
      <c r="K72" s="531"/>
      <c r="L72" s="531"/>
      <c r="M72" s="531"/>
      <c r="N72" s="531"/>
      <c r="O72" s="531"/>
      <c r="P72" s="531"/>
      <c r="Q72" s="531"/>
      <c r="R72" s="531"/>
      <c r="S72" s="531"/>
      <c r="T72" s="531"/>
      <c r="U72" s="420"/>
      <c r="V72" s="405"/>
    </row>
    <row r="73" spans="1:22" x14ac:dyDescent="0.3">
      <c r="A73" s="418"/>
      <c r="B73" s="532" t="s">
        <v>21</v>
      </c>
      <c r="C73" s="531"/>
      <c r="D73" s="531"/>
      <c r="E73" s="531"/>
      <c r="F73" s="531"/>
      <c r="G73" s="531"/>
      <c r="H73" s="531"/>
      <c r="I73" s="531"/>
      <c r="J73" s="531"/>
      <c r="K73" s="531"/>
      <c r="L73" s="531"/>
      <c r="M73" s="531"/>
      <c r="N73" s="531"/>
      <c r="O73" s="531"/>
      <c r="P73" s="531"/>
      <c r="Q73" s="531"/>
      <c r="R73" s="531"/>
      <c r="S73" s="531"/>
      <c r="T73" s="531"/>
      <c r="U73" s="420"/>
      <c r="V73" s="405"/>
    </row>
    <row r="74" spans="1:22" x14ac:dyDescent="0.3">
      <c r="A74" s="418"/>
      <c r="B74" s="532"/>
      <c r="C74" s="531"/>
      <c r="D74" s="531"/>
      <c r="E74" s="531"/>
      <c r="F74" s="531"/>
      <c r="G74" s="531"/>
      <c r="H74" s="531"/>
      <c r="I74" s="531"/>
      <c r="J74" s="531"/>
      <c r="K74" s="531"/>
      <c r="L74" s="531"/>
      <c r="M74" s="531"/>
      <c r="N74" s="531"/>
      <c r="O74" s="531"/>
      <c r="P74" s="531"/>
      <c r="Q74" s="531"/>
      <c r="R74" s="531"/>
      <c r="S74" s="531"/>
      <c r="T74" s="531"/>
      <c r="U74" s="420"/>
      <c r="V74" s="405"/>
    </row>
    <row r="75" spans="1:22" x14ac:dyDescent="0.3">
      <c r="A75" s="418"/>
      <c r="B75" s="532" t="s">
        <v>22</v>
      </c>
      <c r="C75" s="531"/>
      <c r="D75" s="531"/>
      <c r="E75" s="531"/>
      <c r="F75" s="531"/>
      <c r="G75" s="531"/>
      <c r="H75" s="531"/>
      <c r="I75" s="531"/>
      <c r="J75" s="531"/>
      <c r="K75" s="531"/>
      <c r="L75" s="531"/>
      <c r="M75" s="531"/>
      <c r="N75" s="531"/>
      <c r="O75" s="531"/>
      <c r="P75" s="531"/>
      <c r="Q75" s="531"/>
      <c r="R75" s="531"/>
      <c r="S75" s="531"/>
      <c r="T75" s="531"/>
      <c r="U75" s="420"/>
      <c r="V75" s="405"/>
    </row>
    <row r="76" spans="1:22" x14ac:dyDescent="0.3">
      <c r="A76" s="418"/>
      <c r="B76" s="532"/>
      <c r="C76" s="531"/>
      <c r="D76" s="531"/>
      <c r="E76" s="531"/>
      <c r="F76" s="531"/>
      <c r="G76" s="531"/>
      <c r="H76" s="531"/>
      <c r="I76" s="531"/>
      <c r="J76" s="531"/>
      <c r="K76" s="531"/>
      <c r="L76" s="531"/>
      <c r="M76" s="531"/>
      <c r="N76" s="531"/>
      <c r="O76" s="531"/>
      <c r="P76" s="531"/>
      <c r="Q76" s="531"/>
      <c r="R76" s="531"/>
      <c r="S76" s="531"/>
      <c r="T76" s="531"/>
      <c r="U76" s="420"/>
      <c r="V76" s="405"/>
    </row>
    <row r="77" spans="1:22" x14ac:dyDescent="0.3">
      <c r="A77" s="418"/>
      <c r="B77" s="532" t="s">
        <v>24</v>
      </c>
      <c r="C77" s="531"/>
      <c r="D77" s="531"/>
      <c r="E77" s="531"/>
      <c r="F77" s="531"/>
      <c r="G77" s="531"/>
      <c r="H77" s="531"/>
      <c r="I77" s="531"/>
      <c r="J77" s="531">
        <v>0</v>
      </c>
      <c r="K77" s="531"/>
      <c r="L77" s="531">
        <v>0</v>
      </c>
      <c r="M77" s="531"/>
      <c r="N77" s="531"/>
      <c r="O77" s="531"/>
      <c r="P77" s="531"/>
      <c r="Q77" s="531"/>
      <c r="R77" s="531"/>
      <c r="S77" s="531"/>
      <c r="T77" s="535">
        <v>0</v>
      </c>
      <c r="U77" s="420"/>
      <c r="V77" s="405"/>
    </row>
    <row r="78" spans="1:22" x14ac:dyDescent="0.3">
      <c r="A78" s="418"/>
      <c r="B78" s="532" t="s">
        <v>126</v>
      </c>
      <c r="C78" s="531"/>
      <c r="D78" s="531"/>
      <c r="E78" s="531"/>
      <c r="F78" s="531"/>
      <c r="G78" s="531"/>
      <c r="H78" s="531"/>
      <c r="I78" s="531"/>
      <c r="J78" s="531">
        <v>0</v>
      </c>
      <c r="K78" s="531"/>
      <c r="L78" s="531">
        <v>0</v>
      </c>
      <c r="M78" s="531"/>
      <c r="N78" s="531"/>
      <c r="O78" s="531"/>
      <c r="P78" s="531"/>
      <c r="Q78" s="531"/>
      <c r="R78" s="531"/>
      <c r="S78" s="531"/>
      <c r="T78" s="531">
        <f>SUM(J78:P78)</f>
        <v>0</v>
      </c>
      <c r="U78" s="420"/>
      <c r="V78" s="405"/>
    </row>
    <row r="79" spans="1:22" x14ac:dyDescent="0.3">
      <c r="A79" s="418"/>
      <c r="B79" s="532" t="s">
        <v>157</v>
      </c>
      <c r="C79" s="531"/>
      <c r="D79" s="531"/>
      <c r="E79" s="531"/>
      <c r="F79" s="531"/>
      <c r="G79" s="531"/>
      <c r="H79" s="531"/>
      <c r="I79" s="531"/>
      <c r="J79" s="531">
        <v>0</v>
      </c>
      <c r="K79" s="531"/>
      <c r="L79" s="531">
        <v>0</v>
      </c>
      <c r="M79" s="531"/>
      <c r="N79" s="531"/>
      <c r="O79" s="531"/>
      <c r="P79" s="531"/>
      <c r="Q79" s="531"/>
      <c r="R79" s="531"/>
      <c r="S79" s="531"/>
      <c r="T79" s="531">
        <v>0</v>
      </c>
      <c r="U79" s="420"/>
      <c r="V79" s="405"/>
    </row>
    <row r="80" spans="1:22" x14ac:dyDescent="0.3">
      <c r="A80" s="418"/>
      <c r="B80" s="532" t="s">
        <v>26</v>
      </c>
      <c r="C80" s="531"/>
      <c r="D80" s="531"/>
      <c r="E80" s="531"/>
      <c r="F80" s="531"/>
      <c r="G80" s="531"/>
      <c r="H80" s="531"/>
      <c r="I80" s="531"/>
      <c r="J80" s="531">
        <v>0</v>
      </c>
      <c r="K80" s="531"/>
      <c r="L80" s="531">
        <v>0</v>
      </c>
      <c r="M80" s="531"/>
      <c r="N80" s="531"/>
      <c r="O80" s="531"/>
      <c r="P80" s="531"/>
      <c r="Q80" s="531"/>
      <c r="R80" s="531"/>
      <c r="S80" s="531"/>
      <c r="T80" s="531">
        <v>0</v>
      </c>
      <c r="U80" s="420"/>
      <c r="V80" s="405"/>
    </row>
    <row r="81" spans="1:22" x14ac:dyDescent="0.3">
      <c r="A81" s="418"/>
      <c r="B81" s="532" t="s">
        <v>27</v>
      </c>
      <c r="C81" s="531"/>
      <c r="D81" s="531"/>
      <c r="E81" s="531"/>
      <c r="F81" s="531"/>
      <c r="G81" s="531"/>
      <c r="H81" s="531"/>
      <c r="I81" s="531"/>
      <c r="J81" s="531">
        <f>SUM(J68:J80)</f>
        <v>700000</v>
      </c>
      <c r="K81" s="531"/>
      <c r="L81" s="531">
        <f>SUM(L68:L80)</f>
        <v>212551</v>
      </c>
      <c r="M81" s="531"/>
      <c r="N81" s="531"/>
      <c r="O81" s="531"/>
      <c r="P81" s="531"/>
      <c r="Q81" s="531"/>
      <c r="R81" s="531"/>
      <c r="S81" s="531"/>
      <c r="T81" s="531">
        <f>SUM(T68:T80)</f>
        <v>209482</v>
      </c>
      <c r="U81" s="420"/>
      <c r="V81" s="405"/>
    </row>
    <row r="82" spans="1:22" x14ac:dyDescent="0.3">
      <c r="A82" s="407"/>
      <c r="B82" s="444"/>
      <c r="C82" s="445"/>
      <c r="D82" s="445"/>
      <c r="E82" s="445"/>
      <c r="F82" s="445"/>
      <c r="G82" s="445"/>
      <c r="H82" s="445"/>
      <c r="I82" s="445"/>
      <c r="J82" s="445"/>
      <c r="K82" s="445"/>
      <c r="L82" s="445"/>
      <c r="M82" s="445"/>
      <c r="N82" s="445"/>
      <c r="O82" s="445"/>
      <c r="P82" s="445"/>
      <c r="Q82" s="445"/>
      <c r="R82" s="445"/>
      <c r="S82" s="445"/>
      <c r="T82" s="446"/>
      <c r="U82" s="444"/>
      <c r="V82" s="405"/>
    </row>
    <row r="83" spans="1:22" x14ac:dyDescent="0.3">
      <c r="A83" s="407"/>
      <c r="B83" s="409"/>
      <c r="C83" s="409"/>
      <c r="D83" s="409"/>
      <c r="E83" s="409"/>
      <c r="F83" s="409"/>
      <c r="G83" s="409"/>
      <c r="H83" s="409"/>
      <c r="I83" s="409"/>
      <c r="J83" s="409"/>
      <c r="K83" s="409"/>
      <c r="L83" s="409"/>
      <c r="M83" s="409"/>
      <c r="N83" s="409"/>
      <c r="O83" s="409"/>
      <c r="P83" s="409"/>
      <c r="Q83" s="409"/>
      <c r="R83" s="409"/>
      <c r="S83" s="409"/>
      <c r="T83" s="409"/>
      <c r="U83" s="409"/>
      <c r="V83" s="405"/>
    </row>
    <row r="84" spans="1:22" x14ac:dyDescent="0.3">
      <c r="A84" s="503"/>
      <c r="B84" s="612" t="s">
        <v>28</v>
      </c>
      <c r="C84" s="612"/>
      <c r="D84" s="612"/>
      <c r="E84" s="612"/>
      <c r="F84" s="612"/>
      <c r="G84" s="612"/>
      <c r="H84" s="613"/>
      <c r="I84" s="613"/>
      <c r="J84" s="614" t="s">
        <v>101</v>
      </c>
      <c r="K84" s="613"/>
      <c r="L84" s="615">
        <f>+R196</f>
        <v>43585</v>
      </c>
      <c r="M84" s="613"/>
      <c r="N84" s="613"/>
      <c r="O84" s="613"/>
      <c r="P84" s="613"/>
      <c r="Q84" s="613"/>
      <c r="R84" s="613" t="s">
        <v>114</v>
      </c>
      <c r="S84" s="613"/>
      <c r="T84" s="613" t="s">
        <v>122</v>
      </c>
      <c r="U84" s="611"/>
      <c r="V84" s="405"/>
    </row>
    <row r="85" spans="1:22" x14ac:dyDescent="0.3">
      <c r="A85" s="430"/>
      <c r="B85" s="539" t="s">
        <v>29</v>
      </c>
      <c r="C85" s="539"/>
      <c r="D85" s="539"/>
      <c r="E85" s="539"/>
      <c r="F85" s="539"/>
      <c r="G85" s="539"/>
      <c r="H85" s="539"/>
      <c r="I85" s="539"/>
      <c r="J85" s="539"/>
      <c r="K85" s="539"/>
      <c r="L85" s="539"/>
      <c r="M85" s="539"/>
      <c r="N85" s="539"/>
      <c r="O85" s="539"/>
      <c r="P85" s="539"/>
      <c r="Q85" s="539"/>
      <c r="R85" s="572">
        <v>0</v>
      </c>
      <c r="S85" s="539"/>
      <c r="T85" s="541">
        <v>0</v>
      </c>
      <c r="U85" s="539"/>
      <c r="V85" s="405"/>
    </row>
    <row r="86" spans="1:22" x14ac:dyDescent="0.3">
      <c r="A86" s="428"/>
      <c r="B86" s="532" t="s">
        <v>30</v>
      </c>
      <c r="C86" s="532"/>
      <c r="D86" s="532"/>
      <c r="E86" s="532"/>
      <c r="F86" s="532"/>
      <c r="G86" s="532"/>
      <c r="H86" s="550"/>
      <c r="I86" s="570"/>
      <c r="J86" s="550"/>
      <c r="K86" s="532"/>
      <c r="L86" s="571"/>
      <c r="M86" s="532"/>
      <c r="N86" s="532"/>
      <c r="O86" s="532"/>
      <c r="P86" s="532"/>
      <c r="Q86" s="532"/>
      <c r="R86" s="531">
        <f>3069+1</f>
        <v>3070</v>
      </c>
      <c r="S86" s="532"/>
      <c r="T86" s="535"/>
      <c r="U86" s="562"/>
      <c r="V86" s="405"/>
    </row>
    <row r="87" spans="1:22" x14ac:dyDescent="0.3">
      <c r="A87" s="428"/>
      <c r="B87" s="532" t="s">
        <v>254</v>
      </c>
      <c r="C87" s="532"/>
      <c r="D87" s="532"/>
      <c r="E87" s="532"/>
      <c r="F87" s="532"/>
      <c r="G87" s="532"/>
      <c r="H87" s="550"/>
      <c r="I87" s="570"/>
      <c r="J87" s="550"/>
      <c r="K87" s="532"/>
      <c r="L87" s="571"/>
      <c r="M87" s="532"/>
      <c r="N87" s="532"/>
      <c r="O87" s="532"/>
      <c r="P87" s="532"/>
      <c r="Q87" s="532"/>
      <c r="R87" s="531"/>
      <c r="S87" s="532"/>
      <c r="T87" s="535">
        <f>1475+603-439-241</f>
        <v>1398</v>
      </c>
      <c r="U87" s="562"/>
      <c r="V87" s="405"/>
    </row>
    <row r="88" spans="1:22" x14ac:dyDescent="0.3">
      <c r="A88" s="428"/>
      <c r="B88" s="532" t="s">
        <v>255</v>
      </c>
      <c r="C88" s="532"/>
      <c r="D88" s="532"/>
      <c r="E88" s="532"/>
      <c r="F88" s="532"/>
      <c r="G88" s="532"/>
      <c r="H88" s="550"/>
      <c r="I88" s="570"/>
      <c r="J88" s="550"/>
      <c r="K88" s="532"/>
      <c r="L88" s="571"/>
      <c r="M88" s="532"/>
      <c r="N88" s="532"/>
      <c r="O88" s="532"/>
      <c r="P88" s="532"/>
      <c r="Q88" s="532"/>
      <c r="R88" s="531"/>
      <c r="S88" s="532"/>
      <c r="T88" s="535">
        <f>20+4</f>
        <v>24</v>
      </c>
      <c r="U88" s="562"/>
      <c r="V88" s="405"/>
    </row>
    <row r="89" spans="1:22" x14ac:dyDescent="0.3">
      <c r="A89" s="428"/>
      <c r="B89" s="532" t="s">
        <v>256</v>
      </c>
      <c r="C89" s="532"/>
      <c r="D89" s="532"/>
      <c r="E89" s="532"/>
      <c r="F89" s="532"/>
      <c r="G89" s="532"/>
      <c r="H89" s="550"/>
      <c r="I89" s="570"/>
      <c r="J89" s="550"/>
      <c r="K89" s="532"/>
      <c r="L89" s="571"/>
      <c r="M89" s="532"/>
      <c r="N89" s="532"/>
      <c r="O89" s="532"/>
      <c r="P89" s="532"/>
      <c r="Q89" s="532"/>
      <c r="R89" s="531"/>
      <c r="S89" s="532"/>
      <c r="T89" s="535">
        <v>30</v>
      </c>
      <c r="U89" s="562"/>
      <c r="V89" s="405"/>
    </row>
    <row r="90" spans="1:22" x14ac:dyDescent="0.3">
      <c r="A90" s="428"/>
      <c r="B90" s="532" t="s">
        <v>270</v>
      </c>
      <c r="C90" s="532"/>
      <c r="D90" s="532"/>
      <c r="E90" s="532"/>
      <c r="F90" s="532"/>
      <c r="G90" s="532"/>
      <c r="H90" s="550"/>
      <c r="I90" s="570"/>
      <c r="J90" s="550"/>
      <c r="K90" s="532"/>
      <c r="L90" s="571"/>
      <c r="M90" s="532"/>
      <c r="N90" s="532"/>
      <c r="O90" s="532"/>
      <c r="P90" s="532"/>
      <c r="Q90" s="532"/>
      <c r="R90" s="531"/>
      <c r="S90" s="532"/>
      <c r="T90" s="535">
        <v>0</v>
      </c>
      <c r="U90" s="562"/>
      <c r="V90" s="405"/>
    </row>
    <row r="91" spans="1:22" x14ac:dyDescent="0.3">
      <c r="A91" s="428"/>
      <c r="B91" s="532" t="s">
        <v>144</v>
      </c>
      <c r="C91" s="532"/>
      <c r="D91" s="532"/>
      <c r="E91" s="532"/>
      <c r="F91" s="532"/>
      <c r="G91" s="532"/>
      <c r="H91" s="532"/>
      <c r="I91" s="532"/>
      <c r="J91" s="532"/>
      <c r="K91" s="532"/>
      <c r="L91" s="532"/>
      <c r="M91" s="532"/>
      <c r="N91" s="532"/>
      <c r="O91" s="532"/>
      <c r="P91" s="532"/>
      <c r="Q91" s="532"/>
      <c r="R91" s="531"/>
      <c r="S91" s="532"/>
      <c r="T91" s="535">
        <v>0</v>
      </c>
      <c r="U91" s="562"/>
      <c r="V91" s="405"/>
    </row>
    <row r="92" spans="1:22" x14ac:dyDescent="0.3">
      <c r="A92" s="428"/>
      <c r="B92" s="532" t="s">
        <v>233</v>
      </c>
      <c r="C92" s="532"/>
      <c r="D92" s="532"/>
      <c r="E92" s="532"/>
      <c r="F92" s="532"/>
      <c r="G92" s="532"/>
      <c r="H92" s="532"/>
      <c r="I92" s="532"/>
      <c r="J92" s="532"/>
      <c r="K92" s="532"/>
      <c r="L92" s="532"/>
      <c r="M92" s="532"/>
      <c r="N92" s="532"/>
      <c r="O92" s="532"/>
      <c r="P92" s="532"/>
      <c r="Q92" s="532"/>
      <c r="R92" s="531"/>
      <c r="S92" s="532"/>
      <c r="T92" s="535">
        <v>40</v>
      </c>
      <c r="U92" s="562"/>
      <c r="V92" s="405"/>
    </row>
    <row r="93" spans="1:22" x14ac:dyDescent="0.3">
      <c r="A93" s="428"/>
      <c r="B93" s="532" t="s">
        <v>32</v>
      </c>
      <c r="C93" s="532"/>
      <c r="D93" s="532"/>
      <c r="E93" s="532"/>
      <c r="F93" s="532"/>
      <c r="G93" s="532"/>
      <c r="H93" s="532"/>
      <c r="I93" s="532"/>
      <c r="J93" s="532"/>
      <c r="K93" s="532"/>
      <c r="L93" s="532"/>
      <c r="M93" s="532"/>
      <c r="N93" s="532"/>
      <c r="O93" s="532"/>
      <c r="P93" s="532"/>
      <c r="Q93" s="532"/>
      <c r="R93" s="531">
        <f>SUM(R85:R92)</f>
        <v>3070</v>
      </c>
      <c r="S93" s="532"/>
      <c r="T93" s="531">
        <f>SUM(T85:T92)</f>
        <v>1492</v>
      </c>
      <c r="U93" s="562"/>
      <c r="V93" s="405"/>
    </row>
    <row r="94" spans="1:22" x14ac:dyDescent="0.3">
      <c r="A94" s="428"/>
      <c r="B94" s="532" t="s">
        <v>176</v>
      </c>
      <c r="C94" s="532"/>
      <c r="D94" s="532"/>
      <c r="E94" s="532"/>
      <c r="F94" s="532"/>
      <c r="G94" s="532"/>
      <c r="H94" s="532"/>
      <c r="I94" s="532"/>
      <c r="J94" s="532"/>
      <c r="K94" s="532"/>
      <c r="L94" s="532"/>
      <c r="M94" s="532"/>
      <c r="N94" s="532"/>
      <c r="O94" s="532"/>
      <c r="P94" s="532"/>
      <c r="Q94" s="532"/>
      <c r="R94" s="531">
        <v>0</v>
      </c>
      <c r="S94" s="532"/>
      <c r="T94" s="531">
        <f>-R94</f>
        <v>0</v>
      </c>
      <c r="U94" s="562"/>
      <c r="V94" s="405"/>
    </row>
    <row r="95" spans="1:22" x14ac:dyDescent="0.3">
      <c r="A95" s="428"/>
      <c r="B95" s="532" t="s">
        <v>33</v>
      </c>
      <c r="C95" s="532"/>
      <c r="D95" s="532"/>
      <c r="E95" s="532"/>
      <c r="F95" s="532"/>
      <c r="G95" s="532"/>
      <c r="H95" s="532"/>
      <c r="I95" s="532"/>
      <c r="J95" s="532"/>
      <c r="K95" s="532"/>
      <c r="L95" s="532"/>
      <c r="M95" s="532"/>
      <c r="N95" s="532"/>
      <c r="O95" s="532"/>
      <c r="P95" s="532"/>
      <c r="Q95" s="532"/>
      <c r="R95" s="531">
        <f>-T95</f>
        <v>0</v>
      </c>
      <c r="S95" s="532"/>
      <c r="T95" s="535">
        <v>0</v>
      </c>
      <c r="U95" s="562"/>
      <c r="V95" s="405"/>
    </row>
    <row r="96" spans="1:22" x14ac:dyDescent="0.3">
      <c r="A96" s="428"/>
      <c r="B96" s="532" t="s">
        <v>278</v>
      </c>
      <c r="C96" s="532"/>
      <c r="D96" s="532"/>
      <c r="E96" s="532"/>
      <c r="F96" s="532"/>
      <c r="G96" s="532"/>
      <c r="H96" s="532"/>
      <c r="I96" s="532"/>
      <c r="J96" s="532"/>
      <c r="K96" s="532"/>
      <c r="L96" s="532"/>
      <c r="M96" s="532"/>
      <c r="N96" s="532"/>
      <c r="O96" s="532"/>
      <c r="P96" s="532"/>
      <c r="Q96" s="532"/>
      <c r="R96" s="531"/>
      <c r="S96" s="532"/>
      <c r="T96" s="535">
        <v>1</v>
      </c>
      <c r="U96" s="562"/>
      <c r="V96" s="405"/>
    </row>
    <row r="97" spans="1:23" x14ac:dyDescent="0.3">
      <c r="A97" s="428"/>
      <c r="B97" s="532" t="s">
        <v>34</v>
      </c>
      <c r="C97" s="532"/>
      <c r="D97" s="532"/>
      <c r="E97" s="532"/>
      <c r="F97" s="532"/>
      <c r="G97" s="532"/>
      <c r="H97" s="532"/>
      <c r="I97" s="532"/>
      <c r="J97" s="532"/>
      <c r="K97" s="532"/>
      <c r="L97" s="532"/>
      <c r="M97" s="532"/>
      <c r="N97" s="532"/>
      <c r="O97" s="532"/>
      <c r="P97" s="532"/>
      <c r="Q97" s="532"/>
      <c r="R97" s="531">
        <f>R93+R95+R94</f>
        <v>3070</v>
      </c>
      <c r="S97" s="532"/>
      <c r="T97" s="531">
        <f>T93+T95+T94+T96</f>
        <v>1493</v>
      </c>
      <c r="U97" s="562"/>
      <c r="V97" s="405"/>
      <c r="W97" s="447"/>
    </row>
    <row r="98" spans="1:23" x14ac:dyDescent="0.3">
      <c r="A98" s="418"/>
      <c r="B98" s="522" t="s">
        <v>35</v>
      </c>
      <c r="C98" s="448"/>
      <c r="D98" s="448"/>
      <c r="E98" s="448"/>
      <c r="F98" s="448"/>
      <c r="G98" s="448"/>
      <c r="H98" s="448"/>
      <c r="I98" s="448"/>
      <c r="J98" s="448"/>
      <c r="K98" s="448"/>
      <c r="L98" s="448"/>
      <c r="M98" s="448"/>
      <c r="N98" s="448"/>
      <c r="O98" s="448"/>
      <c r="P98" s="448"/>
      <c r="Q98" s="448"/>
      <c r="R98" s="449"/>
      <c r="S98" s="448"/>
      <c r="T98" s="450"/>
      <c r="U98" s="451"/>
      <c r="V98" s="405"/>
    </row>
    <row r="99" spans="1:23" x14ac:dyDescent="0.3">
      <c r="A99" s="569">
        <v>1</v>
      </c>
      <c r="B99" s="532" t="s">
        <v>36</v>
      </c>
      <c r="C99" s="532"/>
      <c r="D99" s="532"/>
      <c r="E99" s="532"/>
      <c r="F99" s="532"/>
      <c r="G99" s="532"/>
      <c r="H99" s="532"/>
      <c r="I99" s="532"/>
      <c r="J99" s="532"/>
      <c r="K99" s="532"/>
      <c r="L99" s="532"/>
      <c r="M99" s="532"/>
      <c r="N99" s="532"/>
      <c r="O99" s="532"/>
      <c r="P99" s="532"/>
      <c r="Q99" s="532"/>
      <c r="R99" s="532"/>
      <c r="S99" s="532"/>
      <c r="T99" s="535">
        <v>0</v>
      </c>
      <c r="U99" s="451"/>
      <c r="V99" s="405"/>
    </row>
    <row r="100" spans="1:23" x14ac:dyDescent="0.3">
      <c r="A100" s="569">
        <f>+A99+1</f>
        <v>2</v>
      </c>
      <c r="B100" s="532" t="s">
        <v>317</v>
      </c>
      <c r="C100" s="532"/>
      <c r="D100" s="532"/>
      <c r="E100" s="532"/>
      <c r="F100" s="532"/>
      <c r="G100" s="532"/>
      <c r="H100" s="532"/>
      <c r="I100" s="532"/>
      <c r="J100" s="532"/>
      <c r="K100" s="532"/>
      <c r="L100" s="532"/>
      <c r="M100" s="532"/>
      <c r="N100" s="532"/>
      <c r="O100" s="532"/>
      <c r="P100" s="532"/>
      <c r="Q100" s="532"/>
      <c r="R100" s="532"/>
      <c r="S100" s="532"/>
      <c r="T100" s="535">
        <v>-2</v>
      </c>
      <c r="U100" s="451"/>
      <c r="V100" s="405"/>
    </row>
    <row r="101" spans="1:23" x14ac:dyDescent="0.3">
      <c r="A101" s="569">
        <f>+A100+1</f>
        <v>3</v>
      </c>
      <c r="B101" s="532" t="s">
        <v>319</v>
      </c>
      <c r="C101" s="532"/>
      <c r="D101" s="532"/>
      <c r="E101" s="532"/>
      <c r="F101" s="532"/>
      <c r="G101" s="532"/>
      <c r="H101" s="532"/>
      <c r="I101" s="532"/>
      <c r="J101" s="532"/>
      <c r="K101" s="532"/>
      <c r="L101" s="532"/>
      <c r="M101" s="532"/>
      <c r="N101" s="532"/>
      <c r="O101" s="532"/>
      <c r="P101" s="532"/>
      <c r="Q101" s="532"/>
      <c r="R101" s="532"/>
      <c r="S101" s="532"/>
      <c r="T101" s="535">
        <f>-80-35-3</f>
        <v>-118</v>
      </c>
      <c r="U101" s="451"/>
      <c r="V101" s="405"/>
    </row>
    <row r="102" spans="1:23" x14ac:dyDescent="0.3">
      <c r="A102" s="569" t="s">
        <v>136</v>
      </c>
      <c r="B102" s="532" t="s">
        <v>125</v>
      </c>
      <c r="C102" s="532"/>
      <c r="D102" s="532"/>
      <c r="E102" s="532"/>
      <c r="F102" s="532"/>
      <c r="G102" s="532"/>
      <c r="H102" s="532"/>
      <c r="I102" s="532"/>
      <c r="J102" s="532"/>
      <c r="K102" s="532"/>
      <c r="L102" s="532"/>
      <c r="M102" s="532"/>
      <c r="N102" s="532"/>
      <c r="O102" s="532"/>
      <c r="P102" s="532"/>
      <c r="Q102" s="532"/>
      <c r="R102" s="532"/>
      <c r="S102" s="532"/>
      <c r="T102" s="535">
        <v>0</v>
      </c>
      <c r="U102" s="451"/>
      <c r="V102" s="405"/>
    </row>
    <row r="103" spans="1:23" x14ac:dyDescent="0.3">
      <c r="A103" s="569" t="s">
        <v>137</v>
      </c>
      <c r="B103" s="532" t="s">
        <v>267</v>
      </c>
      <c r="C103" s="532"/>
      <c r="D103" s="532"/>
      <c r="E103" s="532"/>
      <c r="F103" s="532"/>
      <c r="G103" s="532"/>
      <c r="H103" s="532"/>
      <c r="I103" s="532"/>
      <c r="J103" s="532"/>
      <c r="K103" s="532"/>
      <c r="L103" s="532"/>
      <c r="M103" s="532"/>
      <c r="N103" s="532"/>
      <c r="O103" s="532"/>
      <c r="P103" s="532"/>
      <c r="Q103" s="532"/>
      <c r="R103" s="532"/>
      <c r="S103" s="532"/>
      <c r="T103" s="535">
        <v>0</v>
      </c>
      <c r="U103" s="451"/>
      <c r="V103" s="405"/>
    </row>
    <row r="104" spans="1:23" x14ac:dyDescent="0.3">
      <c r="A104" s="569" t="s">
        <v>162</v>
      </c>
      <c r="B104" s="532" t="s">
        <v>218</v>
      </c>
      <c r="C104" s="532"/>
      <c r="D104" s="532"/>
      <c r="E104" s="532"/>
      <c r="F104" s="532"/>
      <c r="G104" s="532"/>
      <c r="H104" s="532"/>
      <c r="I104" s="532"/>
      <c r="J104" s="532"/>
      <c r="K104" s="532"/>
      <c r="L104" s="532"/>
      <c r="M104" s="532"/>
      <c r="N104" s="532"/>
      <c r="O104" s="532"/>
      <c r="P104" s="532"/>
      <c r="Q104" s="532"/>
      <c r="R104" s="532"/>
      <c r="S104" s="532"/>
      <c r="T104" s="535">
        <v>-277</v>
      </c>
      <c r="U104" s="451"/>
      <c r="V104" s="405"/>
      <c r="W104" s="452"/>
    </row>
    <row r="105" spans="1:23" x14ac:dyDescent="0.3">
      <c r="A105" s="569" t="s">
        <v>163</v>
      </c>
      <c r="B105" s="532" t="s">
        <v>219</v>
      </c>
      <c r="C105" s="532"/>
      <c r="D105" s="532"/>
      <c r="E105" s="532"/>
      <c r="F105" s="532"/>
      <c r="G105" s="532"/>
      <c r="H105" s="532"/>
      <c r="I105" s="532"/>
      <c r="J105" s="532"/>
      <c r="K105" s="532"/>
      <c r="L105" s="532"/>
      <c r="M105" s="532"/>
      <c r="N105" s="532"/>
      <c r="O105" s="532"/>
      <c r="P105" s="532"/>
      <c r="Q105" s="532"/>
      <c r="R105" s="532"/>
      <c r="S105" s="532"/>
      <c r="T105" s="535">
        <v>-199</v>
      </c>
      <c r="U105" s="451"/>
      <c r="V105" s="405"/>
      <c r="W105" s="452"/>
    </row>
    <row r="106" spans="1:23" x14ac:dyDescent="0.3">
      <c r="A106" s="569" t="s">
        <v>252</v>
      </c>
      <c r="B106" s="532" t="s">
        <v>242</v>
      </c>
      <c r="C106" s="532"/>
      <c r="D106" s="532"/>
      <c r="E106" s="532"/>
      <c r="F106" s="532"/>
      <c r="G106" s="532"/>
      <c r="H106" s="532"/>
      <c r="I106" s="532"/>
      <c r="J106" s="532"/>
      <c r="K106" s="532"/>
      <c r="L106" s="532"/>
      <c r="M106" s="532"/>
      <c r="N106" s="532"/>
      <c r="O106" s="532"/>
      <c r="P106" s="532"/>
      <c r="Q106" s="532"/>
      <c r="R106" s="532"/>
      <c r="S106" s="532"/>
      <c r="T106" s="535">
        <v>-28</v>
      </c>
      <c r="U106" s="451"/>
      <c r="V106" s="453"/>
      <c r="W106" s="452"/>
    </row>
    <row r="107" spans="1:23" x14ac:dyDescent="0.3">
      <c r="A107" s="569" t="s">
        <v>245</v>
      </c>
      <c r="B107" s="532" t="s">
        <v>220</v>
      </c>
      <c r="C107" s="532"/>
      <c r="D107" s="532"/>
      <c r="E107" s="532"/>
      <c r="F107" s="532"/>
      <c r="G107" s="532"/>
      <c r="H107" s="532"/>
      <c r="I107" s="532"/>
      <c r="J107" s="532"/>
      <c r="K107" s="532"/>
      <c r="L107" s="532"/>
      <c r="M107" s="532"/>
      <c r="N107" s="532"/>
      <c r="O107" s="532"/>
      <c r="P107" s="532"/>
      <c r="Q107" s="532"/>
      <c r="R107" s="532"/>
      <c r="S107" s="532"/>
      <c r="T107" s="535">
        <v>-15</v>
      </c>
      <c r="U107" s="451"/>
      <c r="V107" s="405"/>
      <c r="W107" s="452"/>
    </row>
    <row r="108" spans="1:23" x14ac:dyDescent="0.3">
      <c r="A108" s="569" t="s">
        <v>246</v>
      </c>
      <c r="B108" s="532" t="s">
        <v>221</v>
      </c>
      <c r="C108" s="532"/>
      <c r="D108" s="532"/>
      <c r="E108" s="532"/>
      <c r="F108" s="532"/>
      <c r="G108" s="532"/>
      <c r="H108" s="532"/>
      <c r="I108" s="532"/>
      <c r="J108" s="532"/>
      <c r="K108" s="532"/>
      <c r="L108" s="532"/>
      <c r="M108" s="532"/>
      <c r="N108" s="532"/>
      <c r="O108" s="532"/>
      <c r="P108" s="532"/>
      <c r="Q108" s="532"/>
      <c r="R108" s="532"/>
      <c r="S108" s="532"/>
      <c r="T108" s="535">
        <v>-45</v>
      </c>
      <c r="U108" s="451"/>
      <c r="V108" s="405"/>
      <c r="W108" s="452"/>
    </row>
    <row r="109" spans="1:23" x14ac:dyDescent="0.3">
      <c r="A109" s="569" t="s">
        <v>247</v>
      </c>
      <c r="B109" s="532" t="s">
        <v>222</v>
      </c>
      <c r="C109" s="532"/>
      <c r="D109" s="532"/>
      <c r="E109" s="532"/>
      <c r="F109" s="532"/>
      <c r="G109" s="532"/>
      <c r="H109" s="532"/>
      <c r="I109" s="532"/>
      <c r="J109" s="532"/>
      <c r="K109" s="532"/>
      <c r="L109" s="532"/>
      <c r="M109" s="532"/>
      <c r="N109" s="532"/>
      <c r="O109" s="532"/>
      <c r="P109" s="532"/>
      <c r="Q109" s="532"/>
      <c r="R109" s="532"/>
      <c r="S109" s="532"/>
      <c r="T109" s="535">
        <v>-8</v>
      </c>
      <c r="U109" s="451"/>
      <c r="V109" s="405"/>
      <c r="W109" s="452"/>
    </row>
    <row r="110" spans="1:23" x14ac:dyDescent="0.3">
      <c r="A110" s="569" t="s">
        <v>248</v>
      </c>
      <c r="B110" s="532" t="s">
        <v>223</v>
      </c>
      <c r="C110" s="532"/>
      <c r="D110" s="532"/>
      <c r="E110" s="532"/>
      <c r="F110" s="532"/>
      <c r="G110" s="532"/>
      <c r="H110" s="532"/>
      <c r="I110" s="532"/>
      <c r="J110" s="532"/>
      <c r="K110" s="532"/>
      <c r="L110" s="532"/>
      <c r="M110" s="532"/>
      <c r="N110" s="532"/>
      <c r="O110" s="532"/>
      <c r="P110" s="532"/>
      <c r="Q110" s="532"/>
      <c r="R110" s="532"/>
      <c r="S110" s="532"/>
      <c r="T110" s="535">
        <v>-134</v>
      </c>
      <c r="U110" s="451"/>
      <c r="V110" s="405"/>
      <c r="W110" s="452"/>
    </row>
    <row r="111" spans="1:23" x14ac:dyDescent="0.3">
      <c r="A111" s="569">
        <v>7</v>
      </c>
      <c r="B111" s="532" t="s">
        <v>318</v>
      </c>
      <c r="C111" s="532"/>
      <c r="D111" s="532"/>
      <c r="E111" s="532"/>
      <c r="F111" s="532"/>
      <c r="G111" s="532"/>
      <c r="H111" s="532"/>
      <c r="I111" s="532"/>
      <c r="J111" s="532"/>
      <c r="K111" s="532"/>
      <c r="L111" s="532"/>
      <c r="M111" s="532"/>
      <c r="N111" s="532"/>
      <c r="O111" s="532"/>
      <c r="P111" s="532"/>
      <c r="Q111" s="532"/>
      <c r="R111" s="532"/>
      <c r="S111" s="532"/>
      <c r="T111" s="535">
        <v>0</v>
      </c>
      <c r="U111" s="451"/>
      <c r="V111" s="405"/>
      <c r="W111" s="452"/>
    </row>
    <row r="112" spans="1:23" x14ac:dyDescent="0.3">
      <c r="A112" s="569">
        <v>8</v>
      </c>
      <c r="B112" s="532" t="s">
        <v>38</v>
      </c>
      <c r="C112" s="532"/>
      <c r="D112" s="532"/>
      <c r="E112" s="532"/>
      <c r="F112" s="532"/>
      <c r="G112" s="532"/>
      <c r="H112" s="532"/>
      <c r="I112" s="532"/>
      <c r="J112" s="532"/>
      <c r="K112" s="532"/>
      <c r="L112" s="532"/>
      <c r="M112" s="532"/>
      <c r="N112" s="532"/>
      <c r="O112" s="532"/>
      <c r="P112" s="532"/>
      <c r="Q112" s="532"/>
      <c r="R112" s="532"/>
      <c r="S112" s="532"/>
      <c r="T112" s="535">
        <v>-6</v>
      </c>
      <c r="U112" s="451"/>
      <c r="V112" s="405"/>
    </row>
    <row r="113" spans="1:22" x14ac:dyDescent="0.3">
      <c r="A113" s="569">
        <f t="shared" ref="A113:A118" si="0">+A112+1</f>
        <v>9</v>
      </c>
      <c r="B113" s="532" t="s">
        <v>49</v>
      </c>
      <c r="C113" s="532"/>
      <c r="D113" s="532"/>
      <c r="E113" s="532"/>
      <c r="F113" s="532"/>
      <c r="G113" s="532"/>
      <c r="H113" s="532"/>
      <c r="I113" s="532"/>
      <c r="J113" s="532"/>
      <c r="K113" s="532"/>
      <c r="L113" s="532"/>
      <c r="M113" s="532"/>
      <c r="N113" s="532"/>
      <c r="O113" s="532"/>
      <c r="P113" s="532"/>
      <c r="Q113" s="532"/>
      <c r="R113" s="531">
        <f>-T113</f>
        <v>-1</v>
      </c>
      <c r="S113" s="532"/>
      <c r="T113" s="535">
        <v>1</v>
      </c>
      <c r="U113" s="451"/>
      <c r="V113" s="405"/>
    </row>
    <row r="114" spans="1:22" x14ac:dyDescent="0.3">
      <c r="A114" s="569">
        <f t="shared" si="0"/>
        <v>10</v>
      </c>
      <c r="B114" s="532" t="s">
        <v>134</v>
      </c>
      <c r="C114" s="532"/>
      <c r="D114" s="532"/>
      <c r="E114" s="532"/>
      <c r="F114" s="532"/>
      <c r="G114" s="532"/>
      <c r="H114" s="532"/>
      <c r="I114" s="532"/>
      <c r="J114" s="532"/>
      <c r="K114" s="532"/>
      <c r="L114" s="532"/>
      <c r="M114" s="532"/>
      <c r="N114" s="532"/>
      <c r="O114" s="532"/>
      <c r="P114" s="532"/>
      <c r="Q114" s="532"/>
      <c r="R114" s="532"/>
      <c r="S114" s="532"/>
      <c r="T114" s="535">
        <v>0</v>
      </c>
      <c r="U114" s="451"/>
      <c r="V114" s="405"/>
    </row>
    <row r="115" spans="1:22" x14ac:dyDescent="0.3">
      <c r="A115" s="569">
        <f t="shared" si="0"/>
        <v>11</v>
      </c>
      <c r="B115" s="532" t="s">
        <v>39</v>
      </c>
      <c r="C115" s="532"/>
      <c r="D115" s="532"/>
      <c r="E115" s="532"/>
      <c r="F115" s="532"/>
      <c r="G115" s="532"/>
      <c r="H115" s="532"/>
      <c r="I115" s="532"/>
      <c r="J115" s="532"/>
      <c r="K115" s="532"/>
      <c r="L115" s="532"/>
      <c r="M115" s="532"/>
      <c r="N115" s="532"/>
      <c r="O115" s="532"/>
      <c r="P115" s="532"/>
      <c r="Q115" s="532"/>
      <c r="R115" s="532"/>
      <c r="S115" s="532"/>
      <c r="T115" s="535">
        <v>0</v>
      </c>
      <c r="U115" s="451"/>
      <c r="V115" s="405"/>
    </row>
    <row r="116" spans="1:22" x14ac:dyDescent="0.3">
      <c r="A116" s="569">
        <f t="shared" si="0"/>
        <v>12</v>
      </c>
      <c r="B116" s="532" t="s">
        <v>40</v>
      </c>
      <c r="C116" s="532"/>
      <c r="D116" s="532"/>
      <c r="E116" s="532"/>
      <c r="F116" s="532"/>
      <c r="G116" s="532"/>
      <c r="H116" s="532"/>
      <c r="I116" s="532"/>
      <c r="J116" s="532"/>
      <c r="K116" s="532"/>
      <c r="L116" s="532"/>
      <c r="M116" s="532"/>
      <c r="N116" s="532"/>
      <c r="O116" s="532"/>
      <c r="P116" s="532"/>
      <c r="Q116" s="532"/>
      <c r="R116" s="532"/>
      <c r="S116" s="532"/>
      <c r="T116" s="535">
        <v>0</v>
      </c>
      <c r="U116" s="451"/>
      <c r="V116" s="405"/>
    </row>
    <row r="117" spans="1:22" x14ac:dyDescent="0.3">
      <c r="A117" s="569">
        <f t="shared" si="0"/>
        <v>13</v>
      </c>
      <c r="B117" s="532" t="s">
        <v>161</v>
      </c>
      <c r="C117" s="532"/>
      <c r="D117" s="532"/>
      <c r="E117" s="532"/>
      <c r="F117" s="532"/>
      <c r="G117" s="532"/>
      <c r="H117" s="532"/>
      <c r="I117" s="532"/>
      <c r="J117" s="532"/>
      <c r="K117" s="532"/>
      <c r="L117" s="532"/>
      <c r="M117" s="532"/>
      <c r="N117" s="532"/>
      <c r="O117" s="532"/>
      <c r="P117" s="532"/>
      <c r="Q117" s="532"/>
      <c r="R117" s="532"/>
      <c r="S117" s="532"/>
      <c r="T117" s="535">
        <v>-79</v>
      </c>
      <c r="U117" s="451"/>
      <c r="V117" s="405"/>
    </row>
    <row r="118" spans="1:22" x14ac:dyDescent="0.3">
      <c r="A118" s="569">
        <f t="shared" si="0"/>
        <v>14</v>
      </c>
      <c r="B118" s="532" t="s">
        <v>135</v>
      </c>
      <c r="C118" s="532"/>
      <c r="D118" s="532"/>
      <c r="E118" s="532"/>
      <c r="F118" s="532"/>
      <c r="G118" s="532"/>
      <c r="H118" s="532"/>
      <c r="I118" s="532"/>
      <c r="J118" s="532"/>
      <c r="K118" s="532"/>
      <c r="L118" s="532"/>
      <c r="M118" s="532"/>
      <c r="N118" s="532"/>
      <c r="O118" s="532"/>
      <c r="P118" s="532"/>
      <c r="Q118" s="532"/>
      <c r="R118" s="532"/>
      <c r="S118" s="532"/>
      <c r="T118" s="535">
        <f>-T97-SUM(T99:T117)</f>
        <v>-583</v>
      </c>
      <c r="U118" s="451"/>
      <c r="V118" s="405"/>
    </row>
    <row r="119" spans="1:22" x14ac:dyDescent="0.3">
      <c r="A119" s="418"/>
      <c r="B119" s="522" t="s">
        <v>41</v>
      </c>
      <c r="C119" s="448"/>
      <c r="D119" s="448"/>
      <c r="E119" s="448"/>
      <c r="F119" s="448"/>
      <c r="G119" s="448"/>
      <c r="H119" s="448"/>
      <c r="I119" s="448"/>
      <c r="J119" s="448"/>
      <c r="K119" s="448"/>
      <c r="L119" s="448"/>
      <c r="M119" s="448"/>
      <c r="N119" s="448"/>
      <c r="O119" s="448"/>
      <c r="P119" s="448"/>
      <c r="Q119" s="448"/>
      <c r="R119" s="448"/>
      <c r="S119" s="448"/>
      <c r="T119" s="454"/>
      <c r="U119" s="451"/>
      <c r="V119" s="405"/>
    </row>
    <row r="120" spans="1:22" x14ac:dyDescent="0.3">
      <c r="A120" s="428"/>
      <c r="B120" s="532" t="s">
        <v>229</v>
      </c>
      <c r="C120" s="532"/>
      <c r="D120" s="532"/>
      <c r="E120" s="532"/>
      <c r="F120" s="532"/>
      <c r="G120" s="532"/>
      <c r="H120" s="532"/>
      <c r="I120" s="532"/>
      <c r="J120" s="532"/>
      <c r="K120" s="532"/>
      <c r="L120" s="532"/>
      <c r="M120" s="532"/>
      <c r="N120" s="532"/>
      <c r="O120" s="532"/>
      <c r="P120" s="532"/>
      <c r="Q120" s="532"/>
      <c r="R120" s="531">
        <f>-R180</f>
        <v>0</v>
      </c>
      <c r="S120" s="531"/>
      <c r="T120" s="535"/>
      <c r="U120" s="562"/>
      <c r="V120" s="405"/>
    </row>
    <row r="121" spans="1:22" x14ac:dyDescent="0.3">
      <c r="A121" s="428"/>
      <c r="B121" s="532" t="s">
        <v>230</v>
      </c>
      <c r="C121" s="532"/>
      <c r="D121" s="532"/>
      <c r="E121" s="532"/>
      <c r="F121" s="532"/>
      <c r="G121" s="532"/>
      <c r="H121" s="532"/>
      <c r="I121" s="532"/>
      <c r="J121" s="532"/>
      <c r="K121" s="532"/>
      <c r="L121" s="532"/>
      <c r="M121" s="532"/>
      <c r="N121" s="532"/>
      <c r="O121" s="532"/>
      <c r="P121" s="532"/>
      <c r="Q121" s="532"/>
      <c r="R121" s="531">
        <v>0</v>
      </c>
      <c r="S121" s="531"/>
      <c r="T121" s="535"/>
      <c r="U121" s="562"/>
      <c r="V121" s="405"/>
    </row>
    <row r="122" spans="1:22" x14ac:dyDescent="0.3">
      <c r="A122" s="428"/>
      <c r="B122" s="532" t="s">
        <v>42</v>
      </c>
      <c r="C122" s="532"/>
      <c r="D122" s="532"/>
      <c r="E122" s="532"/>
      <c r="F122" s="532"/>
      <c r="G122" s="532"/>
      <c r="H122" s="532"/>
      <c r="I122" s="532"/>
      <c r="J122" s="532"/>
      <c r="K122" s="532"/>
      <c r="L122" s="532"/>
      <c r="M122" s="532"/>
      <c r="N122" s="532"/>
      <c r="O122" s="532"/>
      <c r="P122" s="532"/>
      <c r="Q122" s="532"/>
      <c r="R122" s="531">
        <f>-Q180</f>
        <v>0</v>
      </c>
      <c r="S122" s="531"/>
      <c r="T122" s="535"/>
      <c r="U122" s="562"/>
      <c r="V122" s="405"/>
    </row>
    <row r="123" spans="1:22" x14ac:dyDescent="0.3">
      <c r="A123" s="428"/>
      <c r="B123" s="532" t="s">
        <v>235</v>
      </c>
      <c r="C123" s="532"/>
      <c r="D123" s="532"/>
      <c r="E123" s="532"/>
      <c r="F123" s="532"/>
      <c r="G123" s="532"/>
      <c r="H123" s="532"/>
      <c r="I123" s="532"/>
      <c r="J123" s="532"/>
      <c r="K123" s="532"/>
      <c r="L123" s="532"/>
      <c r="M123" s="532"/>
      <c r="N123" s="532"/>
      <c r="O123" s="532"/>
      <c r="P123" s="532"/>
      <c r="Q123" s="532"/>
      <c r="R123" s="531">
        <v>-1334</v>
      </c>
      <c r="S123" s="531"/>
      <c r="T123" s="535"/>
      <c r="U123" s="562"/>
      <c r="V123" s="405"/>
    </row>
    <row r="124" spans="1:22" x14ac:dyDescent="0.3">
      <c r="A124" s="428"/>
      <c r="B124" s="532" t="s">
        <v>236</v>
      </c>
      <c r="C124" s="532"/>
      <c r="D124" s="532"/>
      <c r="E124" s="532"/>
      <c r="F124" s="532"/>
      <c r="G124" s="532"/>
      <c r="H124" s="532"/>
      <c r="I124" s="532"/>
      <c r="J124" s="532"/>
      <c r="K124" s="532"/>
      <c r="L124" s="532"/>
      <c r="M124" s="532"/>
      <c r="N124" s="532"/>
      <c r="O124" s="532"/>
      <c r="P124" s="532"/>
      <c r="Q124" s="532"/>
      <c r="R124" s="531">
        <v>-942</v>
      </c>
      <c r="S124" s="531"/>
      <c r="T124" s="535"/>
      <c r="U124" s="562"/>
      <c r="V124" s="405"/>
    </row>
    <row r="125" spans="1:22" x14ac:dyDescent="0.3">
      <c r="A125" s="428"/>
      <c r="B125" s="532" t="s">
        <v>241</v>
      </c>
      <c r="C125" s="532"/>
      <c r="D125" s="532"/>
      <c r="E125" s="532"/>
      <c r="F125" s="532"/>
      <c r="G125" s="532"/>
      <c r="H125" s="532"/>
      <c r="I125" s="532"/>
      <c r="J125" s="532"/>
      <c r="K125" s="532"/>
      <c r="L125" s="532"/>
      <c r="M125" s="532"/>
      <c r="N125" s="532"/>
      <c r="O125" s="532"/>
      <c r="P125" s="532"/>
      <c r="Q125" s="532"/>
      <c r="R125" s="531">
        <v>-131</v>
      </c>
      <c r="S125" s="531"/>
      <c r="T125" s="535"/>
      <c r="U125" s="562"/>
      <c r="V125" s="405"/>
    </row>
    <row r="126" spans="1:22" x14ac:dyDescent="0.3">
      <c r="A126" s="428"/>
      <c r="B126" s="532" t="s">
        <v>237</v>
      </c>
      <c r="C126" s="532"/>
      <c r="D126" s="532"/>
      <c r="E126" s="532"/>
      <c r="F126" s="532"/>
      <c r="G126" s="532"/>
      <c r="H126" s="532"/>
      <c r="I126" s="532"/>
      <c r="J126" s="532"/>
      <c r="K126" s="532"/>
      <c r="L126" s="532"/>
      <c r="M126" s="532"/>
      <c r="N126" s="532"/>
      <c r="O126" s="532"/>
      <c r="P126" s="532"/>
      <c r="Q126" s="532"/>
      <c r="R126" s="531">
        <v>-61</v>
      </c>
      <c r="S126" s="531"/>
      <c r="T126" s="535"/>
      <c r="U126" s="562"/>
      <c r="V126" s="405"/>
    </row>
    <row r="127" spans="1:22" x14ac:dyDescent="0.3">
      <c r="A127" s="428"/>
      <c r="B127" s="532" t="s">
        <v>238</v>
      </c>
      <c r="C127" s="532"/>
      <c r="D127" s="532"/>
      <c r="E127" s="532"/>
      <c r="F127" s="532"/>
      <c r="G127" s="532"/>
      <c r="H127" s="532"/>
      <c r="I127" s="532"/>
      <c r="J127" s="532"/>
      <c r="K127" s="532"/>
      <c r="L127" s="532"/>
      <c r="M127" s="532"/>
      <c r="N127" s="532"/>
      <c r="O127" s="532"/>
      <c r="P127" s="532"/>
      <c r="Q127" s="532"/>
      <c r="R127" s="531">
        <v>-178</v>
      </c>
      <c r="S127" s="531"/>
      <c r="T127" s="535"/>
      <c r="U127" s="562"/>
      <c r="V127" s="405"/>
    </row>
    <row r="128" spans="1:22" x14ac:dyDescent="0.3">
      <c r="A128" s="428"/>
      <c r="B128" s="532" t="s">
        <v>239</v>
      </c>
      <c r="C128" s="532"/>
      <c r="D128" s="532"/>
      <c r="E128" s="532"/>
      <c r="F128" s="532"/>
      <c r="G128" s="532"/>
      <c r="H128" s="532"/>
      <c r="I128" s="532"/>
      <c r="J128" s="532"/>
      <c r="K128" s="532"/>
      <c r="L128" s="532"/>
      <c r="M128" s="532"/>
      <c r="N128" s="532"/>
      <c r="O128" s="532"/>
      <c r="P128" s="532"/>
      <c r="Q128" s="532"/>
      <c r="R128" s="531">
        <v>-26</v>
      </c>
      <c r="S128" s="531"/>
      <c r="T128" s="535"/>
      <c r="U128" s="562"/>
      <c r="V128" s="405"/>
    </row>
    <row r="129" spans="1:22" x14ac:dyDescent="0.3">
      <c r="A129" s="428"/>
      <c r="B129" s="532" t="s">
        <v>240</v>
      </c>
      <c r="C129" s="532"/>
      <c r="D129" s="532"/>
      <c r="E129" s="532"/>
      <c r="F129" s="532"/>
      <c r="G129" s="532"/>
      <c r="H129" s="532"/>
      <c r="I129" s="532"/>
      <c r="J129" s="532"/>
      <c r="K129" s="532"/>
      <c r="L129" s="532"/>
      <c r="M129" s="532"/>
      <c r="N129" s="532"/>
      <c r="O129" s="532"/>
      <c r="P129" s="532"/>
      <c r="Q129" s="532"/>
      <c r="R129" s="531">
        <v>-397</v>
      </c>
      <c r="S129" s="531"/>
      <c r="T129" s="535"/>
      <c r="U129" s="562"/>
      <c r="V129" s="405"/>
    </row>
    <row r="130" spans="1:22" x14ac:dyDescent="0.3">
      <c r="A130" s="428"/>
      <c r="B130" s="532" t="s">
        <v>43</v>
      </c>
      <c r="C130" s="532"/>
      <c r="D130" s="532"/>
      <c r="E130" s="532"/>
      <c r="F130" s="532"/>
      <c r="G130" s="532"/>
      <c r="H130" s="532"/>
      <c r="I130" s="532"/>
      <c r="J130" s="532"/>
      <c r="K130" s="532"/>
      <c r="L130" s="532"/>
      <c r="M130" s="532"/>
      <c r="N130" s="532"/>
      <c r="O130" s="532"/>
      <c r="P130" s="532"/>
      <c r="Q130" s="532"/>
      <c r="R130" s="531">
        <f>SUM(R120:R129)</f>
        <v>-3069</v>
      </c>
      <c r="S130" s="531"/>
      <c r="T130" s="531">
        <f>SUM(T98:T128)</f>
        <v>-1493</v>
      </c>
      <c r="U130" s="562"/>
      <c r="V130" s="405"/>
    </row>
    <row r="131" spans="1:22" x14ac:dyDescent="0.3">
      <c r="A131" s="428"/>
      <c r="B131" s="532" t="s">
        <v>44</v>
      </c>
      <c r="C131" s="532"/>
      <c r="D131" s="532"/>
      <c r="E131" s="532"/>
      <c r="F131" s="532"/>
      <c r="G131" s="532"/>
      <c r="H131" s="532"/>
      <c r="I131" s="532"/>
      <c r="J131" s="532"/>
      <c r="K131" s="532"/>
      <c r="L131" s="532"/>
      <c r="M131" s="532"/>
      <c r="N131" s="532"/>
      <c r="O131" s="532"/>
      <c r="P131" s="532"/>
      <c r="Q131" s="532"/>
      <c r="R131" s="531">
        <f>R97+R130+R113</f>
        <v>0</v>
      </c>
      <c r="S131" s="531"/>
      <c r="T131" s="531">
        <f>T97+T130</f>
        <v>0</v>
      </c>
      <c r="U131" s="562"/>
      <c r="V131" s="405"/>
    </row>
    <row r="132" spans="1:22" x14ac:dyDescent="0.3">
      <c r="A132" s="430"/>
      <c r="B132" s="431"/>
      <c r="C132" s="431"/>
      <c r="D132" s="431"/>
      <c r="E132" s="431"/>
      <c r="F132" s="431"/>
      <c r="G132" s="431"/>
      <c r="H132" s="431"/>
      <c r="I132" s="431"/>
      <c r="J132" s="431"/>
      <c r="K132" s="431"/>
      <c r="L132" s="431"/>
      <c r="M132" s="431"/>
      <c r="N132" s="431"/>
      <c r="O132" s="431"/>
      <c r="P132" s="431"/>
      <c r="Q132" s="431"/>
      <c r="R132" s="455"/>
      <c r="S132" s="455"/>
      <c r="T132" s="455"/>
      <c r="U132" s="431"/>
      <c r="V132" s="405"/>
    </row>
    <row r="133" spans="1:22" x14ac:dyDescent="0.3">
      <c r="A133" s="430"/>
      <c r="B133" s="434"/>
      <c r="C133" s="434"/>
      <c r="D133" s="434"/>
      <c r="E133" s="434"/>
      <c r="F133" s="434"/>
      <c r="G133" s="434"/>
      <c r="H133" s="434"/>
      <c r="I133" s="434"/>
      <c r="J133" s="434"/>
      <c r="K133" s="434"/>
      <c r="L133" s="434"/>
      <c r="M133" s="434"/>
      <c r="N133" s="434"/>
      <c r="O133" s="434"/>
      <c r="P133" s="434"/>
      <c r="Q133" s="434"/>
      <c r="R133" s="434"/>
      <c r="S133" s="434"/>
      <c r="T133" s="456"/>
      <c r="U133" s="434"/>
      <c r="V133" s="405"/>
    </row>
    <row r="134" spans="1:22" ht="18.600000000000001" thickBot="1" x14ac:dyDescent="0.4">
      <c r="A134" s="437"/>
      <c r="B134" s="565" t="str">
        <f>B61</f>
        <v>PM9 INVESTOR REPORT QUARTER ENDING APRIL 2019</v>
      </c>
      <c r="C134" s="438"/>
      <c r="D134" s="438"/>
      <c r="E134" s="438"/>
      <c r="F134" s="438"/>
      <c r="G134" s="438"/>
      <c r="H134" s="438"/>
      <c r="I134" s="438"/>
      <c r="J134" s="438"/>
      <c r="K134" s="438"/>
      <c r="L134" s="438"/>
      <c r="M134" s="438"/>
      <c r="N134" s="438"/>
      <c r="O134" s="438"/>
      <c r="P134" s="438"/>
      <c r="Q134" s="438"/>
      <c r="R134" s="438"/>
      <c r="S134" s="438"/>
      <c r="T134" s="457"/>
      <c r="U134" s="440"/>
      <c r="V134" s="405"/>
    </row>
    <row r="135" spans="1:22" x14ac:dyDescent="0.3">
      <c r="A135" s="507"/>
      <c r="B135" s="508" t="s">
        <v>45</v>
      </c>
      <c r="C135" s="509"/>
      <c r="D135" s="509"/>
      <c r="E135" s="509"/>
      <c r="F135" s="509"/>
      <c r="G135" s="509"/>
      <c r="H135" s="509"/>
      <c r="I135" s="509"/>
      <c r="J135" s="509"/>
      <c r="K135" s="509"/>
      <c r="L135" s="509"/>
      <c r="M135" s="509"/>
      <c r="N135" s="509"/>
      <c r="O135" s="509"/>
      <c r="P135" s="509"/>
      <c r="Q135" s="509"/>
      <c r="R135" s="509"/>
      <c r="S135" s="509"/>
      <c r="T135" s="510"/>
      <c r="U135" s="509"/>
      <c r="V135" s="405"/>
    </row>
    <row r="136" spans="1:22" x14ac:dyDescent="0.3">
      <c r="A136" s="407"/>
      <c r="B136" s="458"/>
      <c r="C136" s="409"/>
      <c r="D136" s="409"/>
      <c r="E136" s="409"/>
      <c r="F136" s="409"/>
      <c r="G136" s="409"/>
      <c r="H136" s="409"/>
      <c r="I136" s="409"/>
      <c r="J136" s="409"/>
      <c r="K136" s="409"/>
      <c r="L136" s="409"/>
      <c r="M136" s="409"/>
      <c r="N136" s="409"/>
      <c r="O136" s="409"/>
      <c r="P136" s="409"/>
      <c r="Q136" s="409"/>
      <c r="R136" s="409"/>
      <c r="S136" s="409"/>
      <c r="T136" s="441"/>
      <c r="U136" s="409"/>
      <c r="V136" s="405"/>
    </row>
    <row r="137" spans="1:22" x14ac:dyDescent="0.3">
      <c r="A137" s="407"/>
      <c r="B137" s="523" t="s">
        <v>46</v>
      </c>
      <c r="C137" s="409"/>
      <c r="D137" s="409"/>
      <c r="E137" s="409"/>
      <c r="F137" s="409"/>
      <c r="G137" s="409"/>
      <c r="H137" s="409"/>
      <c r="I137" s="409"/>
      <c r="J137" s="409"/>
      <c r="K137" s="409"/>
      <c r="L137" s="409"/>
      <c r="M137" s="409"/>
      <c r="N137" s="409"/>
      <c r="O137" s="409"/>
      <c r="P137" s="409"/>
      <c r="Q137" s="409"/>
      <c r="R137" s="409"/>
      <c r="S137" s="409"/>
      <c r="T137" s="441"/>
      <c r="U137" s="409"/>
      <c r="V137" s="405"/>
    </row>
    <row r="138" spans="1:22" x14ac:dyDescent="0.3">
      <c r="A138" s="418"/>
      <c r="B138" s="532" t="s">
        <v>47</v>
      </c>
      <c r="C138" s="532"/>
      <c r="D138" s="532"/>
      <c r="E138" s="532"/>
      <c r="F138" s="532"/>
      <c r="G138" s="532"/>
      <c r="H138" s="532"/>
      <c r="I138" s="532"/>
      <c r="J138" s="532"/>
      <c r="K138" s="532"/>
      <c r="L138" s="532"/>
      <c r="M138" s="532"/>
      <c r="N138" s="532"/>
      <c r="O138" s="532"/>
      <c r="P138" s="532"/>
      <c r="Q138" s="532"/>
      <c r="R138" s="532"/>
      <c r="S138" s="532"/>
      <c r="T138" s="535">
        <f>+T32*0.0176</f>
        <v>12320</v>
      </c>
      <c r="U138" s="420"/>
      <c r="V138" s="405"/>
    </row>
    <row r="139" spans="1:22" x14ac:dyDescent="0.3">
      <c r="A139" s="418"/>
      <c r="B139" s="532" t="s">
        <v>48</v>
      </c>
      <c r="C139" s="532"/>
      <c r="D139" s="532"/>
      <c r="E139" s="532"/>
      <c r="F139" s="532"/>
      <c r="G139" s="532"/>
      <c r="H139" s="532"/>
      <c r="I139" s="532"/>
      <c r="J139" s="532"/>
      <c r="K139" s="532"/>
      <c r="L139" s="532"/>
      <c r="M139" s="532"/>
      <c r="N139" s="532"/>
      <c r="O139" s="532"/>
      <c r="P139" s="532"/>
      <c r="Q139" s="532"/>
      <c r="R139" s="532"/>
      <c r="S139" s="532"/>
      <c r="T139" s="535">
        <v>12320</v>
      </c>
      <c r="U139" s="420"/>
      <c r="V139" s="405"/>
    </row>
    <row r="140" spans="1:22" x14ac:dyDescent="0.3">
      <c r="A140" s="418"/>
      <c r="B140" s="532" t="s">
        <v>145</v>
      </c>
      <c r="C140" s="532"/>
      <c r="D140" s="532"/>
      <c r="E140" s="532"/>
      <c r="F140" s="532"/>
      <c r="G140" s="532"/>
      <c r="H140" s="532"/>
      <c r="I140" s="532"/>
      <c r="J140" s="532"/>
      <c r="K140" s="532"/>
      <c r="L140" s="532"/>
      <c r="M140" s="532"/>
      <c r="N140" s="532"/>
      <c r="O140" s="532"/>
      <c r="P140" s="532"/>
      <c r="Q140" s="532"/>
      <c r="R140" s="532"/>
      <c r="S140" s="532"/>
      <c r="T140" s="535">
        <v>0</v>
      </c>
      <c r="U140" s="420"/>
      <c r="V140" s="405"/>
    </row>
    <row r="141" spans="1:22" x14ac:dyDescent="0.3">
      <c r="A141" s="418"/>
      <c r="B141" s="532" t="s">
        <v>132</v>
      </c>
      <c r="C141" s="532"/>
      <c r="D141" s="532"/>
      <c r="E141" s="532"/>
      <c r="F141" s="532"/>
      <c r="G141" s="532"/>
      <c r="H141" s="532"/>
      <c r="I141" s="532"/>
      <c r="J141" s="532"/>
      <c r="K141" s="532"/>
      <c r="L141" s="532"/>
      <c r="M141" s="532"/>
      <c r="N141" s="532"/>
      <c r="O141" s="532"/>
      <c r="P141" s="532"/>
      <c r="Q141" s="532"/>
      <c r="R141" s="532"/>
      <c r="S141" s="532"/>
      <c r="T141" s="535">
        <v>0</v>
      </c>
      <c r="U141" s="420"/>
      <c r="V141" s="405"/>
    </row>
    <row r="142" spans="1:22" x14ac:dyDescent="0.3">
      <c r="A142" s="418"/>
      <c r="B142" s="532" t="s">
        <v>133</v>
      </c>
      <c r="C142" s="532"/>
      <c r="D142" s="532"/>
      <c r="E142" s="532"/>
      <c r="F142" s="532"/>
      <c r="G142" s="532"/>
      <c r="H142" s="532"/>
      <c r="I142" s="532"/>
      <c r="J142" s="532"/>
      <c r="K142" s="532"/>
      <c r="L142" s="532"/>
      <c r="M142" s="532"/>
      <c r="N142" s="532"/>
      <c r="O142" s="532"/>
      <c r="P142" s="532"/>
      <c r="Q142" s="532"/>
      <c r="R142" s="532"/>
      <c r="S142" s="532"/>
      <c r="T142" s="535">
        <v>0</v>
      </c>
      <c r="U142" s="420"/>
      <c r="V142" s="405"/>
    </row>
    <row r="143" spans="1:22" x14ac:dyDescent="0.3">
      <c r="A143" s="418"/>
      <c r="B143" s="532" t="s">
        <v>232</v>
      </c>
      <c r="C143" s="532"/>
      <c r="D143" s="532"/>
      <c r="E143" s="532"/>
      <c r="F143" s="532"/>
      <c r="G143" s="532"/>
      <c r="H143" s="532"/>
      <c r="I143" s="532"/>
      <c r="J143" s="532"/>
      <c r="K143" s="532"/>
      <c r="L143" s="532"/>
      <c r="M143" s="532"/>
      <c r="N143" s="532"/>
      <c r="O143" s="532"/>
      <c r="P143" s="532"/>
      <c r="Q143" s="532"/>
      <c r="R143" s="532"/>
      <c r="S143" s="532"/>
      <c r="T143" s="535">
        <v>0</v>
      </c>
      <c r="U143" s="420"/>
      <c r="V143" s="405"/>
    </row>
    <row r="144" spans="1:22" x14ac:dyDescent="0.3">
      <c r="A144" s="418"/>
      <c r="B144" s="532" t="s">
        <v>49</v>
      </c>
      <c r="C144" s="532"/>
      <c r="D144" s="532"/>
      <c r="E144" s="532"/>
      <c r="F144" s="532"/>
      <c r="G144" s="532"/>
      <c r="H144" s="532"/>
      <c r="I144" s="532"/>
      <c r="J144" s="532"/>
      <c r="K144" s="532"/>
      <c r="L144" s="532"/>
      <c r="M144" s="532"/>
      <c r="N144" s="532"/>
      <c r="O144" s="532"/>
      <c r="P144" s="532"/>
      <c r="Q144" s="532"/>
      <c r="R144" s="532"/>
      <c r="S144" s="532"/>
      <c r="T144" s="535">
        <v>0</v>
      </c>
      <c r="U144" s="420"/>
      <c r="V144" s="405"/>
    </row>
    <row r="145" spans="1:23" x14ac:dyDescent="0.3">
      <c r="A145" s="418"/>
      <c r="B145" s="532" t="s">
        <v>138</v>
      </c>
      <c r="C145" s="532"/>
      <c r="D145" s="532"/>
      <c r="E145" s="532"/>
      <c r="F145" s="532"/>
      <c r="G145" s="532"/>
      <c r="H145" s="532"/>
      <c r="I145" s="532"/>
      <c r="J145" s="532"/>
      <c r="K145" s="532"/>
      <c r="L145" s="532"/>
      <c r="M145" s="532"/>
      <c r="N145" s="532"/>
      <c r="O145" s="532"/>
      <c r="P145" s="532"/>
      <c r="Q145" s="532"/>
      <c r="R145" s="532"/>
      <c r="S145" s="532"/>
      <c r="T145" s="535">
        <v>0</v>
      </c>
      <c r="U145" s="420"/>
      <c r="V145" s="405"/>
    </row>
    <row r="146" spans="1:23" x14ac:dyDescent="0.3">
      <c r="A146" s="418"/>
      <c r="B146" s="532" t="s">
        <v>231</v>
      </c>
      <c r="C146" s="532"/>
      <c r="D146" s="532"/>
      <c r="E146" s="532"/>
      <c r="F146" s="532"/>
      <c r="G146" s="532"/>
      <c r="H146" s="532"/>
      <c r="I146" s="532"/>
      <c r="J146" s="532"/>
      <c r="K146" s="532"/>
      <c r="L146" s="532"/>
      <c r="M146" s="532"/>
      <c r="N146" s="532"/>
      <c r="O146" s="532"/>
      <c r="P146" s="532"/>
      <c r="Q146" s="532"/>
      <c r="R146" s="532"/>
      <c r="S146" s="532"/>
      <c r="T146" s="535">
        <v>0</v>
      </c>
      <c r="U146" s="420"/>
      <c r="V146" s="405"/>
      <c r="W146" s="452"/>
    </row>
    <row r="147" spans="1:23" x14ac:dyDescent="0.3">
      <c r="A147" s="418"/>
      <c r="B147" s="532" t="s">
        <v>50</v>
      </c>
      <c r="C147" s="532"/>
      <c r="D147" s="532"/>
      <c r="E147" s="532"/>
      <c r="F147" s="532"/>
      <c r="G147" s="532"/>
      <c r="H147" s="532"/>
      <c r="I147" s="532"/>
      <c r="J147" s="532"/>
      <c r="K147" s="532"/>
      <c r="L147" s="532"/>
      <c r="M147" s="532"/>
      <c r="N147" s="532"/>
      <c r="O147" s="532"/>
      <c r="P147" s="532"/>
      <c r="Q147" s="532"/>
      <c r="R147" s="532"/>
      <c r="S147" s="532"/>
      <c r="T147" s="535">
        <f>SUM(T139:T146)</f>
        <v>12320</v>
      </c>
      <c r="U147" s="420"/>
      <c r="V147" s="405"/>
    </row>
    <row r="148" spans="1:23" x14ac:dyDescent="0.3">
      <c r="A148" s="418"/>
      <c r="B148" s="448"/>
      <c r="C148" s="448"/>
      <c r="D148" s="448"/>
      <c r="E148" s="448"/>
      <c r="F148" s="448"/>
      <c r="G148" s="448"/>
      <c r="H148" s="448"/>
      <c r="I148" s="448"/>
      <c r="J148" s="448"/>
      <c r="K148" s="448"/>
      <c r="L148" s="448"/>
      <c r="M148" s="448"/>
      <c r="N148" s="448"/>
      <c r="O148" s="448"/>
      <c r="P148" s="448"/>
      <c r="Q148" s="448"/>
      <c r="R148" s="448"/>
      <c r="S148" s="448"/>
      <c r="T148" s="450"/>
      <c r="U148" s="451"/>
      <c r="V148" s="405"/>
    </row>
    <row r="149" spans="1:23" x14ac:dyDescent="0.3">
      <c r="A149" s="418"/>
      <c r="B149" s="522" t="s">
        <v>264</v>
      </c>
      <c r="C149" s="448"/>
      <c r="D149" s="448"/>
      <c r="E149" s="448"/>
      <c r="F149" s="448"/>
      <c r="G149" s="448"/>
      <c r="H149" s="448"/>
      <c r="I149" s="448"/>
      <c r="J149" s="448"/>
      <c r="K149" s="448"/>
      <c r="L149" s="448"/>
      <c r="M149" s="448"/>
      <c r="N149" s="448"/>
      <c r="O149" s="448"/>
      <c r="P149" s="448"/>
      <c r="Q149" s="448"/>
      <c r="R149" s="448"/>
      <c r="S149" s="448"/>
      <c r="T149" s="450"/>
      <c r="U149" s="451"/>
      <c r="V149" s="405"/>
    </row>
    <row r="150" spans="1:23" x14ac:dyDescent="0.3">
      <c r="A150" s="418"/>
      <c r="B150" s="532" t="s">
        <v>170</v>
      </c>
      <c r="C150" s="532"/>
      <c r="D150" s="532"/>
      <c r="E150" s="532"/>
      <c r="F150" s="532"/>
      <c r="G150" s="532"/>
      <c r="H150" s="532"/>
      <c r="I150" s="532"/>
      <c r="J150" s="532"/>
      <c r="K150" s="532"/>
      <c r="L150" s="532"/>
      <c r="M150" s="532"/>
      <c r="N150" s="532"/>
      <c r="O150" s="532"/>
      <c r="P150" s="532"/>
      <c r="Q150" s="532"/>
      <c r="R150" s="532"/>
      <c r="S150" s="532"/>
      <c r="T150" s="535">
        <v>10000</v>
      </c>
      <c r="U150" s="420"/>
      <c r="V150" s="405"/>
    </row>
    <row r="151" spans="1:23" x14ac:dyDescent="0.3">
      <c r="A151" s="418"/>
      <c r="B151" s="532" t="s">
        <v>260</v>
      </c>
      <c r="C151" s="532"/>
      <c r="D151" s="532"/>
      <c r="E151" s="532"/>
      <c r="F151" s="532"/>
      <c r="G151" s="532"/>
      <c r="H151" s="532"/>
      <c r="I151" s="532"/>
      <c r="J151" s="532"/>
      <c r="K151" s="532"/>
      <c r="L151" s="532"/>
      <c r="M151" s="532"/>
      <c r="N151" s="532"/>
      <c r="O151" s="532"/>
      <c r="P151" s="532"/>
      <c r="Q151" s="532"/>
      <c r="R151" s="532"/>
      <c r="S151" s="532"/>
      <c r="T151" s="535">
        <v>0</v>
      </c>
      <c r="U151" s="420"/>
      <c r="V151" s="405"/>
    </row>
    <row r="152" spans="1:23" x14ac:dyDescent="0.3">
      <c r="A152" s="418"/>
      <c r="B152" s="532" t="s">
        <v>228</v>
      </c>
      <c r="C152" s="532"/>
      <c r="D152" s="532"/>
      <c r="E152" s="532"/>
      <c r="F152" s="532"/>
      <c r="G152" s="532"/>
      <c r="H152" s="532"/>
      <c r="I152" s="532"/>
      <c r="J152" s="532"/>
      <c r="K152" s="532"/>
      <c r="L152" s="532"/>
      <c r="M152" s="532"/>
      <c r="N152" s="532"/>
      <c r="O152" s="532"/>
      <c r="P152" s="532"/>
      <c r="Q152" s="532"/>
      <c r="R152" s="532"/>
      <c r="S152" s="532"/>
      <c r="T152" s="535">
        <v>0</v>
      </c>
      <c r="U152" s="420"/>
      <c r="V152" s="405"/>
    </row>
    <row r="153" spans="1:23" x14ac:dyDescent="0.3">
      <c r="A153" s="418"/>
      <c r="B153" s="568" t="s">
        <v>327</v>
      </c>
      <c r="C153" s="532"/>
      <c r="D153" s="532"/>
      <c r="E153" s="532"/>
      <c r="F153" s="532"/>
      <c r="G153" s="532"/>
      <c r="H153" s="532"/>
      <c r="I153" s="532"/>
      <c r="J153" s="532"/>
      <c r="K153" s="532"/>
      <c r="L153" s="532"/>
      <c r="M153" s="532"/>
      <c r="N153" s="532"/>
      <c r="O153" s="532"/>
      <c r="P153" s="532"/>
      <c r="Q153" s="532"/>
      <c r="R153" s="532"/>
      <c r="S153" s="532"/>
      <c r="T153" s="535">
        <v>0</v>
      </c>
      <c r="U153" s="420"/>
      <c r="V153" s="405"/>
    </row>
    <row r="154" spans="1:23" x14ac:dyDescent="0.3">
      <c r="A154" s="418"/>
      <c r="B154" s="448"/>
      <c r="C154" s="448"/>
      <c r="D154" s="448"/>
      <c r="E154" s="448"/>
      <c r="F154" s="448"/>
      <c r="G154" s="448"/>
      <c r="H154" s="448"/>
      <c r="I154" s="448"/>
      <c r="J154" s="448"/>
      <c r="K154" s="448"/>
      <c r="L154" s="448"/>
      <c r="M154" s="448"/>
      <c r="N154" s="448"/>
      <c r="O154" s="448"/>
      <c r="P154" s="448"/>
      <c r="Q154" s="448"/>
      <c r="R154" s="448"/>
      <c r="S154" s="448"/>
      <c r="T154" s="450"/>
      <c r="U154" s="451"/>
      <c r="V154" s="405"/>
    </row>
    <row r="155" spans="1:23" x14ac:dyDescent="0.3">
      <c r="A155" s="407"/>
      <c r="B155" s="444"/>
      <c r="C155" s="444"/>
      <c r="D155" s="444"/>
      <c r="E155" s="444"/>
      <c r="F155" s="444"/>
      <c r="G155" s="444"/>
      <c r="H155" s="444"/>
      <c r="I155" s="444"/>
      <c r="J155" s="444"/>
      <c r="K155" s="444"/>
      <c r="L155" s="444"/>
      <c r="M155" s="444"/>
      <c r="N155" s="444"/>
      <c r="O155" s="444"/>
      <c r="P155" s="444"/>
      <c r="Q155" s="444"/>
      <c r="R155" s="444"/>
      <c r="S155" s="444"/>
      <c r="T155" s="459"/>
      <c r="U155" s="444"/>
      <c r="V155" s="405"/>
    </row>
    <row r="156" spans="1:23" x14ac:dyDescent="0.3">
      <c r="A156" s="407"/>
      <c r="B156" s="523" t="s">
        <v>25</v>
      </c>
      <c r="C156" s="409"/>
      <c r="D156" s="409"/>
      <c r="E156" s="409"/>
      <c r="F156" s="409"/>
      <c r="G156" s="409"/>
      <c r="H156" s="409"/>
      <c r="I156" s="409"/>
      <c r="J156" s="409"/>
      <c r="K156" s="409"/>
      <c r="L156" s="409"/>
      <c r="M156" s="409"/>
      <c r="N156" s="409"/>
      <c r="O156" s="409"/>
      <c r="P156" s="409"/>
      <c r="Q156" s="409"/>
      <c r="R156" s="409"/>
      <c r="S156" s="409"/>
      <c r="T156" s="441"/>
      <c r="U156" s="409"/>
      <c r="V156" s="405"/>
    </row>
    <row r="157" spans="1:23" x14ac:dyDescent="0.3">
      <c r="A157" s="418"/>
      <c r="B157" s="532" t="s">
        <v>51</v>
      </c>
      <c r="C157" s="532"/>
      <c r="D157" s="532"/>
      <c r="E157" s="532"/>
      <c r="F157" s="532"/>
      <c r="G157" s="532"/>
      <c r="H157" s="532"/>
      <c r="I157" s="532"/>
      <c r="J157" s="532"/>
      <c r="K157" s="532"/>
      <c r="L157" s="532"/>
      <c r="M157" s="532"/>
      <c r="N157" s="532"/>
      <c r="O157" s="532"/>
      <c r="P157" s="532"/>
      <c r="Q157" s="532"/>
      <c r="R157" s="532"/>
      <c r="S157" s="532"/>
      <c r="T157" s="561" t="s">
        <v>127</v>
      </c>
      <c r="U157" s="451"/>
      <c r="V157" s="405"/>
    </row>
    <row r="158" spans="1:23" x14ac:dyDescent="0.3">
      <c r="A158" s="418"/>
      <c r="B158" s="532" t="s">
        <v>52</v>
      </c>
      <c r="C158" s="532"/>
      <c r="D158" s="532"/>
      <c r="E158" s="532"/>
      <c r="F158" s="532"/>
      <c r="G158" s="532"/>
      <c r="H158" s="532"/>
      <c r="I158" s="532"/>
      <c r="J158" s="532"/>
      <c r="K158" s="532"/>
      <c r="L158" s="532"/>
      <c r="M158" s="532"/>
      <c r="N158" s="532"/>
      <c r="O158" s="532"/>
      <c r="P158" s="532"/>
      <c r="Q158" s="532"/>
      <c r="R158" s="532"/>
      <c r="S158" s="532"/>
      <c r="T158" s="561" t="s">
        <v>127</v>
      </c>
      <c r="U158" s="451"/>
      <c r="V158" s="405"/>
    </row>
    <row r="159" spans="1:23" x14ac:dyDescent="0.3">
      <c r="A159" s="418"/>
      <c r="B159" s="532" t="s">
        <v>53</v>
      </c>
      <c r="C159" s="532"/>
      <c r="D159" s="532"/>
      <c r="E159" s="532"/>
      <c r="F159" s="532"/>
      <c r="G159" s="532"/>
      <c r="H159" s="532"/>
      <c r="I159" s="532"/>
      <c r="J159" s="532"/>
      <c r="K159" s="532"/>
      <c r="L159" s="532"/>
      <c r="M159" s="532"/>
      <c r="N159" s="532"/>
      <c r="O159" s="532"/>
      <c r="P159" s="532"/>
      <c r="Q159" s="532"/>
      <c r="R159" s="532"/>
      <c r="S159" s="532"/>
      <c r="T159" s="561" t="s">
        <v>127</v>
      </c>
      <c r="U159" s="451"/>
      <c r="V159" s="405"/>
    </row>
    <row r="160" spans="1:23" x14ac:dyDescent="0.3">
      <c r="A160" s="418"/>
      <c r="B160" s="532" t="s">
        <v>54</v>
      </c>
      <c r="C160" s="532"/>
      <c r="D160" s="532"/>
      <c r="E160" s="532"/>
      <c r="F160" s="532"/>
      <c r="G160" s="532"/>
      <c r="H160" s="532"/>
      <c r="I160" s="532"/>
      <c r="J160" s="532"/>
      <c r="K160" s="532"/>
      <c r="L160" s="532"/>
      <c r="M160" s="532"/>
      <c r="N160" s="532"/>
      <c r="O160" s="532"/>
      <c r="P160" s="532"/>
      <c r="Q160" s="532"/>
      <c r="R160" s="532"/>
      <c r="S160" s="532"/>
      <c r="T160" s="561" t="s">
        <v>127</v>
      </c>
      <c r="U160" s="451"/>
      <c r="V160" s="405"/>
    </row>
    <row r="161" spans="1:22" x14ac:dyDescent="0.3">
      <c r="A161" s="407"/>
      <c r="B161" s="444"/>
      <c r="C161" s="444"/>
      <c r="D161" s="444"/>
      <c r="E161" s="444"/>
      <c r="F161" s="444"/>
      <c r="G161" s="444"/>
      <c r="H161" s="444"/>
      <c r="I161" s="444"/>
      <c r="J161" s="444"/>
      <c r="K161" s="444"/>
      <c r="L161" s="444"/>
      <c r="M161" s="444"/>
      <c r="N161" s="444"/>
      <c r="O161" s="444"/>
      <c r="P161" s="444"/>
      <c r="Q161" s="444"/>
      <c r="R161" s="444"/>
      <c r="S161" s="444"/>
      <c r="T161" s="459"/>
      <c r="U161" s="444"/>
      <c r="V161" s="405"/>
    </row>
    <row r="162" spans="1:22" x14ac:dyDescent="0.3">
      <c r="A162" s="407"/>
      <c r="B162" s="523" t="s">
        <v>55</v>
      </c>
      <c r="C162" s="409"/>
      <c r="D162" s="409"/>
      <c r="E162" s="409"/>
      <c r="F162" s="409"/>
      <c r="G162" s="409"/>
      <c r="H162" s="409"/>
      <c r="I162" s="409"/>
      <c r="J162" s="409"/>
      <c r="K162" s="409"/>
      <c r="L162" s="409"/>
      <c r="M162" s="409"/>
      <c r="N162" s="409"/>
      <c r="O162" s="409"/>
      <c r="P162" s="409"/>
      <c r="Q162" s="409"/>
      <c r="R162" s="409"/>
      <c r="S162" s="409"/>
      <c r="T162" s="460"/>
      <c r="U162" s="409"/>
      <c r="V162" s="405"/>
    </row>
    <row r="163" spans="1:22" x14ac:dyDescent="0.3">
      <c r="A163" s="418"/>
      <c r="B163" s="532" t="s">
        <v>56</v>
      </c>
      <c r="C163" s="532"/>
      <c r="D163" s="532"/>
      <c r="E163" s="532"/>
      <c r="F163" s="532"/>
      <c r="G163" s="532"/>
      <c r="H163" s="532"/>
      <c r="I163" s="532"/>
      <c r="J163" s="532"/>
      <c r="K163" s="532"/>
      <c r="L163" s="532"/>
      <c r="M163" s="532"/>
      <c r="N163" s="532"/>
      <c r="O163" s="532"/>
      <c r="P163" s="532"/>
      <c r="Q163" s="532"/>
      <c r="R163" s="532"/>
      <c r="S163" s="532"/>
      <c r="T163" s="535">
        <v>0</v>
      </c>
      <c r="U163" s="451"/>
      <c r="V163" s="405"/>
    </row>
    <row r="164" spans="1:22" x14ac:dyDescent="0.3">
      <c r="A164" s="418"/>
      <c r="B164" s="532" t="s">
        <v>57</v>
      </c>
      <c r="C164" s="532"/>
      <c r="D164" s="532"/>
      <c r="E164" s="532"/>
      <c r="F164" s="532"/>
      <c r="G164" s="532"/>
      <c r="H164" s="532"/>
      <c r="I164" s="532"/>
      <c r="J164" s="532"/>
      <c r="K164" s="532"/>
      <c r="L164" s="532"/>
      <c r="M164" s="532"/>
      <c r="N164" s="532"/>
      <c r="O164" s="532"/>
      <c r="P164" s="532"/>
      <c r="Q164" s="532"/>
      <c r="R164" s="532"/>
      <c r="S164" s="532"/>
      <c r="T164" s="535">
        <f>-T113</f>
        <v>-1</v>
      </c>
      <c r="U164" s="451"/>
      <c r="V164" s="405"/>
    </row>
    <row r="165" spans="1:22" x14ac:dyDescent="0.3">
      <c r="A165" s="418"/>
      <c r="B165" s="532" t="s">
        <v>58</v>
      </c>
      <c r="C165" s="532"/>
      <c r="D165" s="532"/>
      <c r="E165" s="532"/>
      <c r="F165" s="532"/>
      <c r="G165" s="532"/>
      <c r="H165" s="532"/>
      <c r="I165" s="532"/>
      <c r="J165" s="532"/>
      <c r="K165" s="532"/>
      <c r="L165" s="532"/>
      <c r="M165" s="532"/>
      <c r="N165" s="532"/>
      <c r="O165" s="532"/>
      <c r="P165" s="532"/>
      <c r="Q165" s="532"/>
      <c r="R165" s="532"/>
      <c r="S165" s="532"/>
      <c r="T165" s="535">
        <f>T164+T163</f>
        <v>-1</v>
      </c>
      <c r="U165" s="451"/>
      <c r="V165" s="405"/>
    </row>
    <row r="166" spans="1:22" x14ac:dyDescent="0.3">
      <c r="A166" s="418"/>
      <c r="B166" s="568" t="s">
        <v>309</v>
      </c>
      <c r="C166" s="532"/>
      <c r="D166" s="532"/>
      <c r="E166" s="532"/>
      <c r="F166" s="532"/>
      <c r="G166" s="532"/>
      <c r="H166" s="532"/>
      <c r="I166" s="532"/>
      <c r="J166" s="532"/>
      <c r="K166" s="532"/>
      <c r="L166" s="532"/>
      <c r="M166" s="532"/>
      <c r="N166" s="532"/>
      <c r="O166" s="532"/>
      <c r="P166" s="532"/>
      <c r="Q166" s="532"/>
      <c r="R166" s="532"/>
      <c r="S166" s="532"/>
      <c r="T166" s="535">
        <f>T113</f>
        <v>1</v>
      </c>
      <c r="U166" s="451"/>
      <c r="V166" s="405"/>
    </row>
    <row r="167" spans="1:22" x14ac:dyDescent="0.3">
      <c r="A167" s="418"/>
      <c r="B167" s="532" t="s">
        <v>59</v>
      </c>
      <c r="C167" s="532"/>
      <c r="D167" s="532"/>
      <c r="E167" s="532"/>
      <c r="F167" s="532"/>
      <c r="G167" s="532"/>
      <c r="H167" s="532"/>
      <c r="I167" s="532"/>
      <c r="J167" s="532"/>
      <c r="K167" s="532"/>
      <c r="L167" s="532"/>
      <c r="M167" s="532"/>
      <c r="N167" s="532"/>
      <c r="O167" s="532"/>
      <c r="P167" s="532"/>
      <c r="Q167" s="532"/>
      <c r="R167" s="532"/>
      <c r="S167" s="532"/>
      <c r="T167" s="535">
        <f>T165+T166</f>
        <v>0</v>
      </c>
      <c r="U167" s="451"/>
      <c r="V167" s="405"/>
    </row>
    <row r="168" spans="1:22" x14ac:dyDescent="0.3">
      <c r="A168" s="418"/>
      <c r="B168" s="532" t="s">
        <v>278</v>
      </c>
      <c r="C168" s="532"/>
      <c r="D168" s="532"/>
      <c r="E168" s="532"/>
      <c r="F168" s="532"/>
      <c r="G168" s="532"/>
      <c r="H168" s="532"/>
      <c r="I168" s="532"/>
      <c r="J168" s="532"/>
      <c r="K168" s="532"/>
      <c r="L168" s="532"/>
      <c r="M168" s="532"/>
      <c r="N168" s="532"/>
      <c r="O168" s="532"/>
      <c r="P168" s="532"/>
      <c r="Q168" s="532"/>
      <c r="R168" s="532"/>
      <c r="S168" s="532"/>
      <c r="T168" s="535">
        <v>0</v>
      </c>
      <c r="U168" s="451"/>
      <c r="V168" s="405"/>
    </row>
    <row r="169" spans="1:22" ht="16.2" thickBot="1" x14ac:dyDescent="0.35">
      <c r="A169" s="407"/>
      <c r="B169" s="431"/>
      <c r="C169" s="431"/>
      <c r="D169" s="431"/>
      <c r="E169" s="431"/>
      <c r="F169" s="431"/>
      <c r="G169" s="431"/>
      <c r="H169" s="431"/>
      <c r="I169" s="431"/>
      <c r="J169" s="431"/>
      <c r="K169" s="431"/>
      <c r="L169" s="431"/>
      <c r="M169" s="431"/>
      <c r="N169" s="431"/>
      <c r="O169" s="431"/>
      <c r="P169" s="431"/>
      <c r="Q169" s="431"/>
      <c r="R169" s="431"/>
      <c r="S169" s="431"/>
      <c r="T169" s="461"/>
      <c r="U169" s="444"/>
      <c r="V169" s="405"/>
    </row>
    <row r="170" spans="1:22" x14ac:dyDescent="0.3">
      <c r="A170" s="403"/>
      <c r="B170" s="404"/>
      <c r="C170" s="404"/>
      <c r="D170" s="404"/>
      <c r="E170" s="404"/>
      <c r="F170" s="404"/>
      <c r="G170" s="404"/>
      <c r="H170" s="404"/>
      <c r="I170" s="404"/>
      <c r="J170" s="404"/>
      <c r="K170" s="404"/>
      <c r="L170" s="404"/>
      <c r="M170" s="404"/>
      <c r="N170" s="404"/>
      <c r="O170" s="404"/>
      <c r="P170" s="404"/>
      <c r="Q170" s="404"/>
      <c r="R170" s="404"/>
      <c r="S170" s="404"/>
      <c r="T170" s="462"/>
      <c r="U170" s="404"/>
      <c r="V170" s="405"/>
    </row>
    <row r="171" spans="1:22" x14ac:dyDescent="0.3">
      <c r="A171" s="407"/>
      <c r="B171" s="523" t="s">
        <v>60</v>
      </c>
      <c r="C171" s="409"/>
      <c r="D171" s="409"/>
      <c r="E171" s="409"/>
      <c r="F171" s="409"/>
      <c r="G171" s="409"/>
      <c r="H171" s="409"/>
      <c r="I171" s="409"/>
      <c r="J171" s="409"/>
      <c r="K171" s="409"/>
      <c r="L171" s="409"/>
      <c r="M171" s="409"/>
      <c r="N171" s="409"/>
      <c r="O171" s="409"/>
      <c r="P171" s="409"/>
      <c r="Q171" s="409"/>
      <c r="R171" s="409"/>
      <c r="S171" s="409"/>
      <c r="T171" s="441"/>
      <c r="U171" s="409"/>
      <c r="V171" s="405"/>
    </row>
    <row r="172" spans="1:22" x14ac:dyDescent="0.3">
      <c r="A172" s="407"/>
      <c r="B172" s="458"/>
      <c r="C172" s="409"/>
      <c r="D172" s="409"/>
      <c r="E172" s="409"/>
      <c r="F172" s="409"/>
      <c r="G172" s="409"/>
      <c r="H172" s="409"/>
      <c r="I172" s="409"/>
      <c r="J172" s="409"/>
      <c r="K172" s="409"/>
      <c r="L172" s="409"/>
      <c r="M172" s="409"/>
      <c r="N172" s="409"/>
      <c r="O172" s="409"/>
      <c r="P172" s="409"/>
      <c r="Q172" s="409"/>
      <c r="R172" s="409"/>
      <c r="S172" s="409"/>
      <c r="T172" s="441"/>
      <c r="U172" s="409"/>
      <c r="V172" s="405"/>
    </row>
    <row r="173" spans="1:22" x14ac:dyDescent="0.3">
      <c r="A173" s="418"/>
      <c r="B173" s="532" t="s">
        <v>61</v>
      </c>
      <c r="C173" s="532"/>
      <c r="D173" s="532"/>
      <c r="E173" s="532"/>
      <c r="F173" s="532"/>
      <c r="G173" s="532"/>
      <c r="H173" s="532"/>
      <c r="I173" s="532"/>
      <c r="J173" s="532"/>
      <c r="K173" s="532"/>
      <c r="L173" s="532"/>
      <c r="M173" s="532"/>
      <c r="N173" s="532"/>
      <c r="O173" s="532"/>
      <c r="P173" s="532"/>
      <c r="Q173" s="532"/>
      <c r="R173" s="532"/>
      <c r="S173" s="532"/>
      <c r="T173" s="535">
        <f>T68</f>
        <v>209482</v>
      </c>
      <c r="U173" s="451"/>
      <c r="V173" s="405"/>
    </row>
    <row r="174" spans="1:22" x14ac:dyDescent="0.3">
      <c r="A174" s="418"/>
      <c r="B174" s="532" t="s">
        <v>62</v>
      </c>
      <c r="C174" s="532"/>
      <c r="D174" s="532"/>
      <c r="E174" s="532"/>
      <c r="F174" s="532"/>
      <c r="G174" s="532"/>
      <c r="H174" s="532"/>
      <c r="I174" s="532"/>
      <c r="J174" s="532"/>
      <c r="K174" s="532"/>
      <c r="L174" s="532"/>
      <c r="M174" s="532"/>
      <c r="N174" s="532"/>
      <c r="O174" s="532"/>
      <c r="P174" s="532"/>
      <c r="Q174" s="532"/>
      <c r="R174" s="532"/>
      <c r="S174" s="532"/>
      <c r="T174" s="535">
        <f>T81</f>
        <v>209482</v>
      </c>
      <c r="U174" s="451"/>
      <c r="V174" s="405"/>
    </row>
    <row r="175" spans="1:22" ht="16.2" thickBot="1" x14ac:dyDescent="0.35">
      <c r="A175" s="407"/>
      <c r="B175" s="444"/>
      <c r="C175" s="444"/>
      <c r="D175" s="444"/>
      <c r="E175" s="444"/>
      <c r="F175" s="444"/>
      <c r="G175" s="444"/>
      <c r="H175" s="444"/>
      <c r="I175" s="444"/>
      <c r="J175" s="444"/>
      <c r="K175" s="444"/>
      <c r="L175" s="444"/>
      <c r="M175" s="444"/>
      <c r="N175" s="444"/>
      <c r="O175" s="444"/>
      <c r="P175" s="444"/>
      <c r="Q175" s="444"/>
      <c r="R175" s="444"/>
      <c r="S175" s="444"/>
      <c r="T175" s="459"/>
      <c r="U175" s="444"/>
      <c r="V175" s="405"/>
    </row>
    <row r="176" spans="1:22" x14ac:dyDescent="0.3">
      <c r="A176" s="403"/>
      <c r="B176" s="404"/>
      <c r="C176" s="404"/>
      <c r="D176" s="404"/>
      <c r="E176" s="404"/>
      <c r="F176" s="404"/>
      <c r="G176" s="404"/>
      <c r="H176" s="404"/>
      <c r="I176" s="404"/>
      <c r="J176" s="404"/>
      <c r="K176" s="404"/>
      <c r="L176" s="404"/>
      <c r="M176" s="404"/>
      <c r="N176" s="404"/>
      <c r="O176" s="404"/>
      <c r="P176" s="404"/>
      <c r="Q176" s="404"/>
      <c r="R176" s="404"/>
      <c r="S176" s="404"/>
      <c r="T176" s="462"/>
      <c r="U176" s="404"/>
      <c r="V176" s="405"/>
    </row>
    <row r="177" spans="1:22" s="529" customFormat="1" x14ac:dyDescent="0.3">
      <c r="A177" s="524"/>
      <c r="B177" s="523" t="s">
        <v>63</v>
      </c>
      <c r="C177" s="525"/>
      <c r="D177" s="525"/>
      <c r="E177" s="525"/>
      <c r="F177" s="525"/>
      <c r="G177" s="525"/>
      <c r="H177" s="526"/>
      <c r="I177" s="526"/>
      <c r="J177" s="526"/>
      <c r="K177" s="526"/>
      <c r="L177" s="526"/>
      <c r="M177" s="526"/>
      <c r="N177" s="526"/>
      <c r="O177" s="526"/>
      <c r="P177" s="526"/>
      <c r="Q177" s="526" t="s">
        <v>107</v>
      </c>
      <c r="R177" s="526" t="s">
        <v>234</v>
      </c>
      <c r="S177" s="411"/>
      <c r="T177" s="527" t="s">
        <v>123</v>
      </c>
      <c r="U177" s="411"/>
      <c r="V177" s="528"/>
    </row>
    <row r="178" spans="1:22" x14ac:dyDescent="0.3">
      <c r="A178" s="418"/>
      <c r="B178" s="532" t="s">
        <v>64</v>
      </c>
      <c r="C178" s="532"/>
      <c r="D178" s="532"/>
      <c r="E178" s="532"/>
      <c r="F178" s="532"/>
      <c r="G178" s="532"/>
      <c r="H178" s="532"/>
      <c r="I178" s="532"/>
      <c r="J178" s="532"/>
      <c r="K178" s="532"/>
      <c r="L178" s="532"/>
      <c r="M178" s="532"/>
      <c r="N178" s="532"/>
      <c r="O178" s="532"/>
      <c r="P178" s="532"/>
      <c r="Q178" s="535">
        <v>112000</v>
      </c>
      <c r="R178" s="550"/>
      <c r="S178" s="532"/>
      <c r="T178" s="535"/>
      <c r="U178" s="420"/>
      <c r="V178" s="405"/>
    </row>
    <row r="179" spans="1:22" x14ac:dyDescent="0.3">
      <c r="A179" s="418"/>
      <c r="B179" s="532" t="s">
        <v>65</v>
      </c>
      <c r="C179" s="532"/>
      <c r="D179" s="532"/>
      <c r="E179" s="532"/>
      <c r="F179" s="532"/>
      <c r="G179" s="532"/>
      <c r="H179" s="532"/>
      <c r="I179" s="532"/>
      <c r="J179" s="532"/>
      <c r="K179" s="532"/>
      <c r="L179" s="532"/>
      <c r="M179" s="532"/>
      <c r="N179" s="532"/>
      <c r="O179" s="532"/>
      <c r="P179" s="532"/>
      <c r="Q179" s="535">
        <f>+'Jan 19'!Q181</f>
        <v>50882</v>
      </c>
      <c r="R179" s="535">
        <f>+'Jan 19'!R181</f>
        <v>2435</v>
      </c>
      <c r="S179" s="532"/>
      <c r="T179" s="535">
        <f>Q179+R179</f>
        <v>53317</v>
      </c>
      <c r="U179" s="420"/>
      <c r="V179" s="405"/>
    </row>
    <row r="180" spans="1:22" x14ac:dyDescent="0.3">
      <c r="A180" s="418"/>
      <c r="B180" s="532" t="s">
        <v>66</v>
      </c>
      <c r="C180" s="532"/>
      <c r="D180" s="532"/>
      <c r="E180" s="532"/>
      <c r="F180" s="532"/>
      <c r="G180" s="532"/>
      <c r="H180" s="532"/>
      <c r="I180" s="532"/>
      <c r="J180" s="532"/>
      <c r="K180" s="532"/>
      <c r="L180" s="532"/>
      <c r="M180" s="532"/>
      <c r="N180" s="532"/>
      <c r="O180" s="532"/>
      <c r="P180" s="532"/>
      <c r="Q180" s="531">
        <v>0</v>
      </c>
      <c r="R180" s="531">
        <v>0</v>
      </c>
      <c r="S180" s="532"/>
      <c r="T180" s="535">
        <f>Q180+R180</f>
        <v>0</v>
      </c>
      <c r="U180" s="420"/>
      <c r="V180" s="405"/>
    </row>
    <row r="181" spans="1:22" x14ac:dyDescent="0.3">
      <c r="A181" s="418"/>
      <c r="B181" s="532" t="s">
        <v>67</v>
      </c>
      <c r="C181" s="532"/>
      <c r="D181" s="532"/>
      <c r="E181" s="532"/>
      <c r="F181" s="532"/>
      <c r="G181" s="532"/>
      <c r="H181" s="532"/>
      <c r="I181" s="532"/>
      <c r="J181" s="532"/>
      <c r="K181" s="532"/>
      <c r="L181" s="532"/>
      <c r="M181" s="532"/>
      <c r="N181" s="532"/>
      <c r="O181" s="532"/>
      <c r="P181" s="532"/>
      <c r="Q181" s="535">
        <f>Q179+Q180</f>
        <v>50882</v>
      </c>
      <c r="R181" s="535">
        <f>R180+R179</f>
        <v>2435</v>
      </c>
      <c r="S181" s="532"/>
      <c r="T181" s="535">
        <f>Q181+R181</f>
        <v>53317</v>
      </c>
      <c r="U181" s="420"/>
      <c r="V181" s="405"/>
    </row>
    <row r="182" spans="1:22" x14ac:dyDescent="0.3">
      <c r="A182" s="418"/>
      <c r="B182" s="532" t="s">
        <v>68</v>
      </c>
      <c r="C182" s="532"/>
      <c r="D182" s="532"/>
      <c r="E182" s="532"/>
      <c r="F182" s="532"/>
      <c r="G182" s="532"/>
      <c r="H182" s="532"/>
      <c r="I182" s="532"/>
      <c r="J182" s="532"/>
      <c r="K182" s="532"/>
      <c r="L182" s="532"/>
      <c r="M182" s="532"/>
      <c r="N182" s="532"/>
      <c r="O182" s="532"/>
      <c r="P182" s="532"/>
      <c r="Q182" s="535">
        <f>Q178-Q181-R181</f>
        <v>58683</v>
      </c>
      <c r="R182" s="550"/>
      <c r="S182" s="532"/>
      <c r="T182" s="535"/>
      <c r="U182" s="420"/>
      <c r="V182" s="405"/>
    </row>
    <row r="183" spans="1:22" ht="16.2" thickBot="1" x14ac:dyDescent="0.35">
      <c r="A183" s="407"/>
      <c r="B183" s="444"/>
      <c r="C183" s="444"/>
      <c r="D183" s="444"/>
      <c r="E183" s="444"/>
      <c r="F183" s="444"/>
      <c r="G183" s="444"/>
      <c r="H183" s="444"/>
      <c r="I183" s="444"/>
      <c r="J183" s="444"/>
      <c r="K183" s="444"/>
      <c r="L183" s="444"/>
      <c r="M183" s="444"/>
      <c r="N183" s="444"/>
      <c r="O183" s="444"/>
      <c r="P183" s="444"/>
      <c r="Q183" s="444"/>
      <c r="R183" s="444"/>
      <c r="S183" s="444"/>
      <c r="T183" s="459"/>
      <c r="U183" s="444"/>
      <c r="V183" s="405"/>
    </row>
    <row r="184" spans="1:22" x14ac:dyDescent="0.3">
      <c r="A184" s="403"/>
      <c r="B184" s="404"/>
      <c r="C184" s="404"/>
      <c r="D184" s="404"/>
      <c r="E184" s="404"/>
      <c r="F184" s="404"/>
      <c r="G184" s="404"/>
      <c r="H184" s="404"/>
      <c r="I184" s="404"/>
      <c r="J184" s="404"/>
      <c r="K184" s="404"/>
      <c r="L184" s="404"/>
      <c r="M184" s="404"/>
      <c r="N184" s="404"/>
      <c r="O184" s="404"/>
      <c r="P184" s="404"/>
      <c r="Q184" s="404"/>
      <c r="R184" s="404"/>
      <c r="S184" s="404"/>
      <c r="T184" s="462"/>
      <c r="U184" s="404"/>
      <c r="V184" s="405"/>
    </row>
    <row r="185" spans="1:22" x14ac:dyDescent="0.3">
      <c r="A185" s="407"/>
      <c r="B185" s="523" t="s">
        <v>69</v>
      </c>
      <c r="C185" s="409"/>
      <c r="D185" s="409"/>
      <c r="E185" s="409"/>
      <c r="F185" s="409"/>
      <c r="G185" s="409"/>
      <c r="H185" s="409"/>
      <c r="I185" s="409"/>
      <c r="J185" s="409"/>
      <c r="K185" s="409"/>
      <c r="L185" s="409"/>
      <c r="M185" s="409"/>
      <c r="N185" s="409"/>
      <c r="O185" s="409"/>
      <c r="P185" s="409"/>
      <c r="Q185" s="409"/>
      <c r="R185" s="409"/>
      <c r="S185" s="409"/>
      <c r="T185" s="463"/>
      <c r="U185" s="409"/>
      <c r="V185" s="405"/>
    </row>
    <row r="186" spans="1:22" x14ac:dyDescent="0.3">
      <c r="A186" s="418"/>
      <c r="B186" s="532" t="s">
        <v>70</v>
      </c>
      <c r="C186" s="532"/>
      <c r="D186" s="532"/>
      <c r="E186" s="532"/>
      <c r="F186" s="532"/>
      <c r="G186" s="532"/>
      <c r="H186" s="532"/>
      <c r="I186" s="532"/>
      <c r="J186" s="532"/>
      <c r="K186" s="532"/>
      <c r="L186" s="532"/>
      <c r="M186" s="532"/>
      <c r="N186" s="532"/>
      <c r="O186" s="532"/>
      <c r="P186" s="532"/>
      <c r="Q186" s="532"/>
      <c r="R186" s="532"/>
      <c r="S186" s="532"/>
      <c r="T186" s="561">
        <f>(T97+T99+T100+T101+T102+T103)/-(T104+T105+T106)</f>
        <v>2.7242063492063493</v>
      </c>
      <c r="U186" s="562" t="s">
        <v>124</v>
      </c>
      <c r="V186" s="405"/>
    </row>
    <row r="187" spans="1:22" x14ac:dyDescent="0.3">
      <c r="A187" s="418"/>
      <c r="B187" s="532" t="s">
        <v>71</v>
      </c>
      <c r="C187" s="532"/>
      <c r="D187" s="532"/>
      <c r="E187" s="532"/>
      <c r="F187" s="532"/>
      <c r="G187" s="532"/>
      <c r="H187" s="532"/>
      <c r="I187" s="532"/>
      <c r="J187" s="532"/>
      <c r="K187" s="532"/>
      <c r="L187" s="532"/>
      <c r="M187" s="532"/>
      <c r="N187" s="532"/>
      <c r="O187" s="532"/>
      <c r="P187" s="532"/>
      <c r="Q187" s="532"/>
      <c r="R187" s="532"/>
      <c r="S187" s="532"/>
      <c r="T187" s="563">
        <v>1.74</v>
      </c>
      <c r="U187" s="562" t="s">
        <v>124</v>
      </c>
      <c r="V187" s="405"/>
    </row>
    <row r="188" spans="1:22" x14ac:dyDescent="0.3">
      <c r="A188" s="418"/>
      <c r="B188" s="532" t="s">
        <v>72</v>
      </c>
      <c r="C188" s="532"/>
      <c r="D188" s="532"/>
      <c r="E188" s="532"/>
      <c r="F188" s="532"/>
      <c r="G188" s="532"/>
      <c r="H188" s="532"/>
      <c r="I188" s="532"/>
      <c r="J188" s="532"/>
      <c r="K188" s="532"/>
      <c r="L188" s="532"/>
      <c r="M188" s="532"/>
      <c r="N188" s="532"/>
      <c r="O188" s="532"/>
      <c r="P188" s="532"/>
      <c r="Q188" s="532"/>
      <c r="R188" s="532"/>
      <c r="S188" s="532"/>
      <c r="T188" s="561">
        <f>(T97+T99+T100+T101+T102+T103+T104+T105+T106)/-(T107+T108)</f>
        <v>14.483333333333333</v>
      </c>
      <c r="U188" s="562" t="s">
        <v>124</v>
      </c>
      <c r="V188" s="405"/>
    </row>
    <row r="189" spans="1:22" x14ac:dyDescent="0.3">
      <c r="A189" s="418"/>
      <c r="B189" s="532" t="s">
        <v>73</v>
      </c>
      <c r="C189" s="532"/>
      <c r="D189" s="532"/>
      <c r="E189" s="532"/>
      <c r="F189" s="532"/>
      <c r="G189" s="532"/>
      <c r="H189" s="532"/>
      <c r="I189" s="532"/>
      <c r="J189" s="532"/>
      <c r="K189" s="532"/>
      <c r="L189" s="532"/>
      <c r="M189" s="532"/>
      <c r="N189" s="532"/>
      <c r="O189" s="532"/>
      <c r="P189" s="532"/>
      <c r="Q189" s="532"/>
      <c r="R189" s="532"/>
      <c r="S189" s="532"/>
      <c r="T189" s="564">
        <v>9.9700000000000006</v>
      </c>
      <c r="U189" s="562" t="s">
        <v>124</v>
      </c>
      <c r="V189" s="405"/>
    </row>
    <row r="190" spans="1:22" x14ac:dyDescent="0.3">
      <c r="A190" s="418"/>
      <c r="B190" s="532" t="s">
        <v>243</v>
      </c>
      <c r="C190" s="532"/>
      <c r="D190" s="532"/>
      <c r="E190" s="532"/>
      <c r="F190" s="532"/>
      <c r="G190" s="532"/>
      <c r="H190" s="532"/>
      <c r="I190" s="532"/>
      <c r="J190" s="532"/>
      <c r="K190" s="532"/>
      <c r="L190" s="532"/>
      <c r="M190" s="532"/>
      <c r="N190" s="532"/>
      <c r="O190" s="532"/>
      <c r="P190" s="532"/>
      <c r="Q190" s="532"/>
      <c r="R190" s="532"/>
      <c r="S190" s="532"/>
      <c r="T190" s="561">
        <f>(T97+T99+T100+T101+T102+T103+T104+T105+T106+T107+T108)/-(T109+T110)</f>
        <v>5.697183098591549</v>
      </c>
      <c r="U190" s="562" t="s">
        <v>124</v>
      </c>
      <c r="V190" s="405"/>
    </row>
    <row r="191" spans="1:22" x14ac:dyDescent="0.3">
      <c r="A191" s="418"/>
      <c r="B191" s="532" t="s">
        <v>244</v>
      </c>
      <c r="C191" s="532"/>
      <c r="D191" s="532"/>
      <c r="E191" s="532"/>
      <c r="F191" s="532"/>
      <c r="G191" s="532"/>
      <c r="H191" s="532"/>
      <c r="I191" s="532"/>
      <c r="J191" s="532"/>
      <c r="K191" s="532"/>
      <c r="L191" s="532"/>
      <c r="M191" s="532"/>
      <c r="N191" s="532"/>
      <c r="O191" s="532"/>
      <c r="P191" s="532"/>
      <c r="Q191" s="532"/>
      <c r="R191" s="532"/>
      <c r="S191" s="532"/>
      <c r="T191" s="564">
        <v>4.3899999999999997</v>
      </c>
      <c r="U191" s="562" t="s">
        <v>124</v>
      </c>
      <c r="V191" s="405"/>
    </row>
    <row r="192" spans="1:22" x14ac:dyDescent="0.3">
      <c r="A192" s="418"/>
      <c r="B192" s="532"/>
      <c r="C192" s="532"/>
      <c r="D192" s="532"/>
      <c r="E192" s="532"/>
      <c r="F192" s="532"/>
      <c r="G192" s="532"/>
      <c r="H192" s="532"/>
      <c r="I192" s="532"/>
      <c r="J192" s="532"/>
      <c r="K192" s="532"/>
      <c r="L192" s="532"/>
      <c r="M192" s="532"/>
      <c r="N192" s="532"/>
      <c r="O192" s="532"/>
      <c r="P192" s="532"/>
      <c r="Q192" s="532"/>
      <c r="R192" s="532"/>
      <c r="S192" s="532"/>
      <c r="T192" s="532"/>
      <c r="U192" s="562"/>
      <c r="V192" s="405"/>
    </row>
    <row r="193" spans="1:22" x14ac:dyDescent="0.3">
      <c r="A193" s="407"/>
      <c r="B193" s="539"/>
      <c r="C193" s="539"/>
      <c r="D193" s="539"/>
      <c r="E193" s="539"/>
      <c r="F193" s="539"/>
      <c r="G193" s="539"/>
      <c r="H193" s="539"/>
      <c r="I193" s="539"/>
      <c r="J193" s="539"/>
      <c r="K193" s="539"/>
      <c r="L193" s="539"/>
      <c r="M193" s="539"/>
      <c r="N193" s="539"/>
      <c r="O193" s="539"/>
      <c r="P193" s="539"/>
      <c r="Q193" s="539"/>
      <c r="R193" s="539"/>
      <c r="S193" s="539"/>
      <c r="T193" s="539"/>
      <c r="U193" s="539"/>
      <c r="V193" s="405"/>
    </row>
    <row r="194" spans="1:22" x14ac:dyDescent="0.3">
      <c r="A194" s="407"/>
      <c r="B194" s="542"/>
      <c r="C194" s="542"/>
      <c r="D194" s="542"/>
      <c r="E194" s="542"/>
      <c r="F194" s="542"/>
      <c r="G194" s="542"/>
      <c r="H194" s="542"/>
      <c r="I194" s="542"/>
      <c r="J194" s="542"/>
      <c r="K194" s="542"/>
      <c r="L194" s="542"/>
      <c r="M194" s="542"/>
      <c r="N194" s="542"/>
      <c r="O194" s="542"/>
      <c r="P194" s="542"/>
      <c r="Q194" s="542"/>
      <c r="R194" s="542"/>
      <c r="S194" s="542"/>
      <c r="T194" s="542"/>
      <c r="U194" s="542"/>
      <c r="V194" s="405"/>
    </row>
    <row r="195" spans="1:22" ht="18.600000000000001" thickBot="1" x14ac:dyDescent="0.4">
      <c r="A195" s="464"/>
      <c r="B195" s="565" t="str">
        <f>B134</f>
        <v>PM9 INVESTOR REPORT QUARTER ENDING APRIL 2019</v>
      </c>
      <c r="C195" s="566"/>
      <c r="D195" s="566"/>
      <c r="E195" s="566"/>
      <c r="F195" s="566"/>
      <c r="G195" s="566"/>
      <c r="H195" s="566"/>
      <c r="I195" s="566"/>
      <c r="J195" s="566"/>
      <c r="K195" s="566"/>
      <c r="L195" s="566"/>
      <c r="M195" s="566"/>
      <c r="N195" s="566"/>
      <c r="O195" s="566"/>
      <c r="P195" s="566"/>
      <c r="Q195" s="566"/>
      <c r="R195" s="566"/>
      <c r="S195" s="566"/>
      <c r="T195" s="566"/>
      <c r="U195" s="567"/>
      <c r="V195" s="405"/>
    </row>
    <row r="196" spans="1:22" x14ac:dyDescent="0.3">
      <c r="A196" s="507"/>
      <c r="B196" s="508" t="s">
        <v>74</v>
      </c>
      <c r="C196" s="511"/>
      <c r="D196" s="511"/>
      <c r="E196" s="511"/>
      <c r="F196" s="511"/>
      <c r="G196" s="512"/>
      <c r="H196" s="512"/>
      <c r="I196" s="512"/>
      <c r="J196" s="512"/>
      <c r="K196" s="512"/>
      <c r="L196" s="512"/>
      <c r="M196" s="512"/>
      <c r="N196" s="512"/>
      <c r="O196" s="512"/>
      <c r="P196" s="512"/>
      <c r="Q196" s="512"/>
      <c r="R196" s="512">
        <v>43585</v>
      </c>
      <c r="S196" s="509"/>
      <c r="T196" s="509"/>
      <c r="U196" s="509"/>
      <c r="V196" s="405"/>
    </row>
    <row r="197" spans="1:22" x14ac:dyDescent="0.3">
      <c r="A197" s="465"/>
      <c r="B197" s="466"/>
      <c r="C197" s="467"/>
      <c r="D197" s="467"/>
      <c r="E197" s="467"/>
      <c r="F197" s="467"/>
      <c r="G197" s="468"/>
      <c r="H197" s="468"/>
      <c r="I197" s="468"/>
      <c r="J197" s="468"/>
      <c r="K197" s="468"/>
      <c r="L197" s="468"/>
      <c r="M197" s="468"/>
      <c r="N197" s="468"/>
      <c r="O197" s="468"/>
      <c r="P197" s="468"/>
      <c r="Q197" s="468"/>
      <c r="R197" s="468"/>
      <c r="S197" s="409"/>
      <c r="T197" s="409"/>
      <c r="U197" s="409"/>
      <c r="V197" s="405"/>
    </row>
    <row r="198" spans="1:22" x14ac:dyDescent="0.3">
      <c r="A198" s="469"/>
      <c r="B198" s="532" t="s">
        <v>75</v>
      </c>
      <c r="C198" s="556"/>
      <c r="D198" s="556"/>
      <c r="E198" s="556"/>
      <c r="F198" s="556"/>
      <c r="G198" s="557"/>
      <c r="H198" s="557"/>
      <c r="I198" s="557"/>
      <c r="J198" s="557"/>
      <c r="K198" s="557"/>
      <c r="L198" s="557"/>
      <c r="M198" s="557"/>
      <c r="N198" s="557"/>
      <c r="O198" s="557"/>
      <c r="P198" s="557"/>
      <c r="Q198" s="557"/>
      <c r="R198" s="558">
        <v>5.8209999999999998E-2</v>
      </c>
      <c r="S198" s="532"/>
      <c r="T198" s="419"/>
      <c r="U198" s="451"/>
      <c r="V198" s="405"/>
    </row>
    <row r="199" spans="1:22" x14ac:dyDescent="0.3">
      <c r="A199" s="469"/>
      <c r="B199" s="532" t="s">
        <v>164</v>
      </c>
      <c r="C199" s="556"/>
      <c r="D199" s="556"/>
      <c r="E199" s="556"/>
      <c r="F199" s="556"/>
      <c r="G199" s="557"/>
      <c r="H199" s="557"/>
      <c r="I199" s="557"/>
      <c r="J199" s="557"/>
      <c r="K199" s="557"/>
      <c r="L199" s="557"/>
      <c r="M199" s="557"/>
      <c r="N199" s="557"/>
      <c r="O199" s="557"/>
      <c r="P199" s="557"/>
      <c r="Q199" s="557"/>
      <c r="R199" s="558">
        <f>'Oct 05'!R193</f>
        <v>4.8438496428571419E-2</v>
      </c>
      <c r="S199" s="532"/>
      <c r="T199" s="419"/>
      <c r="U199" s="451"/>
      <c r="V199" s="405"/>
    </row>
    <row r="200" spans="1:22" x14ac:dyDescent="0.3">
      <c r="A200" s="469"/>
      <c r="B200" s="532" t="s">
        <v>76</v>
      </c>
      <c r="C200" s="556"/>
      <c r="D200" s="556"/>
      <c r="E200" s="556"/>
      <c r="F200" s="556"/>
      <c r="G200" s="557"/>
      <c r="H200" s="557"/>
      <c r="I200" s="557"/>
      <c r="J200" s="557"/>
      <c r="K200" s="557"/>
      <c r="L200" s="557"/>
      <c r="M200" s="557"/>
      <c r="N200" s="557"/>
      <c r="O200" s="557"/>
      <c r="P200" s="557"/>
      <c r="Q200" s="557"/>
      <c r="R200" s="558">
        <f>R198-R199</f>
        <v>9.7715035714285789E-3</v>
      </c>
      <c r="S200" s="532"/>
      <c r="T200" s="419"/>
      <c r="U200" s="451"/>
      <c r="V200" s="405"/>
    </row>
    <row r="201" spans="1:22" x14ac:dyDescent="0.3">
      <c r="A201" s="469"/>
      <c r="B201" s="532" t="s">
        <v>77</v>
      </c>
      <c r="C201" s="556"/>
      <c r="D201" s="556"/>
      <c r="E201" s="556"/>
      <c r="F201" s="556"/>
      <c r="G201" s="557"/>
      <c r="H201" s="557"/>
      <c r="I201" s="557"/>
      <c r="J201" s="557"/>
      <c r="K201" s="557"/>
      <c r="L201" s="557"/>
      <c r="M201" s="557"/>
      <c r="N201" s="557"/>
      <c r="O201" s="557"/>
      <c r="P201" s="557"/>
      <c r="Q201" s="557"/>
      <c r="R201" s="558">
        <v>2.6440000000000002E-2</v>
      </c>
      <c r="S201" s="532"/>
      <c r="T201" s="419"/>
      <c r="U201" s="451"/>
      <c r="V201" s="405"/>
    </row>
    <row r="202" spans="1:22" x14ac:dyDescent="0.3">
      <c r="A202" s="469"/>
      <c r="B202" s="532" t="s">
        <v>257</v>
      </c>
      <c r="C202" s="556"/>
      <c r="D202" s="556"/>
      <c r="E202" s="556"/>
      <c r="F202" s="556"/>
      <c r="G202" s="557"/>
      <c r="H202" s="557"/>
      <c r="I202" s="557"/>
      <c r="J202" s="557"/>
      <c r="K202" s="557"/>
      <c r="L202" s="557"/>
      <c r="M202" s="557"/>
      <c r="N202" s="557"/>
      <c r="O202" s="557"/>
      <c r="P202" s="557"/>
      <c r="Q202" s="557"/>
      <c r="R202" s="558">
        <f>+T41</f>
        <v>1.3637889092082297E-2</v>
      </c>
      <c r="S202" s="532"/>
      <c r="T202" s="419"/>
      <c r="U202" s="451"/>
      <c r="V202" s="405"/>
    </row>
    <row r="203" spans="1:22" x14ac:dyDescent="0.3">
      <c r="A203" s="469"/>
      <c r="B203" s="532" t="s">
        <v>78</v>
      </c>
      <c r="C203" s="556"/>
      <c r="D203" s="556"/>
      <c r="E203" s="556"/>
      <c r="F203" s="556"/>
      <c r="G203" s="557"/>
      <c r="H203" s="557"/>
      <c r="I203" s="557"/>
      <c r="J203" s="557"/>
      <c r="K203" s="557"/>
      <c r="L203" s="557"/>
      <c r="M203" s="557"/>
      <c r="N203" s="557"/>
      <c r="O203" s="557"/>
      <c r="P203" s="557"/>
      <c r="Q203" s="557"/>
      <c r="R203" s="558">
        <f>R201-R202</f>
        <v>1.2802110907917705E-2</v>
      </c>
      <c r="S203" s="532"/>
      <c r="T203" s="419"/>
      <c r="U203" s="451"/>
      <c r="V203" s="405"/>
    </row>
    <row r="204" spans="1:22" x14ac:dyDescent="0.3">
      <c r="A204" s="469"/>
      <c r="B204" s="532" t="s">
        <v>268</v>
      </c>
      <c r="C204" s="556"/>
      <c r="D204" s="556"/>
      <c r="E204" s="556"/>
      <c r="F204" s="556"/>
      <c r="G204" s="557"/>
      <c r="H204" s="557"/>
      <c r="I204" s="557"/>
      <c r="J204" s="557"/>
      <c r="K204" s="557"/>
      <c r="L204" s="557"/>
      <c r="M204" s="557"/>
      <c r="N204" s="557"/>
      <c r="O204" s="557"/>
      <c r="P204" s="557"/>
      <c r="Q204" s="557"/>
      <c r="R204" s="558">
        <f>+T97/L68</f>
        <v>7.024196545770192E-3</v>
      </c>
      <c r="S204" s="532"/>
      <c r="T204" s="419"/>
      <c r="U204" s="451"/>
      <c r="V204" s="405"/>
    </row>
    <row r="205" spans="1:22" x14ac:dyDescent="0.3">
      <c r="A205" s="469"/>
      <c r="B205" s="532" t="s">
        <v>249</v>
      </c>
      <c r="C205" s="556"/>
      <c r="D205" s="556"/>
      <c r="E205" s="556"/>
      <c r="F205" s="556"/>
      <c r="G205" s="557"/>
      <c r="H205" s="557"/>
      <c r="I205" s="557"/>
      <c r="J205" s="557"/>
      <c r="K205" s="557"/>
      <c r="L205" s="557"/>
      <c r="M205" s="557"/>
      <c r="N205" s="557"/>
      <c r="O205" s="557"/>
      <c r="P205" s="557"/>
      <c r="Q205" s="557"/>
      <c r="R205" s="559">
        <v>51622</v>
      </c>
      <c r="S205" s="532"/>
      <c r="T205" s="419"/>
      <c r="U205" s="451"/>
      <c r="V205" s="405"/>
    </row>
    <row r="206" spans="1:22" x14ac:dyDescent="0.3">
      <c r="A206" s="469"/>
      <c r="B206" s="532" t="s">
        <v>250</v>
      </c>
      <c r="C206" s="556"/>
      <c r="D206" s="556"/>
      <c r="E206" s="556"/>
      <c r="F206" s="556"/>
      <c r="G206" s="557"/>
      <c r="H206" s="557"/>
      <c r="I206" s="557"/>
      <c r="J206" s="557"/>
      <c r="K206" s="557"/>
      <c r="L206" s="557"/>
      <c r="M206" s="557"/>
      <c r="N206" s="557"/>
      <c r="O206" s="557"/>
      <c r="P206" s="557"/>
      <c r="Q206" s="557"/>
      <c r="R206" s="559">
        <v>51622</v>
      </c>
      <c r="S206" s="532"/>
      <c r="T206" s="419"/>
      <c r="U206" s="451"/>
      <c r="V206" s="405"/>
    </row>
    <row r="207" spans="1:22" x14ac:dyDescent="0.3">
      <c r="A207" s="469"/>
      <c r="B207" s="532" t="s">
        <v>251</v>
      </c>
      <c r="C207" s="556"/>
      <c r="D207" s="556"/>
      <c r="E207" s="556"/>
      <c r="F207" s="556"/>
      <c r="G207" s="557"/>
      <c r="H207" s="557"/>
      <c r="I207" s="557"/>
      <c r="J207" s="557"/>
      <c r="K207" s="557"/>
      <c r="L207" s="557"/>
      <c r="M207" s="557"/>
      <c r="N207" s="557"/>
      <c r="O207" s="557"/>
      <c r="P207" s="557"/>
      <c r="Q207" s="557"/>
      <c r="R207" s="559">
        <v>51622</v>
      </c>
      <c r="S207" s="532"/>
      <c r="T207" s="419"/>
      <c r="U207" s="451"/>
      <c r="V207" s="405"/>
    </row>
    <row r="208" spans="1:22" x14ac:dyDescent="0.3">
      <c r="A208" s="469"/>
      <c r="B208" s="532" t="s">
        <v>79</v>
      </c>
      <c r="C208" s="556"/>
      <c r="D208" s="556"/>
      <c r="E208" s="556"/>
      <c r="F208" s="556"/>
      <c r="G208" s="557"/>
      <c r="H208" s="557"/>
      <c r="I208" s="557"/>
      <c r="J208" s="557"/>
      <c r="K208" s="557"/>
      <c r="L208" s="557"/>
      <c r="M208" s="557"/>
      <c r="N208" s="557"/>
      <c r="O208" s="557"/>
      <c r="P208" s="557"/>
      <c r="Q208" s="557"/>
      <c r="R208" s="560">
        <v>20.95</v>
      </c>
      <c r="S208" s="532" t="s">
        <v>119</v>
      </c>
      <c r="T208" s="419"/>
      <c r="U208" s="451"/>
      <c r="V208" s="405"/>
    </row>
    <row r="209" spans="1:22" x14ac:dyDescent="0.3">
      <c r="A209" s="469"/>
      <c r="B209" s="532" t="s">
        <v>80</v>
      </c>
      <c r="C209" s="556"/>
      <c r="D209" s="556"/>
      <c r="E209" s="556"/>
      <c r="F209" s="556"/>
      <c r="G209" s="557"/>
      <c r="H209" s="557"/>
      <c r="I209" s="557"/>
      <c r="J209" s="557"/>
      <c r="K209" s="557"/>
      <c r="L209" s="557"/>
      <c r="M209" s="557"/>
      <c r="N209" s="557"/>
      <c r="O209" s="557"/>
      <c r="P209" s="557"/>
      <c r="Q209" s="557"/>
      <c r="R209" s="560">
        <v>8.8000000000000007</v>
      </c>
      <c r="S209" s="532" t="s">
        <v>119</v>
      </c>
      <c r="T209" s="419"/>
      <c r="U209" s="451"/>
      <c r="V209" s="405"/>
    </row>
    <row r="210" spans="1:22" x14ac:dyDescent="0.3">
      <c r="A210" s="469"/>
      <c r="B210" s="532" t="s">
        <v>81</v>
      </c>
      <c r="C210" s="556"/>
      <c r="D210" s="556"/>
      <c r="E210" s="556"/>
      <c r="F210" s="556"/>
      <c r="G210" s="557"/>
      <c r="H210" s="557"/>
      <c r="I210" s="557"/>
      <c r="J210" s="557"/>
      <c r="K210" s="557"/>
      <c r="L210" s="557"/>
      <c r="M210" s="557"/>
      <c r="N210" s="557"/>
      <c r="O210" s="557"/>
      <c r="P210" s="557"/>
      <c r="Q210" s="557"/>
      <c r="R210" s="558">
        <f>N65/L65</f>
        <v>1.4438887608150515E-2</v>
      </c>
      <c r="S210" s="532"/>
      <c r="T210" s="419"/>
      <c r="U210" s="451"/>
      <c r="V210" s="405"/>
    </row>
    <row r="211" spans="1:22" x14ac:dyDescent="0.3">
      <c r="A211" s="469"/>
      <c r="B211" s="532" t="s">
        <v>82</v>
      </c>
      <c r="C211" s="556"/>
      <c r="D211" s="556"/>
      <c r="E211" s="556"/>
      <c r="F211" s="556"/>
      <c r="G211" s="557"/>
      <c r="H211" s="557"/>
      <c r="I211" s="557"/>
      <c r="J211" s="557"/>
      <c r="K211" s="557"/>
      <c r="L211" s="557"/>
      <c r="M211" s="557"/>
      <c r="N211" s="557"/>
      <c r="O211" s="557"/>
      <c r="P211" s="557"/>
      <c r="Q211" s="557"/>
      <c r="R211" s="558">
        <v>9.11E-2</v>
      </c>
      <c r="S211" s="532"/>
      <c r="T211" s="419"/>
      <c r="U211" s="451"/>
      <c r="V211" s="405"/>
    </row>
    <row r="212" spans="1:22" x14ac:dyDescent="0.3">
      <c r="A212" s="465"/>
      <c r="B212" s="431"/>
      <c r="C212" s="431"/>
      <c r="D212" s="431"/>
      <c r="E212" s="431"/>
      <c r="F212" s="431"/>
      <c r="G212" s="431"/>
      <c r="H212" s="431"/>
      <c r="I212" s="431"/>
      <c r="J212" s="431"/>
      <c r="K212" s="431"/>
      <c r="L212" s="431"/>
      <c r="M212" s="431"/>
      <c r="N212" s="431"/>
      <c r="O212" s="431"/>
      <c r="P212" s="431"/>
      <c r="Q212" s="431"/>
      <c r="R212" s="461"/>
      <c r="S212" s="431"/>
      <c r="T212" s="470"/>
      <c r="U212" s="444"/>
      <c r="V212" s="405"/>
    </row>
    <row r="213" spans="1:22" x14ac:dyDescent="0.3">
      <c r="A213" s="513"/>
      <c r="B213" s="612" t="s">
        <v>83</v>
      </c>
      <c r="C213" s="613"/>
      <c r="D213" s="613"/>
      <c r="E213" s="613"/>
      <c r="F213" s="620"/>
      <c r="G213" s="613"/>
      <c r="H213" s="613"/>
      <c r="I213" s="613"/>
      <c r="J213" s="613"/>
      <c r="K213" s="613"/>
      <c r="L213" s="613"/>
      <c r="M213" s="613"/>
      <c r="N213" s="613"/>
      <c r="O213" s="613"/>
      <c r="P213" s="613"/>
      <c r="Q213" s="613" t="s">
        <v>108</v>
      </c>
      <c r="R213" s="620" t="s">
        <v>115</v>
      </c>
      <c r="S213" s="608"/>
      <c r="T213" s="608"/>
      <c r="U213" s="611"/>
      <c r="V213" s="405"/>
    </row>
    <row r="214" spans="1:22" x14ac:dyDescent="0.3">
      <c r="A214" s="487"/>
      <c r="B214" s="539" t="s">
        <v>84</v>
      </c>
      <c r="C214" s="455"/>
      <c r="D214" s="455"/>
      <c r="E214" s="455"/>
      <c r="F214" s="431"/>
      <c r="G214" s="431"/>
      <c r="H214" s="616"/>
      <c r="I214" s="616"/>
      <c r="J214" s="616"/>
      <c r="K214" s="616"/>
      <c r="L214" s="616"/>
      <c r="M214" s="616"/>
      <c r="N214" s="616"/>
      <c r="O214" s="616"/>
      <c r="P214" s="616"/>
      <c r="Q214" s="617">
        <v>1</v>
      </c>
      <c r="R214" s="618">
        <v>236</v>
      </c>
      <c r="S214" s="431"/>
      <c r="T214" s="470"/>
      <c r="U214" s="619"/>
      <c r="V214" s="405"/>
    </row>
    <row r="215" spans="1:22" x14ac:dyDescent="0.3">
      <c r="A215" s="471"/>
      <c r="B215" s="532" t="s">
        <v>156</v>
      </c>
      <c r="C215" s="443"/>
      <c r="D215" s="443"/>
      <c r="E215" s="443"/>
      <c r="F215" s="419"/>
      <c r="G215" s="419"/>
      <c r="H215" s="422"/>
      <c r="I215" s="422"/>
      <c r="J215" s="422"/>
      <c r="K215" s="422"/>
      <c r="L215" s="422"/>
      <c r="M215" s="422"/>
      <c r="N215" s="422"/>
      <c r="O215" s="422"/>
      <c r="P215" s="422"/>
      <c r="Q215" s="555">
        <f>+P266</f>
        <v>30</v>
      </c>
      <c r="R215" s="553">
        <f>+R266</f>
        <v>3819</v>
      </c>
      <c r="S215" s="419"/>
      <c r="T215" s="472"/>
      <c r="U215" s="473"/>
      <c r="V215" s="405"/>
    </row>
    <row r="216" spans="1:22" x14ac:dyDescent="0.3">
      <c r="A216" s="471"/>
      <c r="B216" s="532" t="s">
        <v>85</v>
      </c>
      <c r="C216" s="443"/>
      <c r="D216" s="443"/>
      <c r="E216" s="443"/>
      <c r="F216" s="419"/>
      <c r="G216" s="419"/>
      <c r="H216" s="422"/>
      <c r="I216" s="422"/>
      <c r="J216" s="422"/>
      <c r="K216" s="422"/>
      <c r="L216" s="422"/>
      <c r="M216" s="422"/>
      <c r="N216" s="422"/>
      <c r="O216" s="422"/>
      <c r="P216" s="422"/>
      <c r="Q216" s="555">
        <f>+P278</f>
        <v>0</v>
      </c>
      <c r="R216" s="553">
        <f>+R278</f>
        <v>0</v>
      </c>
      <c r="S216" s="419"/>
      <c r="T216" s="472"/>
      <c r="U216" s="473"/>
      <c r="V216" s="405"/>
    </row>
    <row r="217" spans="1:22" x14ac:dyDescent="0.3">
      <c r="A217" s="471"/>
      <c r="B217" s="514" t="s">
        <v>86</v>
      </c>
      <c r="C217" s="474"/>
      <c r="D217" s="474"/>
      <c r="E217" s="474"/>
      <c r="F217" s="448"/>
      <c r="G217" s="448"/>
      <c r="H217" s="448"/>
      <c r="I217" s="448"/>
      <c r="J217" s="448"/>
      <c r="K217" s="448"/>
      <c r="L217" s="448"/>
      <c r="M217" s="448"/>
      <c r="N217" s="448"/>
      <c r="O217" s="448"/>
      <c r="P217" s="448"/>
      <c r="Q217" s="532"/>
      <c r="R217" s="553">
        <v>0</v>
      </c>
      <c r="S217" s="448"/>
      <c r="T217" s="475"/>
      <c r="U217" s="473"/>
      <c r="V217" s="405"/>
    </row>
    <row r="218" spans="1:22" x14ac:dyDescent="0.3">
      <c r="A218" s="471"/>
      <c r="B218" s="514" t="s">
        <v>87</v>
      </c>
      <c r="C218" s="474"/>
      <c r="D218" s="474"/>
      <c r="E218" s="474"/>
      <c r="F218" s="448"/>
      <c r="G218" s="448"/>
      <c r="H218" s="448"/>
      <c r="I218" s="448"/>
      <c r="J218" s="448"/>
      <c r="K218" s="448"/>
      <c r="L218" s="448"/>
      <c r="M218" s="448"/>
      <c r="N218" s="448"/>
      <c r="O218" s="448"/>
      <c r="P218" s="448"/>
      <c r="Q218" s="532"/>
      <c r="R218" s="554" t="s">
        <v>116</v>
      </c>
      <c r="S218" s="448"/>
      <c r="T218" s="475"/>
      <c r="U218" s="473"/>
      <c r="V218" s="405"/>
    </row>
    <row r="219" spans="1:22" x14ac:dyDescent="0.3">
      <c r="A219" s="476"/>
      <c r="B219" s="514" t="s">
        <v>88</v>
      </c>
      <c r="C219" s="477"/>
      <c r="D219" s="477"/>
      <c r="E219" s="477"/>
      <c r="F219" s="477"/>
      <c r="G219" s="448"/>
      <c r="H219" s="448"/>
      <c r="I219" s="448"/>
      <c r="J219" s="448"/>
      <c r="K219" s="448"/>
      <c r="L219" s="448"/>
      <c r="M219" s="448"/>
      <c r="N219" s="448"/>
      <c r="O219" s="448"/>
      <c r="P219" s="448"/>
      <c r="Q219" s="448"/>
      <c r="R219" s="478"/>
      <c r="S219" s="448"/>
      <c r="T219" s="475"/>
      <c r="U219" s="479"/>
      <c r="V219" s="405"/>
    </row>
    <row r="220" spans="1:22" x14ac:dyDescent="0.3">
      <c r="A220" s="476"/>
      <c r="B220" s="532" t="s">
        <v>89</v>
      </c>
      <c r="C220" s="532"/>
      <c r="D220" s="532"/>
      <c r="E220" s="532"/>
      <c r="F220" s="532"/>
      <c r="G220" s="532"/>
      <c r="H220" s="532"/>
      <c r="I220" s="532"/>
      <c r="J220" s="532"/>
      <c r="K220" s="532"/>
      <c r="L220" s="532"/>
      <c r="M220" s="532"/>
      <c r="N220" s="532"/>
      <c r="O220" s="532"/>
      <c r="P220" s="532"/>
      <c r="Q220" s="552"/>
      <c r="R220" s="553">
        <f>T164</f>
        <v>-1</v>
      </c>
      <c r="S220" s="419"/>
      <c r="T220" s="475"/>
      <c r="U220" s="479"/>
      <c r="V220" s="405"/>
    </row>
    <row r="221" spans="1:22" x14ac:dyDescent="0.3">
      <c r="A221" s="471"/>
      <c r="B221" s="532" t="s">
        <v>90</v>
      </c>
      <c r="C221" s="531"/>
      <c r="D221" s="531"/>
      <c r="E221" s="531"/>
      <c r="F221" s="531"/>
      <c r="G221" s="532"/>
      <c r="H221" s="532"/>
      <c r="I221" s="532"/>
      <c r="J221" s="532"/>
      <c r="K221" s="532"/>
      <c r="L221" s="532"/>
      <c r="M221" s="532"/>
      <c r="N221" s="532"/>
      <c r="O221" s="532"/>
      <c r="P221" s="532"/>
      <c r="Q221" s="552"/>
      <c r="R221" s="553">
        <f>'Jan 19'!R221+'April 19'!R220</f>
        <v>4409</v>
      </c>
      <c r="S221" s="419"/>
      <c r="T221" s="475"/>
      <c r="U221" s="479"/>
      <c r="V221" s="405"/>
    </row>
    <row r="222" spans="1:22" x14ac:dyDescent="0.3">
      <c r="A222" s="476"/>
      <c r="B222" s="514" t="s">
        <v>288</v>
      </c>
      <c r="C222" s="477"/>
      <c r="D222" s="477"/>
      <c r="E222" s="477"/>
      <c r="F222" s="477"/>
      <c r="G222" s="448"/>
      <c r="H222" s="448"/>
      <c r="I222" s="448"/>
      <c r="J222" s="448"/>
      <c r="K222" s="448"/>
      <c r="L222" s="448"/>
      <c r="M222" s="448"/>
      <c r="N222" s="448"/>
      <c r="O222" s="448"/>
      <c r="P222" s="448"/>
      <c r="Q222" s="480"/>
      <c r="R222" s="478"/>
      <c r="S222" s="448"/>
      <c r="T222" s="475"/>
      <c r="U222" s="479"/>
      <c r="V222" s="405"/>
    </row>
    <row r="223" spans="1:22" x14ac:dyDescent="0.3">
      <c r="A223" s="481"/>
      <c r="B223" s="532" t="s">
        <v>286</v>
      </c>
      <c r="C223" s="532"/>
      <c r="D223" s="532"/>
      <c r="E223" s="532"/>
      <c r="F223" s="532"/>
      <c r="G223" s="532"/>
      <c r="H223" s="532"/>
      <c r="I223" s="532"/>
      <c r="J223" s="532"/>
      <c r="K223" s="532"/>
      <c r="L223" s="532"/>
      <c r="M223" s="532"/>
      <c r="N223" s="532"/>
      <c r="O223" s="532"/>
      <c r="P223" s="532"/>
      <c r="Q223" s="552">
        <v>0</v>
      </c>
      <c r="R223" s="553">
        <v>0</v>
      </c>
      <c r="S223" s="419"/>
      <c r="T223" s="472"/>
      <c r="U223" s="479"/>
      <c r="V223" s="405"/>
    </row>
    <row r="224" spans="1:22" x14ac:dyDescent="0.3">
      <c r="A224" s="482"/>
      <c r="B224" s="532" t="s">
        <v>92</v>
      </c>
      <c r="C224" s="550"/>
      <c r="D224" s="550"/>
      <c r="E224" s="550"/>
      <c r="F224" s="551"/>
      <c r="G224" s="532"/>
      <c r="H224" s="532"/>
      <c r="I224" s="532"/>
      <c r="J224" s="532"/>
      <c r="K224" s="532"/>
      <c r="L224" s="532"/>
      <c r="M224" s="532"/>
      <c r="N224" s="532"/>
      <c r="O224" s="532"/>
      <c r="P224" s="532"/>
      <c r="Q224" s="552"/>
      <c r="R224" s="554">
        <v>0</v>
      </c>
      <c r="S224" s="419"/>
      <c r="T224" s="472"/>
      <c r="U224" s="479"/>
      <c r="V224" s="405"/>
    </row>
    <row r="225" spans="1:23" x14ac:dyDescent="0.3">
      <c r="A225" s="482"/>
      <c r="B225" s="532" t="s">
        <v>93</v>
      </c>
      <c r="C225" s="550"/>
      <c r="D225" s="550"/>
      <c r="E225" s="550"/>
      <c r="F225" s="551"/>
      <c r="G225" s="532"/>
      <c r="H225" s="532"/>
      <c r="I225" s="532"/>
      <c r="J225" s="532"/>
      <c r="K225" s="532"/>
      <c r="L225" s="532"/>
      <c r="M225" s="532"/>
      <c r="N225" s="532"/>
      <c r="O225" s="532"/>
      <c r="P225" s="532"/>
      <c r="Q225" s="552"/>
      <c r="R225" s="554">
        <v>0</v>
      </c>
      <c r="S225" s="419"/>
      <c r="T225" s="472"/>
      <c r="U225" s="479"/>
      <c r="V225" s="405"/>
    </row>
    <row r="226" spans="1:23" x14ac:dyDescent="0.3">
      <c r="A226" s="471"/>
      <c r="B226" s="514" t="s">
        <v>258</v>
      </c>
      <c r="C226" s="483"/>
      <c r="D226" s="483"/>
      <c r="E226" s="483"/>
      <c r="F226" s="484"/>
      <c r="G226" s="448"/>
      <c r="H226" s="448"/>
      <c r="I226" s="448"/>
      <c r="J226" s="448"/>
      <c r="K226" s="448"/>
      <c r="L226" s="448"/>
      <c r="M226" s="448"/>
      <c r="N226" s="448"/>
      <c r="O226" s="448"/>
      <c r="P226" s="448"/>
      <c r="Q226" s="480"/>
      <c r="R226" s="485"/>
      <c r="S226" s="448"/>
      <c r="T226" s="475"/>
      <c r="U226" s="479"/>
      <c r="V226" s="405"/>
    </row>
    <row r="227" spans="1:23" x14ac:dyDescent="0.3">
      <c r="A227" s="482"/>
      <c r="B227" s="532" t="s">
        <v>286</v>
      </c>
      <c r="C227" s="550"/>
      <c r="D227" s="550"/>
      <c r="E227" s="550"/>
      <c r="F227" s="551"/>
      <c r="G227" s="532"/>
      <c r="H227" s="532"/>
      <c r="I227" s="532"/>
      <c r="J227" s="532"/>
      <c r="K227" s="532"/>
      <c r="L227" s="532"/>
      <c r="M227" s="532"/>
      <c r="N227" s="532"/>
      <c r="O227" s="532"/>
      <c r="P227" s="532"/>
      <c r="Q227" s="552">
        <v>0</v>
      </c>
      <c r="R227" s="553">
        <v>0</v>
      </c>
      <c r="S227" s="419"/>
      <c r="T227" s="475"/>
      <c r="U227" s="479"/>
      <c r="V227" s="405"/>
    </row>
    <row r="228" spans="1:23" x14ac:dyDescent="0.3">
      <c r="A228" s="482"/>
      <c r="B228" s="532" t="s">
        <v>259</v>
      </c>
      <c r="C228" s="550"/>
      <c r="D228" s="550"/>
      <c r="E228" s="550"/>
      <c r="F228" s="551"/>
      <c r="G228" s="532"/>
      <c r="H228" s="532"/>
      <c r="I228" s="532"/>
      <c r="J228" s="532"/>
      <c r="K228" s="532"/>
      <c r="L228" s="532"/>
      <c r="M228" s="532"/>
      <c r="N228" s="532"/>
      <c r="O228" s="532"/>
      <c r="P228" s="532"/>
      <c r="Q228" s="532"/>
      <c r="R228" s="554">
        <v>0</v>
      </c>
      <c r="S228" s="419"/>
      <c r="T228" s="475"/>
      <c r="U228" s="479"/>
      <c r="V228" s="405"/>
    </row>
    <row r="229" spans="1:23" x14ac:dyDescent="0.3">
      <c r="A229" s="471"/>
      <c r="B229" s="477"/>
      <c r="C229" s="483"/>
      <c r="D229" s="483"/>
      <c r="E229" s="483"/>
      <c r="F229" s="484"/>
      <c r="G229" s="448"/>
      <c r="H229" s="448"/>
      <c r="I229" s="448"/>
      <c r="J229" s="448"/>
      <c r="K229" s="448"/>
      <c r="L229" s="448"/>
      <c r="M229" s="448"/>
      <c r="N229" s="448"/>
      <c r="O229" s="448"/>
      <c r="P229" s="448"/>
      <c r="Q229" s="448"/>
      <c r="R229" s="486"/>
      <c r="S229" s="448"/>
      <c r="T229" s="475"/>
      <c r="U229" s="479"/>
      <c r="V229" s="405"/>
    </row>
    <row r="230" spans="1:23" ht="18" x14ac:dyDescent="0.35">
      <c r="A230" s="471"/>
      <c r="B230" s="530" t="s">
        <v>208</v>
      </c>
      <c r="C230" s="483"/>
      <c r="D230" s="483"/>
      <c r="E230" s="483"/>
      <c r="F230" s="484"/>
      <c r="G230" s="448"/>
      <c r="H230" s="448"/>
      <c r="I230" s="448"/>
      <c r="J230" s="448"/>
      <c r="K230" s="448"/>
      <c r="L230" s="448"/>
      <c r="M230" s="448"/>
      <c r="N230" s="603" t="s">
        <v>347</v>
      </c>
      <c r="O230" s="448"/>
      <c r="P230" s="448"/>
      <c r="Q230" s="448"/>
      <c r="R230" s="486"/>
      <c r="S230" s="448"/>
      <c r="T230" s="475"/>
      <c r="U230" s="479"/>
      <c r="V230" s="405"/>
    </row>
    <row r="231" spans="1:23" x14ac:dyDescent="0.3">
      <c r="A231" s="487"/>
      <c r="B231" s="488"/>
      <c r="C231" s="489"/>
      <c r="D231" s="489"/>
      <c r="E231" s="489"/>
      <c r="F231" s="490"/>
      <c r="G231" s="444"/>
      <c r="H231" s="444"/>
      <c r="I231" s="444"/>
      <c r="J231" s="444"/>
      <c r="K231" s="444"/>
      <c r="L231" s="444"/>
      <c r="M231" s="444"/>
      <c r="N231" s="444"/>
      <c r="O231" s="444"/>
      <c r="P231" s="444"/>
      <c r="Q231" s="444"/>
      <c r="R231" s="491"/>
      <c r="S231" s="444"/>
      <c r="T231" s="492"/>
      <c r="U231" s="493"/>
      <c r="V231" s="405"/>
    </row>
    <row r="232" spans="1:23" x14ac:dyDescent="0.3">
      <c r="A232" s="503"/>
      <c r="B232" s="612" t="s">
        <v>302</v>
      </c>
      <c r="C232" s="613"/>
      <c r="D232" s="613"/>
      <c r="E232" s="613"/>
      <c r="F232" s="620"/>
      <c r="G232" s="613"/>
      <c r="H232" s="613"/>
      <c r="I232" s="613"/>
      <c r="J232" s="613"/>
      <c r="K232" s="613"/>
      <c r="L232" s="613"/>
      <c r="M232" s="613"/>
      <c r="N232" s="613"/>
      <c r="O232" s="613"/>
      <c r="P232" s="620" t="s">
        <v>108</v>
      </c>
      <c r="Q232" s="613" t="s">
        <v>109</v>
      </c>
      <c r="R232" s="620" t="s">
        <v>117</v>
      </c>
      <c r="S232" s="613" t="s">
        <v>109</v>
      </c>
      <c r="T232" s="608"/>
      <c r="U232" s="626"/>
      <c r="V232" s="405"/>
    </row>
    <row r="233" spans="1:23" x14ac:dyDescent="0.3">
      <c r="A233" s="430"/>
      <c r="B233" s="572" t="s">
        <v>94</v>
      </c>
      <c r="C233" s="621"/>
      <c r="D233" s="621"/>
      <c r="E233" s="621"/>
      <c r="F233" s="539"/>
      <c r="G233" s="621"/>
      <c r="H233" s="621"/>
      <c r="I233" s="621"/>
      <c r="J233" s="621"/>
      <c r="K233" s="621"/>
      <c r="L233" s="621"/>
      <c r="M233" s="621"/>
      <c r="N233" s="621"/>
      <c r="O233" s="621"/>
      <c r="P233" s="622">
        <f t="shared" ref="P233:P240" si="1">+P245+P257+P269</f>
        <v>1715</v>
      </c>
      <c r="Q233" s="623">
        <f t="shared" ref="Q233:Q240" si="2">P233/$P$242</f>
        <v>0.99593495934959353</v>
      </c>
      <c r="R233" s="624">
        <f t="shared" ref="R233:R240" si="3">+R245+R257+R269</f>
        <v>208535</v>
      </c>
      <c r="S233" s="623">
        <f t="shared" ref="S233:S240" si="4">R233/$R$242</f>
        <v>0.99547932519261795</v>
      </c>
      <c r="T233" s="470"/>
      <c r="U233" s="625"/>
      <c r="V233" s="405"/>
    </row>
    <row r="234" spans="1:23" x14ac:dyDescent="0.3">
      <c r="A234" s="428"/>
      <c r="B234" s="531" t="s">
        <v>95</v>
      </c>
      <c r="C234" s="549"/>
      <c r="D234" s="549"/>
      <c r="E234" s="549"/>
      <c r="F234" s="532"/>
      <c r="G234" s="534"/>
      <c r="H234" s="549"/>
      <c r="I234" s="549"/>
      <c r="J234" s="549"/>
      <c r="K234" s="549"/>
      <c r="L234" s="549"/>
      <c r="M234" s="549"/>
      <c r="N234" s="549"/>
      <c r="O234" s="549"/>
      <c r="P234" s="531">
        <f t="shared" si="1"/>
        <v>1</v>
      </c>
      <c r="Q234" s="534">
        <f t="shared" si="2"/>
        <v>5.8072009291521487E-4</v>
      </c>
      <c r="R234" s="535">
        <f t="shared" si="3"/>
        <v>304</v>
      </c>
      <c r="S234" s="534">
        <f t="shared" si="4"/>
        <v>1.4511986710075329E-3</v>
      </c>
      <c r="T234" s="472"/>
      <c r="U234" s="494"/>
      <c r="V234" s="405"/>
      <c r="W234" s="452"/>
    </row>
    <row r="235" spans="1:23" x14ac:dyDescent="0.3">
      <c r="A235" s="428"/>
      <c r="B235" s="531" t="s">
        <v>96</v>
      </c>
      <c r="C235" s="549"/>
      <c r="D235" s="549"/>
      <c r="E235" s="549"/>
      <c r="F235" s="532"/>
      <c r="G235" s="534"/>
      <c r="H235" s="549"/>
      <c r="I235" s="549"/>
      <c r="J235" s="549"/>
      <c r="K235" s="549"/>
      <c r="L235" s="549"/>
      <c r="M235" s="549"/>
      <c r="N235" s="549"/>
      <c r="O235" s="549"/>
      <c r="P235" s="531">
        <f t="shared" si="1"/>
        <v>4</v>
      </c>
      <c r="Q235" s="534">
        <f t="shared" si="2"/>
        <v>2.3228803716608595E-3</v>
      </c>
      <c r="R235" s="535">
        <f t="shared" si="3"/>
        <v>325</v>
      </c>
      <c r="S235" s="534">
        <f t="shared" si="4"/>
        <v>1.5514459476231848E-3</v>
      </c>
      <c r="T235" s="472"/>
      <c r="U235" s="494"/>
      <c r="V235" s="405"/>
    </row>
    <row r="236" spans="1:23" x14ac:dyDescent="0.3">
      <c r="A236" s="428"/>
      <c r="B236" s="531" t="s">
        <v>171</v>
      </c>
      <c r="C236" s="549"/>
      <c r="D236" s="549"/>
      <c r="E236" s="549"/>
      <c r="F236" s="532"/>
      <c r="G236" s="534"/>
      <c r="H236" s="549"/>
      <c r="I236" s="549"/>
      <c r="J236" s="549"/>
      <c r="K236" s="549"/>
      <c r="L236" s="549"/>
      <c r="M236" s="549"/>
      <c r="N236" s="549"/>
      <c r="O236" s="549"/>
      <c r="P236" s="531">
        <f t="shared" si="1"/>
        <v>2</v>
      </c>
      <c r="Q236" s="534">
        <f t="shared" si="2"/>
        <v>1.1614401858304297E-3</v>
      </c>
      <c r="R236" s="535">
        <f t="shared" si="3"/>
        <v>318</v>
      </c>
      <c r="S236" s="534">
        <f t="shared" si="4"/>
        <v>1.5180301887513009E-3</v>
      </c>
      <c r="T236" s="472"/>
      <c r="U236" s="494"/>
      <c r="V236" s="405"/>
      <c r="W236" s="452"/>
    </row>
    <row r="237" spans="1:23" x14ac:dyDescent="0.3">
      <c r="A237" s="428"/>
      <c r="B237" s="531" t="s">
        <v>172</v>
      </c>
      <c r="C237" s="549"/>
      <c r="D237" s="549"/>
      <c r="E237" s="549"/>
      <c r="F237" s="532"/>
      <c r="G237" s="534"/>
      <c r="H237" s="549"/>
      <c r="I237" s="549"/>
      <c r="J237" s="549"/>
      <c r="K237" s="549"/>
      <c r="L237" s="549"/>
      <c r="M237" s="549"/>
      <c r="N237" s="549"/>
      <c r="O237" s="549"/>
      <c r="P237" s="531">
        <f t="shared" si="1"/>
        <v>0</v>
      </c>
      <c r="Q237" s="534">
        <f t="shared" si="2"/>
        <v>0</v>
      </c>
      <c r="R237" s="535">
        <f t="shared" si="3"/>
        <v>0</v>
      </c>
      <c r="S237" s="534">
        <f t="shared" si="4"/>
        <v>0</v>
      </c>
      <c r="T237" s="472"/>
      <c r="U237" s="494"/>
      <c r="V237" s="405"/>
    </row>
    <row r="238" spans="1:23" x14ac:dyDescent="0.3">
      <c r="A238" s="428"/>
      <c r="B238" s="531" t="s">
        <v>173</v>
      </c>
      <c r="C238" s="549"/>
      <c r="D238" s="549"/>
      <c r="E238" s="549"/>
      <c r="F238" s="532"/>
      <c r="G238" s="534"/>
      <c r="H238" s="549"/>
      <c r="I238" s="549"/>
      <c r="J238" s="549"/>
      <c r="K238" s="549"/>
      <c r="L238" s="549"/>
      <c r="M238" s="549"/>
      <c r="N238" s="549"/>
      <c r="O238" s="549"/>
      <c r="P238" s="531">
        <f t="shared" si="1"/>
        <v>0</v>
      </c>
      <c r="Q238" s="534">
        <f t="shared" si="2"/>
        <v>0</v>
      </c>
      <c r="R238" s="535">
        <f t="shared" si="3"/>
        <v>0</v>
      </c>
      <c r="S238" s="534">
        <f t="shared" si="4"/>
        <v>0</v>
      </c>
      <c r="T238" s="472"/>
      <c r="U238" s="494"/>
      <c r="V238" s="405"/>
      <c r="W238" s="452"/>
    </row>
    <row r="239" spans="1:23" x14ac:dyDescent="0.3">
      <c r="A239" s="428"/>
      <c r="B239" s="531" t="s">
        <v>174</v>
      </c>
      <c r="C239" s="549"/>
      <c r="D239" s="549"/>
      <c r="E239" s="549"/>
      <c r="F239" s="532"/>
      <c r="G239" s="534"/>
      <c r="H239" s="549"/>
      <c r="I239" s="549"/>
      <c r="J239" s="549"/>
      <c r="K239" s="549"/>
      <c r="L239" s="549"/>
      <c r="M239" s="549"/>
      <c r="N239" s="549"/>
      <c r="O239" s="549"/>
      <c r="P239" s="531">
        <f t="shared" si="1"/>
        <v>0</v>
      </c>
      <c r="Q239" s="534">
        <f t="shared" si="2"/>
        <v>0</v>
      </c>
      <c r="R239" s="535">
        <f t="shared" si="3"/>
        <v>0</v>
      </c>
      <c r="S239" s="534">
        <f t="shared" si="4"/>
        <v>0</v>
      </c>
      <c r="T239" s="472"/>
      <c r="U239" s="494"/>
      <c r="V239" s="405"/>
    </row>
    <row r="240" spans="1:23" x14ac:dyDescent="0.3">
      <c r="A240" s="428"/>
      <c r="B240" s="531" t="s">
        <v>175</v>
      </c>
      <c r="C240" s="549"/>
      <c r="D240" s="549"/>
      <c r="E240" s="549"/>
      <c r="F240" s="532"/>
      <c r="G240" s="534"/>
      <c r="H240" s="549"/>
      <c r="I240" s="549"/>
      <c r="J240" s="549"/>
      <c r="K240" s="549"/>
      <c r="L240" s="549"/>
      <c r="M240" s="549"/>
      <c r="N240" s="549"/>
      <c r="O240" s="549"/>
      <c r="P240" s="531">
        <f t="shared" si="1"/>
        <v>0</v>
      </c>
      <c r="Q240" s="534">
        <f t="shared" si="2"/>
        <v>0</v>
      </c>
      <c r="R240" s="535">
        <f t="shared" si="3"/>
        <v>0</v>
      </c>
      <c r="S240" s="534">
        <f t="shared" si="4"/>
        <v>0</v>
      </c>
      <c r="T240" s="472"/>
      <c r="U240" s="494"/>
      <c r="V240" s="405"/>
      <c r="W240" s="452"/>
    </row>
    <row r="241" spans="1:23" x14ac:dyDescent="0.3">
      <c r="A241" s="428"/>
      <c r="B241" s="531"/>
      <c r="C241" s="549"/>
      <c r="D241" s="549"/>
      <c r="E241" s="549"/>
      <c r="F241" s="532"/>
      <c r="G241" s="534"/>
      <c r="H241" s="549"/>
      <c r="I241" s="549"/>
      <c r="J241" s="549"/>
      <c r="K241" s="549"/>
      <c r="L241" s="549"/>
      <c r="M241" s="549"/>
      <c r="N241" s="549"/>
      <c r="O241" s="549"/>
      <c r="P241" s="531"/>
      <c r="Q241" s="534"/>
      <c r="R241" s="535"/>
      <c r="S241" s="534"/>
      <c r="T241" s="472"/>
      <c r="U241" s="494"/>
      <c r="V241" s="405"/>
    </row>
    <row r="242" spans="1:23" x14ac:dyDescent="0.3">
      <c r="A242" s="428"/>
      <c r="B242" s="532"/>
      <c r="C242" s="532"/>
      <c r="D242" s="532"/>
      <c r="E242" s="532"/>
      <c r="F242" s="532"/>
      <c r="G242" s="532"/>
      <c r="H242" s="533"/>
      <c r="I242" s="533"/>
      <c r="J242" s="533"/>
      <c r="K242" s="533"/>
      <c r="L242" s="533"/>
      <c r="M242" s="533"/>
      <c r="N242" s="533"/>
      <c r="O242" s="533"/>
      <c r="P242" s="531">
        <f>SUM(P233:P241)</f>
        <v>1722</v>
      </c>
      <c r="Q242" s="534">
        <f>SUM(Q233:Q241)</f>
        <v>1</v>
      </c>
      <c r="R242" s="535">
        <f>SUM(R233:R241)</f>
        <v>209482</v>
      </c>
      <c r="S242" s="534">
        <f>SUM(S233:S241)</f>
        <v>0.99999999999999989</v>
      </c>
      <c r="T242" s="419"/>
      <c r="U242" s="420"/>
      <c r="V242" s="405"/>
    </row>
    <row r="243" spans="1:23" x14ac:dyDescent="0.3">
      <c r="A243" s="487"/>
      <c r="B243" s="488"/>
      <c r="C243" s="489"/>
      <c r="D243" s="489"/>
      <c r="E243" s="489"/>
      <c r="F243" s="490"/>
      <c r="G243" s="444"/>
      <c r="H243" s="444"/>
      <c r="I243" s="444"/>
      <c r="J243" s="444"/>
      <c r="K243" s="444"/>
      <c r="L243" s="444"/>
      <c r="M243" s="444"/>
      <c r="N243" s="444"/>
      <c r="O243" s="444"/>
      <c r="P243" s="444"/>
      <c r="Q243" s="444"/>
      <c r="R243" s="491"/>
      <c r="S243" s="444"/>
      <c r="T243" s="492"/>
      <c r="U243" s="493"/>
      <c r="V243" s="405"/>
    </row>
    <row r="244" spans="1:23" x14ac:dyDescent="0.3">
      <c r="A244" s="503"/>
      <c r="B244" s="612" t="s">
        <v>177</v>
      </c>
      <c r="C244" s="613"/>
      <c r="D244" s="613"/>
      <c r="E244" s="613"/>
      <c r="F244" s="620"/>
      <c r="G244" s="613"/>
      <c r="H244" s="613"/>
      <c r="I244" s="613"/>
      <c r="J244" s="613"/>
      <c r="K244" s="613"/>
      <c r="L244" s="613"/>
      <c r="M244" s="613"/>
      <c r="N244" s="613"/>
      <c r="O244" s="613"/>
      <c r="P244" s="620" t="s">
        <v>108</v>
      </c>
      <c r="Q244" s="613" t="s">
        <v>109</v>
      </c>
      <c r="R244" s="620" t="s">
        <v>117</v>
      </c>
      <c r="S244" s="613" t="s">
        <v>109</v>
      </c>
      <c r="T244" s="608"/>
      <c r="U244" s="626"/>
      <c r="V244" s="405"/>
    </row>
    <row r="245" spans="1:23" x14ac:dyDescent="0.3">
      <c r="A245" s="430"/>
      <c r="B245" s="572" t="s">
        <v>94</v>
      </c>
      <c r="C245" s="621"/>
      <c r="D245" s="621"/>
      <c r="E245" s="621"/>
      <c r="F245" s="539"/>
      <c r="G245" s="621"/>
      <c r="H245" s="621"/>
      <c r="I245" s="621"/>
      <c r="J245" s="621"/>
      <c r="K245" s="621"/>
      <c r="L245" s="621"/>
      <c r="M245" s="621"/>
      <c r="N245" s="621"/>
      <c r="O245" s="621"/>
      <c r="P245" s="572">
        <v>1690</v>
      </c>
      <c r="Q245" s="627">
        <f t="shared" ref="Q245:Q252" si="5">P245/$P$254</f>
        <v>0.99881796690307334</v>
      </c>
      <c r="R245" s="541">
        <v>205123</v>
      </c>
      <c r="S245" s="627">
        <f t="shared" ref="S245:S252" si="6">R245/$R$254</f>
        <v>0.99737434540972369</v>
      </c>
      <c r="T245" s="470"/>
      <c r="U245" s="625"/>
      <c r="V245" s="405"/>
    </row>
    <row r="246" spans="1:23" x14ac:dyDescent="0.3">
      <c r="A246" s="428"/>
      <c r="B246" s="531" t="s">
        <v>95</v>
      </c>
      <c r="C246" s="549"/>
      <c r="D246" s="549"/>
      <c r="E246" s="549"/>
      <c r="F246" s="532"/>
      <c r="G246" s="534"/>
      <c r="H246" s="549"/>
      <c r="I246" s="549"/>
      <c r="J246" s="549"/>
      <c r="K246" s="549"/>
      <c r="L246" s="549"/>
      <c r="M246" s="549"/>
      <c r="N246" s="549"/>
      <c r="O246" s="549"/>
      <c r="P246" s="531">
        <v>1</v>
      </c>
      <c r="Q246" s="534">
        <f t="shared" si="5"/>
        <v>5.9101654846335696E-4</v>
      </c>
      <c r="R246" s="535">
        <v>304</v>
      </c>
      <c r="S246" s="534">
        <f t="shared" si="6"/>
        <v>1.4781462878592649E-3</v>
      </c>
      <c r="T246" s="472"/>
      <c r="U246" s="494"/>
      <c r="V246" s="405"/>
      <c r="W246" s="452"/>
    </row>
    <row r="247" spans="1:23" x14ac:dyDescent="0.3">
      <c r="A247" s="428"/>
      <c r="B247" s="531" t="s">
        <v>96</v>
      </c>
      <c r="C247" s="549"/>
      <c r="D247" s="549"/>
      <c r="E247" s="549"/>
      <c r="F247" s="532"/>
      <c r="G247" s="534"/>
      <c r="H247" s="549"/>
      <c r="I247" s="549"/>
      <c r="J247" s="549"/>
      <c r="K247" s="549"/>
      <c r="L247" s="549"/>
      <c r="M247" s="549"/>
      <c r="N247" s="549"/>
      <c r="O247" s="549"/>
      <c r="P247" s="531">
        <v>0</v>
      </c>
      <c r="Q247" s="534">
        <f t="shared" si="5"/>
        <v>0</v>
      </c>
      <c r="R247" s="535">
        <v>0</v>
      </c>
      <c r="S247" s="534">
        <f t="shared" si="6"/>
        <v>0</v>
      </c>
      <c r="T247" s="472"/>
      <c r="U247" s="494"/>
      <c r="V247" s="405"/>
    </row>
    <row r="248" spans="1:23" x14ac:dyDescent="0.3">
      <c r="A248" s="428"/>
      <c r="B248" s="531" t="s">
        <v>171</v>
      </c>
      <c r="C248" s="549"/>
      <c r="D248" s="549"/>
      <c r="E248" s="549"/>
      <c r="F248" s="532"/>
      <c r="G248" s="534"/>
      <c r="H248" s="549"/>
      <c r="I248" s="549"/>
      <c r="J248" s="549"/>
      <c r="K248" s="549"/>
      <c r="L248" s="549"/>
      <c r="M248" s="549"/>
      <c r="N248" s="549"/>
      <c r="O248" s="549"/>
      <c r="P248" s="531">
        <v>1</v>
      </c>
      <c r="Q248" s="534">
        <f t="shared" si="5"/>
        <v>5.9101654846335696E-4</v>
      </c>
      <c r="R248" s="535">
        <v>236</v>
      </c>
      <c r="S248" s="534">
        <f t="shared" si="6"/>
        <v>1.147508302417061E-3</v>
      </c>
      <c r="T248" s="472"/>
      <c r="U248" s="494"/>
      <c r="V248" s="405"/>
      <c r="W248" s="452"/>
    </row>
    <row r="249" spans="1:23" x14ac:dyDescent="0.3">
      <c r="A249" s="428"/>
      <c r="B249" s="531" t="s">
        <v>172</v>
      </c>
      <c r="C249" s="549"/>
      <c r="D249" s="549"/>
      <c r="E249" s="549"/>
      <c r="F249" s="532"/>
      <c r="G249" s="534"/>
      <c r="H249" s="549"/>
      <c r="I249" s="549"/>
      <c r="J249" s="549"/>
      <c r="K249" s="549"/>
      <c r="L249" s="549"/>
      <c r="M249" s="549"/>
      <c r="N249" s="549"/>
      <c r="O249" s="549"/>
      <c r="P249" s="531">
        <v>0</v>
      </c>
      <c r="Q249" s="534">
        <f t="shared" si="5"/>
        <v>0</v>
      </c>
      <c r="R249" s="535">
        <v>0</v>
      </c>
      <c r="S249" s="534">
        <f t="shared" si="6"/>
        <v>0</v>
      </c>
      <c r="T249" s="472"/>
      <c r="U249" s="494"/>
      <c r="V249" s="405"/>
    </row>
    <row r="250" spans="1:23" x14ac:dyDescent="0.3">
      <c r="A250" s="428"/>
      <c r="B250" s="531" t="s">
        <v>173</v>
      </c>
      <c r="C250" s="549"/>
      <c r="D250" s="549"/>
      <c r="E250" s="549"/>
      <c r="F250" s="532"/>
      <c r="G250" s="534"/>
      <c r="H250" s="549"/>
      <c r="I250" s="549"/>
      <c r="J250" s="549"/>
      <c r="K250" s="549"/>
      <c r="L250" s="549"/>
      <c r="M250" s="549"/>
      <c r="N250" s="549"/>
      <c r="O250" s="549"/>
      <c r="P250" s="531">
        <v>0</v>
      </c>
      <c r="Q250" s="534">
        <f t="shared" si="5"/>
        <v>0</v>
      </c>
      <c r="R250" s="535">
        <v>0</v>
      </c>
      <c r="S250" s="534">
        <f t="shared" si="6"/>
        <v>0</v>
      </c>
      <c r="T250" s="472"/>
      <c r="U250" s="494"/>
      <c r="V250" s="405"/>
      <c r="W250" s="452"/>
    </row>
    <row r="251" spans="1:23" x14ac:dyDescent="0.3">
      <c r="A251" s="428"/>
      <c r="B251" s="531" t="s">
        <v>174</v>
      </c>
      <c r="C251" s="549"/>
      <c r="D251" s="549"/>
      <c r="E251" s="549"/>
      <c r="F251" s="532"/>
      <c r="G251" s="534"/>
      <c r="H251" s="549"/>
      <c r="I251" s="549"/>
      <c r="J251" s="549"/>
      <c r="K251" s="549"/>
      <c r="L251" s="549"/>
      <c r="M251" s="549"/>
      <c r="N251" s="549"/>
      <c r="O251" s="549"/>
      <c r="P251" s="531">
        <v>0</v>
      </c>
      <c r="Q251" s="534">
        <f t="shared" si="5"/>
        <v>0</v>
      </c>
      <c r="R251" s="535">
        <v>0</v>
      </c>
      <c r="S251" s="534">
        <f t="shared" si="6"/>
        <v>0</v>
      </c>
      <c r="T251" s="472"/>
      <c r="U251" s="494"/>
      <c r="V251" s="405"/>
    </row>
    <row r="252" spans="1:23" x14ac:dyDescent="0.3">
      <c r="A252" s="428"/>
      <c r="B252" s="531" t="s">
        <v>175</v>
      </c>
      <c r="C252" s="549"/>
      <c r="D252" s="549"/>
      <c r="E252" s="549"/>
      <c r="F252" s="532"/>
      <c r="G252" s="534"/>
      <c r="H252" s="549"/>
      <c r="I252" s="549"/>
      <c r="J252" s="549"/>
      <c r="K252" s="549"/>
      <c r="L252" s="549"/>
      <c r="M252" s="549"/>
      <c r="N252" s="549"/>
      <c r="O252" s="549"/>
      <c r="P252" s="531">
        <v>0</v>
      </c>
      <c r="Q252" s="534">
        <f t="shared" si="5"/>
        <v>0</v>
      </c>
      <c r="R252" s="535">
        <v>0</v>
      </c>
      <c r="S252" s="534">
        <f t="shared" si="6"/>
        <v>0</v>
      </c>
      <c r="T252" s="472"/>
      <c r="U252" s="494"/>
      <c r="V252" s="405"/>
      <c r="W252" s="452"/>
    </row>
    <row r="253" spans="1:23" x14ac:dyDescent="0.3">
      <c r="A253" s="428"/>
      <c r="B253" s="531"/>
      <c r="C253" s="549"/>
      <c r="D253" s="549"/>
      <c r="E253" s="549"/>
      <c r="F253" s="532"/>
      <c r="G253" s="534"/>
      <c r="H253" s="549"/>
      <c r="I253" s="549"/>
      <c r="J253" s="549"/>
      <c r="K253" s="549"/>
      <c r="L253" s="549"/>
      <c r="M253" s="549"/>
      <c r="N253" s="549"/>
      <c r="O253" s="549"/>
      <c r="P253" s="531"/>
      <c r="Q253" s="534"/>
      <c r="R253" s="535"/>
      <c r="S253" s="534"/>
      <c r="T253" s="472"/>
      <c r="U253" s="494"/>
      <c r="V253" s="405"/>
    </row>
    <row r="254" spans="1:23" x14ac:dyDescent="0.3">
      <c r="A254" s="428"/>
      <c r="B254" s="532"/>
      <c r="C254" s="532"/>
      <c r="D254" s="532"/>
      <c r="E254" s="532"/>
      <c r="F254" s="532"/>
      <c r="G254" s="532"/>
      <c r="H254" s="533"/>
      <c r="I254" s="533"/>
      <c r="J254" s="533"/>
      <c r="K254" s="533"/>
      <c r="L254" s="533"/>
      <c r="M254" s="533"/>
      <c r="N254" s="533"/>
      <c r="O254" s="533"/>
      <c r="P254" s="531">
        <f>SUM(P245:P253)</f>
        <v>1692</v>
      </c>
      <c r="Q254" s="534">
        <f>SUM(Q245:Q253)</f>
        <v>1</v>
      </c>
      <c r="R254" s="535">
        <f>SUM(R245:R253)</f>
        <v>205663</v>
      </c>
      <c r="S254" s="534">
        <f>SUM(S245:S253)</f>
        <v>1</v>
      </c>
      <c r="T254" s="419"/>
      <c r="U254" s="420"/>
      <c r="V254" s="405"/>
    </row>
    <row r="255" spans="1:23" x14ac:dyDescent="0.3">
      <c r="A255" s="407"/>
      <c r="B255" s="444"/>
      <c r="C255" s="444"/>
      <c r="D255" s="444"/>
      <c r="E255" s="444"/>
      <c r="F255" s="444"/>
      <c r="G255" s="444"/>
      <c r="H255" s="495"/>
      <c r="I255" s="495"/>
      <c r="J255" s="495"/>
      <c r="K255" s="495"/>
      <c r="L255" s="495"/>
      <c r="M255" s="495"/>
      <c r="N255" s="495"/>
      <c r="O255" s="495"/>
      <c r="P255" s="445"/>
      <c r="Q255" s="496"/>
      <c r="R255" s="497"/>
      <c r="S255" s="496"/>
      <c r="T255" s="444"/>
      <c r="U255" s="444"/>
      <c r="V255" s="405"/>
    </row>
    <row r="256" spans="1:23" x14ac:dyDescent="0.3">
      <c r="A256" s="503"/>
      <c r="B256" s="612" t="s">
        <v>279</v>
      </c>
      <c r="C256" s="613"/>
      <c r="D256" s="613"/>
      <c r="E256" s="613"/>
      <c r="F256" s="620"/>
      <c r="G256" s="613"/>
      <c r="H256" s="613"/>
      <c r="I256" s="613"/>
      <c r="J256" s="613"/>
      <c r="K256" s="613"/>
      <c r="L256" s="613"/>
      <c r="M256" s="613"/>
      <c r="N256" s="613"/>
      <c r="O256" s="613"/>
      <c r="P256" s="620" t="s">
        <v>108</v>
      </c>
      <c r="Q256" s="613" t="s">
        <v>109</v>
      </c>
      <c r="R256" s="620" t="s">
        <v>117</v>
      </c>
      <c r="S256" s="613" t="s">
        <v>109</v>
      </c>
      <c r="T256" s="608"/>
      <c r="U256" s="611"/>
      <c r="V256" s="405"/>
    </row>
    <row r="257" spans="1:22" x14ac:dyDescent="0.3">
      <c r="A257" s="430"/>
      <c r="B257" s="572" t="s">
        <v>94</v>
      </c>
      <c r="C257" s="621"/>
      <c r="D257" s="621"/>
      <c r="E257" s="621"/>
      <c r="F257" s="539"/>
      <c r="G257" s="621"/>
      <c r="H257" s="621"/>
      <c r="I257" s="621"/>
      <c r="J257" s="621"/>
      <c r="K257" s="621"/>
      <c r="L257" s="621"/>
      <c r="M257" s="621"/>
      <c r="N257" s="621"/>
      <c r="O257" s="621"/>
      <c r="P257" s="572">
        <v>25</v>
      </c>
      <c r="Q257" s="627">
        <f t="shared" ref="Q257:Q264" si="7">P257/$P$266</f>
        <v>0.83333333333333337</v>
      </c>
      <c r="R257" s="541">
        <v>3412</v>
      </c>
      <c r="S257" s="627">
        <f t="shared" ref="S257:S264" si="8">R257/$R$266</f>
        <v>0.89342759884786593</v>
      </c>
      <c r="T257" s="431"/>
      <c r="U257" s="444"/>
      <c r="V257" s="405"/>
    </row>
    <row r="258" spans="1:22" x14ac:dyDescent="0.3">
      <c r="A258" s="428"/>
      <c r="B258" s="531" t="s">
        <v>95</v>
      </c>
      <c r="C258" s="549"/>
      <c r="D258" s="549"/>
      <c r="E258" s="549"/>
      <c r="F258" s="532"/>
      <c r="G258" s="534"/>
      <c r="H258" s="549"/>
      <c r="I258" s="549"/>
      <c r="J258" s="549"/>
      <c r="K258" s="549"/>
      <c r="L258" s="549"/>
      <c r="M258" s="549"/>
      <c r="N258" s="549"/>
      <c r="O258" s="549"/>
      <c r="P258" s="531">
        <v>0</v>
      </c>
      <c r="Q258" s="534">
        <f t="shared" si="7"/>
        <v>0</v>
      </c>
      <c r="R258" s="535">
        <v>0</v>
      </c>
      <c r="S258" s="534">
        <f t="shared" si="8"/>
        <v>0</v>
      </c>
      <c r="T258" s="419"/>
      <c r="U258" s="451"/>
      <c r="V258" s="405"/>
    </row>
    <row r="259" spans="1:22" x14ac:dyDescent="0.3">
      <c r="A259" s="428"/>
      <c r="B259" s="531" t="s">
        <v>96</v>
      </c>
      <c r="C259" s="549"/>
      <c r="D259" s="549"/>
      <c r="E259" s="549"/>
      <c r="F259" s="532"/>
      <c r="G259" s="534"/>
      <c r="H259" s="549"/>
      <c r="I259" s="549"/>
      <c r="J259" s="549"/>
      <c r="K259" s="549"/>
      <c r="L259" s="549"/>
      <c r="M259" s="549"/>
      <c r="N259" s="549"/>
      <c r="O259" s="549"/>
      <c r="P259" s="531">
        <v>4</v>
      </c>
      <c r="Q259" s="534">
        <f t="shared" si="7"/>
        <v>0.13333333333333333</v>
      </c>
      <c r="R259" s="535">
        <v>325</v>
      </c>
      <c r="S259" s="534">
        <f t="shared" si="8"/>
        <v>8.5100811730819584E-2</v>
      </c>
      <c r="T259" s="419"/>
      <c r="U259" s="451"/>
      <c r="V259" s="405"/>
    </row>
    <row r="260" spans="1:22" x14ac:dyDescent="0.3">
      <c r="A260" s="428"/>
      <c r="B260" s="531" t="s">
        <v>171</v>
      </c>
      <c r="C260" s="549"/>
      <c r="D260" s="549"/>
      <c r="E260" s="549"/>
      <c r="F260" s="532"/>
      <c r="G260" s="534"/>
      <c r="H260" s="549"/>
      <c r="I260" s="549"/>
      <c r="J260" s="549"/>
      <c r="K260" s="549"/>
      <c r="L260" s="549"/>
      <c r="M260" s="549"/>
      <c r="N260" s="549"/>
      <c r="O260" s="549"/>
      <c r="P260" s="531">
        <v>1</v>
      </c>
      <c r="Q260" s="534">
        <f t="shared" si="7"/>
        <v>3.3333333333333333E-2</v>
      </c>
      <c r="R260" s="535">
        <v>82</v>
      </c>
      <c r="S260" s="534">
        <f t="shared" si="8"/>
        <v>2.1471589421314479E-2</v>
      </c>
      <c r="T260" s="419"/>
      <c r="U260" s="451"/>
      <c r="V260" s="405"/>
    </row>
    <row r="261" spans="1:22" x14ac:dyDescent="0.3">
      <c r="A261" s="428"/>
      <c r="B261" s="531" t="s">
        <v>172</v>
      </c>
      <c r="C261" s="549"/>
      <c r="D261" s="549"/>
      <c r="E261" s="549"/>
      <c r="F261" s="532"/>
      <c r="G261" s="534"/>
      <c r="H261" s="549"/>
      <c r="I261" s="549"/>
      <c r="J261" s="549"/>
      <c r="K261" s="549"/>
      <c r="L261" s="549"/>
      <c r="M261" s="549"/>
      <c r="N261" s="549"/>
      <c r="O261" s="549"/>
      <c r="P261" s="531">
        <v>0</v>
      </c>
      <c r="Q261" s="534">
        <f t="shared" si="7"/>
        <v>0</v>
      </c>
      <c r="R261" s="535">
        <v>0</v>
      </c>
      <c r="S261" s="534">
        <f t="shared" si="8"/>
        <v>0</v>
      </c>
      <c r="T261" s="419"/>
      <c r="U261" s="451"/>
      <c r="V261" s="405"/>
    </row>
    <row r="262" spans="1:22" x14ac:dyDescent="0.3">
      <c r="A262" s="428"/>
      <c r="B262" s="531" t="s">
        <v>173</v>
      </c>
      <c r="C262" s="549"/>
      <c r="D262" s="549"/>
      <c r="E262" s="549"/>
      <c r="F262" s="532"/>
      <c r="G262" s="534"/>
      <c r="H262" s="549"/>
      <c r="I262" s="549"/>
      <c r="J262" s="549"/>
      <c r="K262" s="549"/>
      <c r="L262" s="549"/>
      <c r="M262" s="549"/>
      <c r="N262" s="549"/>
      <c r="O262" s="549"/>
      <c r="P262" s="531">
        <v>0</v>
      </c>
      <c r="Q262" s="534">
        <f t="shared" si="7"/>
        <v>0</v>
      </c>
      <c r="R262" s="535">
        <v>0</v>
      </c>
      <c r="S262" s="534">
        <f t="shared" si="8"/>
        <v>0</v>
      </c>
      <c r="T262" s="419"/>
      <c r="U262" s="451"/>
      <c r="V262" s="405"/>
    </row>
    <row r="263" spans="1:22" x14ac:dyDescent="0.3">
      <c r="A263" s="428"/>
      <c r="B263" s="531" t="s">
        <v>174</v>
      </c>
      <c r="C263" s="549"/>
      <c r="D263" s="549"/>
      <c r="E263" s="549"/>
      <c r="F263" s="532"/>
      <c r="G263" s="534"/>
      <c r="H263" s="549"/>
      <c r="I263" s="549"/>
      <c r="J263" s="549"/>
      <c r="K263" s="549"/>
      <c r="L263" s="549"/>
      <c r="M263" s="549"/>
      <c r="N263" s="549"/>
      <c r="O263" s="549"/>
      <c r="P263" s="531">
        <v>0</v>
      </c>
      <c r="Q263" s="534">
        <f t="shared" si="7"/>
        <v>0</v>
      </c>
      <c r="R263" s="535">
        <v>0</v>
      </c>
      <c r="S263" s="534">
        <f t="shared" si="8"/>
        <v>0</v>
      </c>
      <c r="T263" s="419"/>
      <c r="U263" s="451"/>
      <c r="V263" s="405"/>
    </row>
    <row r="264" spans="1:22" x14ac:dyDescent="0.3">
      <c r="A264" s="428"/>
      <c r="B264" s="531" t="s">
        <v>175</v>
      </c>
      <c r="C264" s="549"/>
      <c r="D264" s="549"/>
      <c r="E264" s="549"/>
      <c r="F264" s="532"/>
      <c r="G264" s="534"/>
      <c r="H264" s="549"/>
      <c r="I264" s="549"/>
      <c r="J264" s="549"/>
      <c r="K264" s="549"/>
      <c r="L264" s="549"/>
      <c r="M264" s="549"/>
      <c r="N264" s="549"/>
      <c r="O264" s="549"/>
      <c r="P264" s="531">
        <v>0</v>
      </c>
      <c r="Q264" s="534">
        <f t="shared" si="7"/>
        <v>0</v>
      </c>
      <c r="R264" s="535">
        <v>0</v>
      </c>
      <c r="S264" s="534">
        <f t="shared" si="8"/>
        <v>0</v>
      </c>
      <c r="T264" s="419"/>
      <c r="U264" s="451"/>
      <c r="V264" s="405"/>
    </row>
    <row r="265" spans="1:22" x14ac:dyDescent="0.3">
      <c r="A265" s="428"/>
      <c r="B265" s="531"/>
      <c r="C265" s="549"/>
      <c r="D265" s="549"/>
      <c r="E265" s="549"/>
      <c r="F265" s="532"/>
      <c r="G265" s="534"/>
      <c r="H265" s="549"/>
      <c r="I265" s="549"/>
      <c r="J265" s="549"/>
      <c r="K265" s="549"/>
      <c r="L265" s="549"/>
      <c r="M265" s="549"/>
      <c r="N265" s="549"/>
      <c r="O265" s="549"/>
      <c r="P265" s="531"/>
      <c r="Q265" s="534"/>
      <c r="R265" s="535"/>
      <c r="S265" s="534"/>
      <c r="T265" s="419"/>
      <c r="U265" s="451"/>
      <c r="V265" s="405"/>
    </row>
    <row r="266" spans="1:22" x14ac:dyDescent="0.3">
      <c r="A266" s="428"/>
      <c r="B266" s="532"/>
      <c r="C266" s="532"/>
      <c r="D266" s="532"/>
      <c r="E266" s="532"/>
      <c r="F266" s="532"/>
      <c r="G266" s="532"/>
      <c r="H266" s="533"/>
      <c r="I266" s="533"/>
      <c r="J266" s="533"/>
      <c r="K266" s="533"/>
      <c r="L266" s="533"/>
      <c r="M266" s="533"/>
      <c r="N266" s="533"/>
      <c r="O266" s="533"/>
      <c r="P266" s="531">
        <f>SUM(P257:P265)</f>
        <v>30</v>
      </c>
      <c r="Q266" s="534">
        <f>SUM(Q257:Q265)</f>
        <v>1</v>
      </c>
      <c r="R266" s="535">
        <f>SUM(R257:R265)</f>
        <v>3819</v>
      </c>
      <c r="S266" s="534">
        <f>SUM(S257:S265)</f>
        <v>1</v>
      </c>
      <c r="T266" s="419"/>
      <c r="U266" s="451"/>
      <c r="V266" s="405"/>
    </row>
    <row r="267" spans="1:22" x14ac:dyDescent="0.3">
      <c r="A267" s="430"/>
      <c r="B267" s="431"/>
      <c r="C267" s="431"/>
      <c r="D267" s="431"/>
      <c r="E267" s="431"/>
      <c r="F267" s="431"/>
      <c r="G267" s="431"/>
      <c r="H267" s="498"/>
      <c r="I267" s="498"/>
      <c r="J267" s="498"/>
      <c r="K267" s="498"/>
      <c r="L267" s="498"/>
      <c r="M267" s="498"/>
      <c r="N267" s="498"/>
      <c r="O267" s="498"/>
      <c r="P267" s="455"/>
      <c r="Q267" s="499"/>
      <c r="R267" s="500"/>
      <c r="S267" s="499"/>
      <c r="T267" s="431"/>
      <c r="U267" s="444"/>
      <c r="V267" s="405"/>
    </row>
    <row r="268" spans="1:22" x14ac:dyDescent="0.3">
      <c r="A268" s="503"/>
      <c r="B268" s="612" t="s">
        <v>179</v>
      </c>
      <c r="C268" s="608"/>
      <c r="D268" s="608"/>
      <c r="E268" s="608"/>
      <c r="F268" s="608"/>
      <c r="G268" s="608"/>
      <c r="H268" s="628"/>
      <c r="I268" s="628"/>
      <c r="J268" s="628"/>
      <c r="K268" s="628"/>
      <c r="L268" s="628"/>
      <c r="M268" s="628"/>
      <c r="N268" s="628"/>
      <c r="O268" s="628"/>
      <c r="P268" s="620" t="s">
        <v>108</v>
      </c>
      <c r="Q268" s="613" t="s">
        <v>109</v>
      </c>
      <c r="R268" s="620" t="s">
        <v>117</v>
      </c>
      <c r="S268" s="613" t="s">
        <v>109</v>
      </c>
      <c r="T268" s="608"/>
      <c r="U268" s="611"/>
      <c r="V268" s="405"/>
    </row>
    <row r="269" spans="1:22" x14ac:dyDescent="0.3">
      <c r="A269" s="430"/>
      <c r="B269" s="572" t="s">
        <v>94</v>
      </c>
      <c r="C269" s="539"/>
      <c r="D269" s="539"/>
      <c r="E269" s="539"/>
      <c r="F269" s="539"/>
      <c r="G269" s="539"/>
      <c r="H269" s="540"/>
      <c r="I269" s="540"/>
      <c r="J269" s="540"/>
      <c r="K269" s="540"/>
      <c r="L269" s="540"/>
      <c r="M269" s="540"/>
      <c r="N269" s="540"/>
      <c r="O269" s="540"/>
      <c r="P269" s="572">
        <v>0</v>
      </c>
      <c r="Q269" s="627">
        <v>0</v>
      </c>
      <c r="R269" s="541">
        <v>0</v>
      </c>
      <c r="S269" s="627">
        <v>0</v>
      </c>
      <c r="T269" s="431"/>
      <c r="U269" s="444"/>
      <c r="V269" s="405"/>
    </row>
    <row r="270" spans="1:22" x14ac:dyDescent="0.3">
      <c r="A270" s="428"/>
      <c r="B270" s="531" t="s">
        <v>95</v>
      </c>
      <c r="C270" s="532"/>
      <c r="D270" s="532"/>
      <c r="E270" s="532"/>
      <c r="F270" s="532"/>
      <c r="G270" s="532"/>
      <c r="H270" s="533"/>
      <c r="I270" s="533"/>
      <c r="J270" s="533"/>
      <c r="K270" s="533"/>
      <c r="L270" s="533"/>
      <c r="M270" s="533"/>
      <c r="N270" s="533"/>
      <c r="O270" s="533"/>
      <c r="P270" s="531">
        <v>0</v>
      </c>
      <c r="Q270" s="534">
        <v>0</v>
      </c>
      <c r="R270" s="535">
        <v>0</v>
      </c>
      <c r="S270" s="534">
        <v>0</v>
      </c>
      <c r="T270" s="419"/>
      <c r="U270" s="451"/>
      <c r="V270" s="405"/>
    </row>
    <row r="271" spans="1:22" x14ac:dyDescent="0.3">
      <c r="A271" s="428"/>
      <c r="B271" s="531" t="s">
        <v>96</v>
      </c>
      <c r="C271" s="532"/>
      <c r="D271" s="532"/>
      <c r="E271" s="532"/>
      <c r="F271" s="532"/>
      <c r="G271" s="532"/>
      <c r="H271" s="533"/>
      <c r="I271" s="533"/>
      <c r="J271" s="533"/>
      <c r="K271" s="533"/>
      <c r="L271" s="533"/>
      <c r="M271" s="533"/>
      <c r="N271" s="533"/>
      <c r="O271" s="533"/>
      <c r="P271" s="531">
        <v>0</v>
      </c>
      <c r="Q271" s="534">
        <v>0</v>
      </c>
      <c r="R271" s="535">
        <v>0</v>
      </c>
      <c r="S271" s="534">
        <v>0</v>
      </c>
      <c r="T271" s="419"/>
      <c r="U271" s="451"/>
      <c r="V271" s="405"/>
    </row>
    <row r="272" spans="1:22" x14ac:dyDescent="0.3">
      <c r="A272" s="428"/>
      <c r="B272" s="531" t="s">
        <v>171</v>
      </c>
      <c r="C272" s="532"/>
      <c r="D272" s="532"/>
      <c r="E272" s="532"/>
      <c r="F272" s="532"/>
      <c r="G272" s="532"/>
      <c r="H272" s="533"/>
      <c r="I272" s="533"/>
      <c r="J272" s="533"/>
      <c r="K272" s="533"/>
      <c r="L272" s="533"/>
      <c r="M272" s="533"/>
      <c r="N272" s="533"/>
      <c r="O272" s="533"/>
      <c r="P272" s="531">
        <v>0</v>
      </c>
      <c r="Q272" s="534">
        <v>0</v>
      </c>
      <c r="R272" s="535">
        <v>0</v>
      </c>
      <c r="S272" s="534">
        <v>0</v>
      </c>
      <c r="T272" s="419"/>
      <c r="U272" s="451"/>
      <c r="V272" s="405"/>
    </row>
    <row r="273" spans="1:22" x14ac:dyDescent="0.3">
      <c r="A273" s="428"/>
      <c r="B273" s="531" t="s">
        <v>172</v>
      </c>
      <c r="C273" s="532"/>
      <c r="D273" s="532"/>
      <c r="E273" s="532"/>
      <c r="F273" s="532"/>
      <c r="G273" s="532"/>
      <c r="H273" s="533"/>
      <c r="I273" s="533"/>
      <c r="J273" s="533"/>
      <c r="K273" s="533"/>
      <c r="L273" s="533"/>
      <c r="M273" s="533"/>
      <c r="N273" s="533"/>
      <c r="O273" s="533"/>
      <c r="P273" s="531">
        <v>0</v>
      </c>
      <c r="Q273" s="534">
        <v>0</v>
      </c>
      <c r="R273" s="535">
        <v>0</v>
      </c>
      <c r="S273" s="534">
        <v>0</v>
      </c>
      <c r="T273" s="419"/>
      <c r="U273" s="451"/>
      <c r="V273" s="405"/>
    </row>
    <row r="274" spans="1:22" x14ac:dyDescent="0.3">
      <c r="A274" s="428"/>
      <c r="B274" s="531" t="s">
        <v>173</v>
      </c>
      <c r="C274" s="532"/>
      <c r="D274" s="532"/>
      <c r="E274" s="532"/>
      <c r="F274" s="532"/>
      <c r="G274" s="532"/>
      <c r="H274" s="533"/>
      <c r="I274" s="533"/>
      <c r="J274" s="533"/>
      <c r="K274" s="533"/>
      <c r="L274" s="533"/>
      <c r="M274" s="533"/>
      <c r="N274" s="533"/>
      <c r="O274" s="533"/>
      <c r="P274" s="531">
        <v>0</v>
      </c>
      <c r="Q274" s="534">
        <v>0</v>
      </c>
      <c r="R274" s="535">
        <v>0</v>
      </c>
      <c r="S274" s="534">
        <v>0</v>
      </c>
      <c r="T274" s="419"/>
      <c r="U274" s="451"/>
      <c r="V274" s="405"/>
    </row>
    <row r="275" spans="1:22" x14ac:dyDescent="0.3">
      <c r="A275" s="428"/>
      <c r="B275" s="531" t="s">
        <v>174</v>
      </c>
      <c r="C275" s="532"/>
      <c r="D275" s="532"/>
      <c r="E275" s="532"/>
      <c r="F275" s="532"/>
      <c r="G275" s="532"/>
      <c r="H275" s="533"/>
      <c r="I275" s="533"/>
      <c r="J275" s="533"/>
      <c r="K275" s="533"/>
      <c r="L275" s="533"/>
      <c r="M275" s="533"/>
      <c r="N275" s="533"/>
      <c r="O275" s="533"/>
      <c r="P275" s="531">
        <v>0</v>
      </c>
      <c r="Q275" s="534">
        <v>0</v>
      </c>
      <c r="R275" s="535">
        <v>0</v>
      </c>
      <c r="S275" s="534">
        <v>0</v>
      </c>
      <c r="T275" s="419"/>
      <c r="U275" s="451"/>
      <c r="V275" s="405"/>
    </row>
    <row r="276" spans="1:22" x14ac:dyDescent="0.3">
      <c r="A276" s="428"/>
      <c r="B276" s="531" t="s">
        <v>175</v>
      </c>
      <c r="C276" s="532"/>
      <c r="D276" s="532"/>
      <c r="E276" s="532"/>
      <c r="F276" s="532"/>
      <c r="G276" s="532"/>
      <c r="H276" s="533"/>
      <c r="I276" s="533"/>
      <c r="J276" s="533"/>
      <c r="K276" s="533"/>
      <c r="L276" s="533"/>
      <c r="M276" s="533"/>
      <c r="N276" s="533"/>
      <c r="O276" s="533"/>
      <c r="P276" s="531">
        <v>0</v>
      </c>
      <c r="Q276" s="534">
        <v>0</v>
      </c>
      <c r="R276" s="535">
        <v>0</v>
      </c>
      <c r="S276" s="534">
        <v>0</v>
      </c>
      <c r="T276" s="419"/>
      <c r="U276" s="451"/>
      <c r="V276" s="405"/>
    </row>
    <row r="277" spans="1:22" x14ac:dyDescent="0.3">
      <c r="A277" s="428"/>
      <c r="B277" s="531"/>
      <c r="C277" s="532"/>
      <c r="D277" s="532"/>
      <c r="E277" s="532"/>
      <c r="F277" s="532"/>
      <c r="G277" s="532"/>
      <c r="H277" s="533"/>
      <c r="I277" s="533"/>
      <c r="J277" s="533"/>
      <c r="K277" s="533"/>
      <c r="L277" s="533"/>
      <c r="M277" s="533"/>
      <c r="N277" s="533"/>
      <c r="O277" s="533"/>
      <c r="P277" s="531"/>
      <c r="Q277" s="534"/>
      <c r="R277" s="535"/>
      <c r="S277" s="534"/>
      <c r="T277" s="419"/>
      <c r="U277" s="451"/>
      <c r="V277" s="405"/>
    </row>
    <row r="278" spans="1:22" x14ac:dyDescent="0.3">
      <c r="A278" s="428"/>
      <c r="B278" s="532" t="s">
        <v>123</v>
      </c>
      <c r="C278" s="532"/>
      <c r="D278" s="532"/>
      <c r="E278" s="532"/>
      <c r="F278" s="532"/>
      <c r="G278" s="532"/>
      <c r="H278" s="533"/>
      <c r="I278" s="533"/>
      <c r="J278" s="533"/>
      <c r="K278" s="533"/>
      <c r="L278" s="533"/>
      <c r="M278" s="533"/>
      <c r="N278" s="533"/>
      <c r="O278" s="533"/>
      <c r="P278" s="531">
        <f>SUM(P269:P276)</f>
        <v>0</v>
      </c>
      <c r="Q278" s="534">
        <f>SUM(Q269:Q276)</f>
        <v>0</v>
      </c>
      <c r="R278" s="535">
        <f>SUM(R269:R276)</f>
        <v>0</v>
      </c>
      <c r="S278" s="534">
        <f>SUM(S269:S276)</f>
        <v>0</v>
      </c>
      <c r="T278" s="419"/>
      <c r="U278" s="451"/>
      <c r="V278" s="405"/>
    </row>
    <row r="279" spans="1:22" x14ac:dyDescent="0.3">
      <c r="A279" s="428"/>
      <c r="B279" s="532"/>
      <c r="C279" s="532"/>
      <c r="D279" s="532"/>
      <c r="E279" s="532"/>
      <c r="F279" s="532"/>
      <c r="G279" s="532"/>
      <c r="H279" s="533"/>
      <c r="I279" s="533"/>
      <c r="J279" s="533"/>
      <c r="K279" s="533"/>
      <c r="L279" s="533"/>
      <c r="M279" s="533"/>
      <c r="N279" s="533"/>
      <c r="O279" s="533"/>
      <c r="P279" s="531"/>
      <c r="Q279" s="534"/>
      <c r="R279" s="535"/>
      <c r="S279" s="534"/>
      <c r="T279" s="419"/>
      <c r="U279" s="451"/>
      <c r="V279" s="405"/>
    </row>
    <row r="280" spans="1:22" x14ac:dyDescent="0.3">
      <c r="A280" s="428"/>
      <c r="B280" s="536" t="s">
        <v>180</v>
      </c>
      <c r="C280" s="532"/>
      <c r="D280" s="532"/>
      <c r="E280" s="532"/>
      <c r="F280" s="532"/>
      <c r="G280" s="532"/>
      <c r="H280" s="533"/>
      <c r="I280" s="533"/>
      <c r="J280" s="533"/>
      <c r="K280" s="533"/>
      <c r="L280" s="533"/>
      <c r="M280" s="533"/>
      <c r="N280" s="533"/>
      <c r="O280" s="533"/>
      <c r="P280" s="537">
        <f>+P254+P266+P278</f>
        <v>1722</v>
      </c>
      <c r="Q280" s="534"/>
      <c r="R280" s="538">
        <f>+R278+R266+R254</f>
        <v>209482</v>
      </c>
      <c r="S280" s="534"/>
      <c r="T280" s="419"/>
      <c r="U280" s="451"/>
      <c r="V280" s="405"/>
    </row>
    <row r="281" spans="1:22" x14ac:dyDescent="0.3">
      <c r="A281" s="430"/>
      <c r="B281" s="539"/>
      <c r="C281" s="539"/>
      <c r="D281" s="539"/>
      <c r="E281" s="539"/>
      <c r="F281" s="539"/>
      <c r="G281" s="539"/>
      <c r="H281" s="540"/>
      <c r="I281" s="540"/>
      <c r="J281" s="540"/>
      <c r="K281" s="540"/>
      <c r="L281" s="540"/>
      <c r="M281" s="540"/>
      <c r="N281" s="540"/>
      <c r="O281" s="540"/>
      <c r="P281" s="540"/>
      <c r="Q281" s="540"/>
      <c r="R281" s="541"/>
      <c r="S281" s="540"/>
      <c r="T281" s="431"/>
      <c r="U281" s="444"/>
      <c r="V281" s="405"/>
    </row>
    <row r="282" spans="1:22" x14ac:dyDescent="0.3">
      <c r="A282" s="430"/>
      <c r="B282" s="542"/>
      <c r="C282" s="542"/>
      <c r="D282" s="542"/>
      <c r="E282" s="542"/>
      <c r="F282" s="542"/>
      <c r="G282" s="542"/>
      <c r="H282" s="543"/>
      <c r="I282" s="543"/>
      <c r="J282" s="543"/>
      <c r="K282" s="543"/>
      <c r="L282" s="543"/>
      <c r="M282" s="543"/>
      <c r="N282" s="543"/>
      <c r="O282" s="543"/>
      <c r="P282" s="543"/>
      <c r="Q282" s="543"/>
      <c r="R282" s="544"/>
      <c r="S282" s="543"/>
      <c r="T282" s="434"/>
      <c r="U282" s="409"/>
      <c r="V282" s="405"/>
    </row>
    <row r="283" spans="1:22" x14ac:dyDescent="0.3">
      <c r="A283" s="430"/>
      <c r="B283" s="545" t="s">
        <v>97</v>
      </c>
      <c r="C283" s="542"/>
      <c r="D283" s="542"/>
      <c r="E283" s="542"/>
      <c r="F283" s="546" t="s">
        <v>103</v>
      </c>
      <c r="G283" s="542"/>
      <c r="H283" s="545" t="s">
        <v>105</v>
      </c>
      <c r="I283" s="542"/>
      <c r="J283" s="542"/>
      <c r="K283" s="542"/>
      <c r="L283" s="542"/>
      <c r="M283" s="542"/>
      <c r="N283" s="542"/>
      <c r="O283" s="542"/>
      <c r="P283" s="542"/>
      <c r="Q283" s="542"/>
      <c r="R283" s="542"/>
      <c r="S283" s="542"/>
      <c r="T283" s="434"/>
      <c r="U283" s="409"/>
      <c r="V283" s="405"/>
    </row>
    <row r="284" spans="1:22" x14ac:dyDescent="0.3">
      <c r="A284" s="430"/>
      <c r="B284" s="542"/>
      <c r="C284" s="542"/>
      <c r="D284" s="542"/>
      <c r="E284" s="542"/>
      <c r="F284" s="542"/>
      <c r="G284" s="542"/>
      <c r="H284" s="542"/>
      <c r="I284" s="542"/>
      <c r="J284" s="542"/>
      <c r="K284" s="542"/>
      <c r="L284" s="542"/>
      <c r="M284" s="542"/>
      <c r="N284" s="542"/>
      <c r="O284" s="542"/>
      <c r="P284" s="542"/>
      <c r="Q284" s="542"/>
      <c r="R284" s="542"/>
      <c r="S284" s="542"/>
      <c r="T284" s="434"/>
      <c r="U284" s="409"/>
      <c r="V284" s="405"/>
    </row>
    <row r="285" spans="1:22" x14ac:dyDescent="0.3">
      <c r="A285" s="430"/>
      <c r="B285" s="545" t="s">
        <v>323</v>
      </c>
      <c r="C285" s="545"/>
      <c r="D285" s="545"/>
      <c r="E285" s="545"/>
      <c r="F285" s="547" t="s">
        <v>274</v>
      </c>
      <c r="G285" s="545"/>
      <c r="H285" s="501" t="s">
        <v>348</v>
      </c>
      <c r="I285" s="542"/>
      <c r="J285" s="542"/>
      <c r="K285" s="542"/>
      <c r="L285" s="542"/>
      <c r="M285" s="542"/>
      <c r="N285" s="542"/>
      <c r="O285" s="542"/>
      <c r="P285" s="542"/>
      <c r="Q285" s="542"/>
      <c r="R285" s="542"/>
      <c r="S285" s="542"/>
      <c r="T285" s="434"/>
      <c r="U285" s="409"/>
      <c r="V285" s="405"/>
    </row>
    <row r="286" spans="1:22" x14ac:dyDescent="0.3">
      <c r="A286" s="430"/>
      <c r="B286" s="545" t="s">
        <v>324</v>
      </c>
      <c r="C286" s="545"/>
      <c r="D286" s="545"/>
      <c r="E286" s="545"/>
      <c r="F286" s="547" t="s">
        <v>158</v>
      </c>
      <c r="G286" s="545"/>
      <c r="H286" s="501" t="s">
        <v>349</v>
      </c>
      <c r="I286" s="542"/>
      <c r="J286" s="542"/>
      <c r="K286" s="542"/>
      <c r="L286" s="542"/>
      <c r="M286" s="542"/>
      <c r="N286" s="542"/>
      <c r="O286" s="542"/>
      <c r="P286" s="542"/>
      <c r="Q286" s="542"/>
      <c r="R286" s="542"/>
      <c r="S286" s="542"/>
      <c r="T286" s="434"/>
      <c r="U286" s="409"/>
      <c r="V286" s="405"/>
    </row>
    <row r="287" spans="1:22" x14ac:dyDescent="0.3">
      <c r="A287" s="430"/>
      <c r="B287" s="545"/>
      <c r="C287" s="545"/>
      <c r="D287" s="545"/>
      <c r="E287" s="545"/>
      <c r="F287" s="545"/>
      <c r="G287" s="545"/>
      <c r="H287" s="542"/>
      <c r="I287" s="542"/>
      <c r="J287" s="542"/>
      <c r="K287" s="542"/>
      <c r="L287" s="542"/>
      <c r="M287" s="542"/>
      <c r="N287" s="542"/>
      <c r="O287" s="542"/>
      <c r="P287" s="542"/>
      <c r="Q287" s="542"/>
      <c r="R287" s="542"/>
      <c r="S287" s="542"/>
      <c r="T287" s="434"/>
      <c r="U287" s="409"/>
      <c r="V287" s="405"/>
    </row>
    <row r="288" spans="1:22" x14ac:dyDescent="0.3">
      <c r="A288" s="407"/>
      <c r="B288" s="545"/>
      <c r="C288" s="545"/>
      <c r="D288" s="545"/>
      <c r="E288" s="545"/>
      <c r="F288" s="545"/>
      <c r="G288" s="545"/>
      <c r="H288" s="542"/>
      <c r="I288" s="542"/>
      <c r="J288" s="542"/>
      <c r="K288" s="542"/>
      <c r="L288" s="542"/>
      <c r="M288" s="542"/>
      <c r="N288" s="542"/>
      <c r="O288" s="542"/>
      <c r="P288" s="542"/>
      <c r="Q288" s="542"/>
      <c r="R288" s="542"/>
      <c r="S288" s="542"/>
      <c r="T288" s="409"/>
      <c r="U288" s="409"/>
      <c r="V288" s="405"/>
    </row>
    <row r="289" spans="1:22" ht="18.600000000000001" thickBot="1" x14ac:dyDescent="0.4">
      <c r="A289" s="407"/>
      <c r="B289" s="548" t="str">
        <f>B195</f>
        <v>PM9 INVESTOR REPORT QUARTER ENDING APRIL 2019</v>
      </c>
      <c r="C289" s="545"/>
      <c r="D289" s="545"/>
      <c r="E289" s="545"/>
      <c r="F289" s="545"/>
      <c r="G289" s="545"/>
      <c r="H289" s="542"/>
      <c r="I289" s="542"/>
      <c r="J289" s="542"/>
      <c r="K289" s="542"/>
      <c r="L289" s="542"/>
      <c r="M289" s="542"/>
      <c r="N289" s="542"/>
      <c r="O289" s="542"/>
      <c r="P289" s="542"/>
      <c r="Q289" s="542"/>
      <c r="R289" s="542"/>
      <c r="S289" s="542"/>
      <c r="T289" s="409"/>
      <c r="U289" s="409"/>
      <c r="V289" s="405"/>
    </row>
    <row r="290" spans="1:22" x14ac:dyDescent="0.3">
      <c r="A290" s="502"/>
      <c r="B290" s="502"/>
      <c r="C290" s="502"/>
      <c r="D290" s="502"/>
      <c r="E290" s="502"/>
      <c r="F290" s="502"/>
      <c r="G290" s="502"/>
      <c r="H290" s="502"/>
      <c r="I290" s="502"/>
      <c r="J290" s="502"/>
      <c r="K290" s="502"/>
      <c r="L290" s="502"/>
      <c r="M290" s="502"/>
      <c r="N290" s="502"/>
      <c r="O290" s="502"/>
      <c r="P290" s="502"/>
      <c r="Q290" s="502"/>
      <c r="R290" s="502"/>
      <c r="S290" s="502"/>
      <c r="T290" s="502"/>
      <c r="U290" s="502"/>
    </row>
  </sheetData>
  <hyperlinks>
    <hyperlink ref="J9" r:id="rId1" xr:uid="{00000000-0004-0000-3600-000000000000}"/>
    <hyperlink ref="N230" r:id="rId2" xr:uid="{00000000-0004-0000-3600-000001000000}"/>
  </hyperlinks>
  <printOptions horizontalCentered="1" verticalCentered="1"/>
  <pageMargins left="0.19685039370078741" right="0.19685039370078741" top="0.27559055118110237" bottom="0.27559055118110237" header="0" footer="0"/>
  <pageSetup scale="40" orientation="landscape" r:id="rId3"/>
  <headerFooter alignWithMargins="0"/>
  <rowBreaks count="3" manualBreakCount="3">
    <brk id="61" max="20" man="1"/>
    <brk id="134" max="20" man="1"/>
    <brk id="195" max="20" man="1"/>
  </rowBreaks>
  <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3033D-E814-40E5-9F05-2F431FC2BB83}">
  <sheetPr>
    <tabColor rgb="FF2D2926"/>
  </sheetPr>
  <dimension ref="A1:W293"/>
  <sheetViews>
    <sheetView showGridLines="0" showOutlineSymbols="0" zoomScale="70" zoomScaleNormal="70" workbookViewId="0"/>
  </sheetViews>
  <sheetFormatPr defaultColWidth="9.6328125" defaultRowHeight="15.6" x14ac:dyDescent="0.3"/>
  <cols>
    <col min="1" max="1" width="4" style="406" customWidth="1"/>
    <col min="2" max="2" width="71.1796875" style="406" customWidth="1"/>
    <col min="3" max="3" width="2.1796875" style="406" customWidth="1"/>
    <col min="4" max="4" width="19.36328125" style="406" customWidth="1"/>
    <col min="5" max="5" width="2.1796875" style="406" customWidth="1"/>
    <col min="6" max="6" width="25.08984375" style="406" customWidth="1"/>
    <col min="7" max="7" width="2.1796875" style="406" customWidth="1"/>
    <col min="8" max="8" width="16.1796875" style="406" customWidth="1"/>
    <col min="9" max="9" width="2.1796875" style="406" customWidth="1"/>
    <col min="10" max="10" width="17.90625" style="406" customWidth="1"/>
    <col min="11" max="11" width="2.36328125" style="406" customWidth="1"/>
    <col min="12" max="12" width="14.90625" style="406" customWidth="1"/>
    <col min="13" max="13" width="2.36328125" style="406" customWidth="1"/>
    <col min="14" max="14" width="15.54296875" style="406" customWidth="1"/>
    <col min="15" max="15" width="2.1796875" style="406" customWidth="1"/>
    <col min="16" max="16" width="15.54296875" style="406" customWidth="1"/>
    <col min="17" max="18" width="12.6328125" style="406" customWidth="1"/>
    <col min="19" max="19" width="9.6328125" style="406" customWidth="1"/>
    <col min="20" max="20" width="14.6328125" style="406" customWidth="1"/>
    <col min="21" max="21" width="11.81640625" style="406" customWidth="1"/>
    <col min="22" max="16384" width="9.6328125" style="406"/>
  </cols>
  <sheetData>
    <row r="1" spans="1:22" ht="21" x14ac:dyDescent="0.4">
      <c r="A1" s="403"/>
      <c r="B1" s="602" t="s">
        <v>181</v>
      </c>
      <c r="C1" s="404" t="s">
        <v>263</v>
      </c>
      <c r="D1" s="404"/>
      <c r="E1" s="404"/>
      <c r="F1" s="404"/>
      <c r="G1" s="404"/>
      <c r="H1" s="404"/>
      <c r="I1" s="404"/>
      <c r="J1" s="404"/>
      <c r="K1" s="404"/>
      <c r="L1" s="404"/>
      <c r="M1" s="404"/>
      <c r="N1" s="404"/>
      <c r="O1" s="404"/>
      <c r="P1" s="404"/>
      <c r="Q1" s="404"/>
      <c r="R1" s="404"/>
      <c r="S1" s="404"/>
      <c r="T1" s="404"/>
      <c r="U1" s="404"/>
      <c r="V1" s="405"/>
    </row>
    <row r="2" spans="1:22" x14ac:dyDescent="0.3">
      <c r="A2" s="407"/>
      <c r="B2" s="408"/>
      <c r="C2" s="409"/>
      <c r="D2" s="409"/>
      <c r="E2" s="409"/>
      <c r="F2" s="409"/>
      <c r="G2" s="409"/>
      <c r="H2" s="409"/>
      <c r="I2" s="409"/>
      <c r="J2" s="409"/>
      <c r="K2" s="409"/>
      <c r="L2" s="409"/>
      <c r="M2" s="409"/>
      <c r="N2" s="409"/>
      <c r="O2" s="409"/>
      <c r="P2" s="409"/>
      <c r="Q2" s="409"/>
      <c r="R2" s="409"/>
      <c r="S2" s="409"/>
      <c r="T2" s="409"/>
      <c r="U2" s="409"/>
      <c r="V2" s="405"/>
    </row>
    <row r="3" spans="1:22" x14ac:dyDescent="0.3">
      <c r="A3" s="410"/>
      <c r="B3" s="411" t="s">
        <v>182</v>
      </c>
      <c r="C3" s="409"/>
      <c r="D3" s="409"/>
      <c r="E3" s="409"/>
      <c r="F3" s="409"/>
      <c r="G3" s="409"/>
      <c r="H3" s="409"/>
      <c r="I3" s="409"/>
      <c r="J3" s="409"/>
      <c r="K3" s="409"/>
      <c r="L3" s="409"/>
      <c r="M3" s="409"/>
      <c r="N3" s="409"/>
      <c r="O3" s="409"/>
      <c r="P3" s="409"/>
      <c r="Q3" s="409"/>
      <c r="R3" s="409"/>
      <c r="S3" s="409"/>
      <c r="T3" s="409"/>
      <c r="U3" s="409"/>
      <c r="V3" s="405"/>
    </row>
    <row r="4" spans="1:22" x14ac:dyDescent="0.3">
      <c r="A4" s="407"/>
      <c r="B4" s="408"/>
      <c r="C4" s="409"/>
      <c r="D4" s="409"/>
      <c r="E4" s="409"/>
      <c r="F4" s="409"/>
      <c r="G4" s="409"/>
      <c r="H4" s="409"/>
      <c r="I4" s="409"/>
      <c r="J4" s="409"/>
      <c r="K4" s="409"/>
      <c r="L4" s="409"/>
      <c r="M4" s="409"/>
      <c r="N4" s="409"/>
      <c r="O4" s="409"/>
      <c r="P4" s="409"/>
      <c r="Q4" s="409"/>
      <c r="R4" s="409"/>
      <c r="S4" s="409"/>
      <c r="T4" s="409"/>
      <c r="U4" s="409"/>
      <c r="V4" s="405"/>
    </row>
    <row r="5" spans="1:22" x14ac:dyDescent="0.3">
      <c r="A5" s="407"/>
      <c r="B5" s="601" t="s">
        <v>146</v>
      </c>
      <c r="C5" s="409"/>
      <c r="D5" s="409"/>
      <c r="E5" s="409"/>
      <c r="F5" s="409"/>
      <c r="G5" s="409"/>
      <c r="H5" s="409"/>
      <c r="I5" s="409"/>
      <c r="J5" s="409"/>
      <c r="K5" s="409"/>
      <c r="L5" s="409"/>
      <c r="M5" s="409"/>
      <c r="N5" s="409"/>
      <c r="O5" s="409"/>
      <c r="P5" s="409"/>
      <c r="Q5" s="409"/>
      <c r="R5" s="409"/>
      <c r="S5" s="409"/>
      <c r="T5" s="409"/>
      <c r="U5" s="409"/>
      <c r="V5" s="405"/>
    </row>
    <row r="6" spans="1:22" x14ac:dyDescent="0.3">
      <c r="A6" s="407"/>
      <c r="B6" s="601" t="s">
        <v>148</v>
      </c>
      <c r="C6" s="409"/>
      <c r="D6" s="409"/>
      <c r="E6" s="409"/>
      <c r="F6" s="409"/>
      <c r="G6" s="409"/>
      <c r="H6" s="409"/>
      <c r="I6" s="409"/>
      <c r="J6" s="409"/>
      <c r="K6" s="409"/>
      <c r="L6" s="409"/>
      <c r="M6" s="409"/>
      <c r="N6" s="409"/>
      <c r="O6" s="409"/>
      <c r="P6" s="409"/>
      <c r="Q6" s="409"/>
      <c r="R6" s="409"/>
      <c r="S6" s="409"/>
      <c r="T6" s="409"/>
      <c r="U6" s="409"/>
      <c r="V6" s="405"/>
    </row>
    <row r="7" spans="1:22" x14ac:dyDescent="0.3">
      <c r="A7" s="407"/>
      <c r="B7" s="601" t="s">
        <v>147</v>
      </c>
      <c r="C7" s="409"/>
      <c r="D7" s="409"/>
      <c r="E7" s="409"/>
      <c r="F7" s="409"/>
      <c r="G7" s="409"/>
      <c r="H7" s="409"/>
      <c r="I7" s="409"/>
      <c r="J7" s="409"/>
      <c r="K7" s="409"/>
      <c r="L7" s="409"/>
      <c r="M7" s="409"/>
      <c r="N7" s="409"/>
      <c r="O7" s="409"/>
      <c r="P7" s="409"/>
      <c r="Q7" s="409"/>
      <c r="R7" s="409"/>
      <c r="S7" s="409"/>
      <c r="T7" s="409"/>
      <c r="U7" s="409"/>
      <c r="V7" s="405"/>
    </row>
    <row r="8" spans="1:22" x14ac:dyDescent="0.3">
      <c r="A8" s="407"/>
      <c r="B8" s="412"/>
      <c r="C8" s="409"/>
      <c r="D8" s="409"/>
      <c r="E8" s="409"/>
      <c r="F8" s="409"/>
      <c r="G8" s="409"/>
      <c r="H8" s="409"/>
      <c r="I8" s="409"/>
      <c r="J8" s="409"/>
      <c r="K8" s="409"/>
      <c r="L8" s="409"/>
      <c r="M8" s="409"/>
      <c r="N8" s="409"/>
      <c r="O8" s="409"/>
      <c r="P8" s="409"/>
      <c r="Q8" s="409"/>
      <c r="R8" s="409"/>
      <c r="S8" s="409"/>
      <c r="T8" s="409"/>
      <c r="U8" s="409"/>
      <c r="V8" s="405"/>
    </row>
    <row r="9" spans="1:22" ht="18" x14ac:dyDescent="0.35">
      <c r="A9" s="407"/>
      <c r="B9" s="413" t="s">
        <v>206</v>
      </c>
      <c r="C9" s="409"/>
      <c r="D9" s="409"/>
      <c r="E9" s="409"/>
      <c r="F9" s="409"/>
      <c r="G9" s="409"/>
      <c r="H9" s="409"/>
      <c r="I9" s="409"/>
      <c r="J9" s="414" t="s">
        <v>347</v>
      </c>
      <c r="K9" s="409"/>
      <c r="L9" s="409"/>
      <c r="M9" s="409"/>
      <c r="N9" s="409"/>
      <c r="O9" s="409"/>
      <c r="P9" s="409"/>
      <c r="Q9" s="409"/>
      <c r="R9" s="409"/>
      <c r="S9" s="409"/>
      <c r="T9" s="409"/>
      <c r="U9" s="409"/>
      <c r="V9" s="405"/>
    </row>
    <row r="10" spans="1:22" x14ac:dyDescent="0.3">
      <c r="A10" s="407"/>
      <c r="B10" s="412"/>
      <c r="C10" s="415"/>
      <c r="D10" s="415"/>
      <c r="E10" s="415"/>
      <c r="F10" s="409"/>
      <c r="G10" s="409"/>
      <c r="H10" s="409"/>
      <c r="I10" s="409"/>
      <c r="J10" s="409"/>
      <c r="K10" s="409"/>
      <c r="L10" s="409"/>
      <c r="M10" s="409"/>
      <c r="N10" s="409"/>
      <c r="O10" s="409"/>
      <c r="P10" s="409"/>
      <c r="Q10" s="409"/>
      <c r="R10" s="409"/>
      <c r="S10" s="409"/>
      <c r="T10" s="409"/>
      <c r="U10" s="409"/>
      <c r="V10" s="405"/>
    </row>
    <row r="11" spans="1:22" x14ac:dyDescent="0.3">
      <c r="A11" s="407"/>
      <c r="B11" s="545" t="s">
        <v>0</v>
      </c>
      <c r="C11" s="542"/>
      <c r="D11" s="542"/>
      <c r="E11" s="542"/>
      <c r="F11" s="542"/>
      <c r="G11" s="542"/>
      <c r="H11" s="542"/>
      <c r="I11" s="542"/>
      <c r="J11" s="542"/>
      <c r="K11" s="542"/>
      <c r="L11" s="542"/>
      <c r="M11" s="542"/>
      <c r="N11" s="542"/>
      <c r="O11" s="542"/>
      <c r="P11" s="542"/>
      <c r="Q11" s="542"/>
      <c r="R11" s="542"/>
      <c r="S11" s="542"/>
      <c r="T11" s="542"/>
      <c r="U11" s="409"/>
      <c r="V11" s="405"/>
    </row>
    <row r="12" spans="1:22" ht="16.2" thickBot="1" x14ac:dyDescent="0.35">
      <c r="A12" s="407"/>
      <c r="B12" s="545"/>
      <c r="C12" s="542"/>
      <c r="D12" s="542"/>
      <c r="E12" s="542"/>
      <c r="F12" s="542"/>
      <c r="G12" s="542"/>
      <c r="H12" s="542"/>
      <c r="I12" s="542"/>
      <c r="J12" s="542"/>
      <c r="K12" s="542"/>
      <c r="L12" s="542"/>
      <c r="M12" s="542"/>
      <c r="N12" s="542"/>
      <c r="O12" s="542"/>
      <c r="P12" s="542"/>
      <c r="Q12" s="542"/>
      <c r="R12" s="542"/>
      <c r="S12" s="542"/>
      <c r="T12" s="542"/>
      <c r="U12" s="409"/>
      <c r="V12" s="405"/>
    </row>
    <row r="13" spans="1:22" x14ac:dyDescent="0.3">
      <c r="A13" s="403"/>
      <c r="B13" s="593"/>
      <c r="C13" s="593"/>
      <c r="D13" s="593"/>
      <c r="E13" s="593"/>
      <c r="F13" s="593"/>
      <c r="G13" s="593"/>
      <c r="H13" s="593"/>
      <c r="I13" s="593"/>
      <c r="J13" s="593"/>
      <c r="K13" s="593"/>
      <c r="L13" s="593"/>
      <c r="M13" s="593"/>
      <c r="N13" s="593"/>
      <c r="O13" s="593"/>
      <c r="P13" s="593"/>
      <c r="Q13" s="593"/>
      <c r="R13" s="593"/>
      <c r="S13" s="593"/>
      <c r="T13" s="593"/>
      <c r="U13" s="404"/>
      <c r="V13" s="405"/>
    </row>
    <row r="14" spans="1:22" x14ac:dyDescent="0.3">
      <c r="A14" s="407"/>
      <c r="B14" s="545" t="s">
        <v>1</v>
      </c>
      <c r="C14" s="542"/>
      <c r="D14" s="542"/>
      <c r="E14" s="542"/>
      <c r="F14" s="542"/>
      <c r="G14" s="542"/>
      <c r="H14" s="542"/>
      <c r="I14" s="542"/>
      <c r="J14" s="542"/>
      <c r="K14" s="542"/>
      <c r="L14" s="542"/>
      <c r="M14" s="542"/>
      <c r="N14" s="542"/>
      <c r="O14" s="542"/>
      <c r="P14" s="542"/>
      <c r="Q14" s="542"/>
      <c r="R14" s="542"/>
      <c r="S14" s="542"/>
      <c r="T14" s="594" t="s">
        <v>183</v>
      </c>
      <c r="U14" s="416"/>
      <c r="V14" s="405"/>
    </row>
    <row r="15" spans="1:22" x14ac:dyDescent="0.3">
      <c r="A15" s="407"/>
      <c r="B15" s="545" t="s">
        <v>2</v>
      </c>
      <c r="C15" s="542"/>
      <c r="D15" s="542"/>
      <c r="E15" s="542"/>
      <c r="F15" s="542"/>
      <c r="G15" s="542"/>
      <c r="H15" s="595"/>
      <c r="I15" s="595"/>
      <c r="J15" s="595"/>
      <c r="K15" s="595"/>
      <c r="L15" s="595"/>
      <c r="M15" s="595"/>
      <c r="N15" s="595"/>
      <c r="O15" s="595"/>
      <c r="P15" s="595" t="s">
        <v>110</v>
      </c>
      <c r="Q15" s="596">
        <v>0.59430000000000005</v>
      </c>
      <c r="R15" s="546" t="s">
        <v>149</v>
      </c>
      <c r="S15" s="596">
        <v>0.40570000000000001</v>
      </c>
      <c r="T15" s="594"/>
      <c r="U15" s="416"/>
      <c r="V15" s="405"/>
    </row>
    <row r="16" spans="1:22" x14ac:dyDescent="0.3">
      <c r="A16" s="407"/>
      <c r="B16" s="545" t="s">
        <v>3</v>
      </c>
      <c r="C16" s="542"/>
      <c r="D16" s="542"/>
      <c r="E16" s="542"/>
      <c r="F16" s="542"/>
      <c r="G16" s="542"/>
      <c r="H16" s="595"/>
      <c r="I16" s="595"/>
      <c r="J16" s="595"/>
      <c r="K16" s="595"/>
      <c r="L16" s="595"/>
      <c r="M16" s="595"/>
      <c r="N16" s="595"/>
      <c r="O16" s="595"/>
      <c r="P16" s="595" t="s">
        <v>110</v>
      </c>
      <c r="Q16" s="596">
        <v>0.73470000000000002</v>
      </c>
      <c r="R16" s="546" t="s">
        <v>149</v>
      </c>
      <c r="S16" s="596">
        <v>0.26529999999999998</v>
      </c>
      <c r="T16" s="594"/>
      <c r="U16" s="416"/>
      <c r="V16" s="405"/>
    </row>
    <row r="17" spans="1:22" x14ac:dyDescent="0.3">
      <c r="A17" s="407"/>
      <c r="B17" s="545" t="s">
        <v>4</v>
      </c>
      <c r="C17" s="542"/>
      <c r="D17" s="542"/>
      <c r="E17" s="542"/>
      <c r="F17" s="542"/>
      <c r="G17" s="542"/>
      <c r="H17" s="542"/>
      <c r="I17" s="542"/>
      <c r="J17" s="542"/>
      <c r="K17" s="542"/>
      <c r="L17" s="542"/>
      <c r="M17" s="542"/>
      <c r="N17" s="542"/>
      <c r="O17" s="542"/>
      <c r="P17" s="542"/>
      <c r="Q17" s="597"/>
      <c r="R17" s="542"/>
      <c r="S17" s="542"/>
      <c r="T17" s="598">
        <v>38552</v>
      </c>
      <c r="U17" s="416"/>
      <c r="V17" s="405"/>
    </row>
    <row r="18" spans="1:22" x14ac:dyDescent="0.3">
      <c r="A18" s="407"/>
      <c r="B18" s="545" t="s">
        <v>5</v>
      </c>
      <c r="C18" s="542"/>
      <c r="D18" s="542"/>
      <c r="E18" s="542"/>
      <c r="F18" s="542"/>
      <c r="G18" s="542"/>
      <c r="H18" s="542"/>
      <c r="I18" s="542"/>
      <c r="J18" s="542"/>
      <c r="K18" s="542"/>
      <c r="L18" s="542"/>
      <c r="M18" s="542"/>
      <c r="N18" s="542"/>
      <c r="O18" s="542"/>
      <c r="P18" s="542"/>
      <c r="Q18" s="542"/>
      <c r="R18" s="542"/>
      <c r="S18" s="542"/>
      <c r="T18" s="598">
        <v>43692</v>
      </c>
      <c r="U18" s="416"/>
      <c r="V18" s="405"/>
    </row>
    <row r="19" spans="1:22" x14ac:dyDescent="0.3">
      <c r="A19" s="407"/>
      <c r="B19" s="542"/>
      <c r="C19" s="542"/>
      <c r="D19" s="542"/>
      <c r="E19" s="542"/>
      <c r="F19" s="542"/>
      <c r="G19" s="542"/>
      <c r="H19" s="542"/>
      <c r="I19" s="542"/>
      <c r="J19" s="542"/>
      <c r="K19" s="542"/>
      <c r="L19" s="542"/>
      <c r="M19" s="542"/>
      <c r="N19" s="542"/>
      <c r="O19" s="542"/>
      <c r="P19" s="542"/>
      <c r="Q19" s="542"/>
      <c r="R19" s="542"/>
      <c r="S19" s="542"/>
      <c r="T19" s="599"/>
      <c r="U19" s="409"/>
      <c r="V19" s="405"/>
    </row>
    <row r="20" spans="1:22" x14ac:dyDescent="0.3">
      <c r="A20" s="407"/>
      <c r="B20" s="600" t="s">
        <v>6</v>
      </c>
      <c r="C20" s="542"/>
      <c r="D20" s="542"/>
      <c r="E20" s="542"/>
      <c r="F20" s="542"/>
      <c r="G20" s="542"/>
      <c r="H20" s="542"/>
      <c r="I20" s="542"/>
      <c r="J20" s="542"/>
      <c r="K20" s="542"/>
      <c r="L20" s="542"/>
      <c r="M20" s="542"/>
      <c r="N20" s="542"/>
      <c r="O20" s="542"/>
      <c r="P20" s="542"/>
      <c r="Q20" s="542"/>
      <c r="R20" s="599" t="s">
        <v>111</v>
      </c>
      <c r="S20" s="542"/>
      <c r="T20" s="542"/>
      <c r="U20" s="409"/>
      <c r="V20" s="405"/>
    </row>
    <row r="21" spans="1:22" x14ac:dyDescent="0.3">
      <c r="A21" s="407"/>
      <c r="B21" s="409"/>
      <c r="C21" s="409"/>
      <c r="D21" s="409"/>
      <c r="E21" s="409"/>
      <c r="F21" s="409"/>
      <c r="G21" s="409"/>
      <c r="H21" s="409"/>
      <c r="I21" s="409"/>
      <c r="J21" s="409"/>
      <c r="K21" s="409"/>
      <c r="L21" s="409"/>
      <c r="M21" s="409"/>
      <c r="N21" s="409"/>
      <c r="O21" s="409"/>
      <c r="P21" s="409"/>
      <c r="Q21" s="409"/>
      <c r="R21" s="409"/>
      <c r="S21" s="409"/>
      <c r="T21" s="417"/>
      <c r="U21" s="409"/>
      <c r="V21" s="405"/>
    </row>
    <row r="22" spans="1:22" x14ac:dyDescent="0.3">
      <c r="A22" s="503"/>
      <c r="B22" s="608"/>
      <c r="C22" s="609"/>
      <c r="D22" s="609" t="s">
        <v>185</v>
      </c>
      <c r="E22" s="609"/>
      <c r="F22" s="609" t="s">
        <v>186</v>
      </c>
      <c r="G22" s="609"/>
      <c r="H22" s="609" t="s">
        <v>187</v>
      </c>
      <c r="I22" s="609"/>
      <c r="J22" s="609" t="s">
        <v>188</v>
      </c>
      <c r="K22" s="609"/>
      <c r="L22" s="609" t="s">
        <v>189</v>
      </c>
      <c r="M22" s="609"/>
      <c r="N22" s="609" t="s">
        <v>190</v>
      </c>
      <c r="O22" s="609"/>
      <c r="P22" s="609" t="s">
        <v>191</v>
      </c>
      <c r="Q22" s="610"/>
      <c r="R22" s="610"/>
      <c r="S22" s="608"/>
      <c r="T22" s="608"/>
      <c r="U22" s="611"/>
      <c r="V22" s="405"/>
    </row>
    <row r="23" spans="1:22" x14ac:dyDescent="0.3">
      <c r="A23" s="604"/>
      <c r="B23" s="605" t="s">
        <v>7</v>
      </c>
      <c r="C23" s="606"/>
      <c r="D23" s="606" t="s">
        <v>150</v>
      </c>
      <c r="E23" s="606"/>
      <c r="F23" s="606" t="s">
        <v>150</v>
      </c>
      <c r="G23" s="606"/>
      <c r="H23" s="606" t="s">
        <v>150</v>
      </c>
      <c r="I23" s="606"/>
      <c r="J23" s="606" t="s">
        <v>192</v>
      </c>
      <c r="K23" s="606"/>
      <c r="L23" s="606" t="s">
        <v>192</v>
      </c>
      <c r="M23" s="606"/>
      <c r="N23" s="606" t="s">
        <v>151</v>
      </c>
      <c r="O23" s="606"/>
      <c r="P23" s="606" t="s">
        <v>151</v>
      </c>
      <c r="Q23" s="606"/>
      <c r="R23" s="606"/>
      <c r="S23" s="605"/>
      <c r="T23" s="605"/>
      <c r="U23" s="607"/>
      <c r="V23" s="405"/>
    </row>
    <row r="24" spans="1:22" x14ac:dyDescent="0.3">
      <c r="A24" s="418"/>
      <c r="B24" s="532" t="s">
        <v>8</v>
      </c>
      <c r="C24" s="582"/>
      <c r="D24" s="582" t="s">
        <v>152</v>
      </c>
      <c r="E24" s="582"/>
      <c r="F24" s="582" t="s">
        <v>152</v>
      </c>
      <c r="G24" s="582"/>
      <c r="H24" s="582" t="s">
        <v>152</v>
      </c>
      <c r="I24" s="582"/>
      <c r="J24" s="582" t="s">
        <v>193</v>
      </c>
      <c r="K24" s="582"/>
      <c r="L24" s="582" t="s">
        <v>193</v>
      </c>
      <c r="M24" s="582"/>
      <c r="N24" s="582" t="s">
        <v>153</v>
      </c>
      <c r="O24" s="582"/>
      <c r="P24" s="582" t="s">
        <v>153</v>
      </c>
      <c r="Q24" s="582"/>
      <c r="R24" s="582"/>
      <c r="S24" s="532"/>
      <c r="T24" s="532"/>
      <c r="U24" s="420"/>
      <c r="V24" s="405"/>
    </row>
    <row r="25" spans="1:22" x14ac:dyDescent="0.3">
      <c r="A25" s="421"/>
      <c r="B25" s="536" t="s">
        <v>9</v>
      </c>
      <c r="C25" s="583"/>
      <c r="D25" s="583" t="s">
        <v>329</v>
      </c>
      <c r="E25" s="583"/>
      <c r="F25" s="583" t="s">
        <v>329</v>
      </c>
      <c r="G25" s="583"/>
      <c r="H25" s="583" t="s">
        <v>329</v>
      </c>
      <c r="I25" s="583"/>
      <c r="J25" s="583" t="s">
        <v>334</v>
      </c>
      <c r="K25" s="583"/>
      <c r="L25" s="583" t="s">
        <v>334</v>
      </c>
      <c r="M25" s="583"/>
      <c r="N25" s="583" t="s">
        <v>330</v>
      </c>
      <c r="O25" s="583"/>
      <c r="P25" s="583" t="s">
        <v>330</v>
      </c>
      <c r="Q25" s="583"/>
      <c r="R25" s="582"/>
      <c r="S25" s="532"/>
      <c r="T25" s="532"/>
      <c r="U25" s="420"/>
      <c r="V25" s="405"/>
    </row>
    <row r="26" spans="1:22" x14ac:dyDescent="0.3">
      <c r="A26" s="421"/>
      <c r="B26" s="536" t="s">
        <v>10</v>
      </c>
      <c r="C26" s="583"/>
      <c r="D26" s="583" t="s">
        <v>153</v>
      </c>
      <c r="E26" s="583"/>
      <c r="F26" s="583" t="s">
        <v>153</v>
      </c>
      <c r="G26" s="583"/>
      <c r="H26" s="583" t="s">
        <v>153</v>
      </c>
      <c r="I26" s="583"/>
      <c r="J26" s="583" t="s">
        <v>153</v>
      </c>
      <c r="K26" s="583"/>
      <c r="L26" s="583" t="s">
        <v>153</v>
      </c>
      <c r="M26" s="583"/>
      <c r="N26" s="583" t="s">
        <v>153</v>
      </c>
      <c r="O26" s="583"/>
      <c r="P26" s="583" t="s">
        <v>153</v>
      </c>
      <c r="Q26" s="583"/>
      <c r="R26" s="582"/>
      <c r="S26" s="532"/>
      <c r="T26" s="532"/>
      <c r="U26" s="420"/>
      <c r="V26" s="405"/>
    </row>
    <row r="27" spans="1:22" x14ac:dyDescent="0.3">
      <c r="A27" s="418"/>
      <c r="B27" s="532" t="s">
        <v>11</v>
      </c>
      <c r="C27" s="582"/>
      <c r="D27" s="582" t="s">
        <v>194</v>
      </c>
      <c r="E27" s="582"/>
      <c r="F27" s="552" t="s">
        <v>195</v>
      </c>
      <c r="G27" s="582"/>
      <c r="H27" s="582" t="s">
        <v>196</v>
      </c>
      <c r="I27" s="582"/>
      <c r="J27" s="582" t="s">
        <v>198</v>
      </c>
      <c r="K27" s="582"/>
      <c r="L27" s="582" t="s">
        <v>199</v>
      </c>
      <c r="M27" s="582"/>
      <c r="N27" s="582" t="s">
        <v>200</v>
      </c>
      <c r="O27" s="582"/>
      <c r="P27" s="582" t="s">
        <v>201</v>
      </c>
      <c r="Q27" s="582"/>
      <c r="R27" s="552"/>
      <c r="S27" s="532"/>
      <c r="T27" s="532"/>
      <c r="U27" s="420"/>
      <c r="V27" s="405"/>
    </row>
    <row r="28" spans="1:22" x14ac:dyDescent="0.3">
      <c r="A28" s="418"/>
      <c r="B28" s="532" t="s">
        <v>11</v>
      </c>
      <c r="C28" s="582"/>
      <c r="D28" s="582" t="s">
        <v>127</v>
      </c>
      <c r="E28" s="582"/>
      <c r="F28" s="552" t="s">
        <v>127</v>
      </c>
      <c r="G28" s="582"/>
      <c r="H28" s="582" t="s">
        <v>197</v>
      </c>
      <c r="I28" s="582"/>
      <c r="J28" s="582" t="s">
        <v>127</v>
      </c>
      <c r="K28" s="582"/>
      <c r="L28" s="582" t="s">
        <v>127</v>
      </c>
      <c r="M28" s="582"/>
      <c r="N28" s="582" t="s">
        <v>127</v>
      </c>
      <c r="O28" s="582"/>
      <c r="P28" s="582" t="s">
        <v>127</v>
      </c>
      <c r="Q28" s="582"/>
      <c r="R28" s="552"/>
      <c r="S28" s="532"/>
      <c r="T28" s="532"/>
      <c r="U28" s="420"/>
      <c r="V28" s="405"/>
    </row>
    <row r="29" spans="1:22" x14ac:dyDescent="0.3">
      <c r="A29" s="418"/>
      <c r="B29" s="532" t="s">
        <v>142</v>
      </c>
      <c r="C29" s="584"/>
      <c r="D29" s="577">
        <v>346000</v>
      </c>
      <c r="E29" s="584"/>
      <c r="F29" s="585">
        <v>355000</v>
      </c>
      <c r="G29" s="577"/>
      <c r="H29" s="586">
        <v>60000</v>
      </c>
      <c r="I29" s="577"/>
      <c r="J29" s="577">
        <v>7000</v>
      </c>
      <c r="K29" s="577"/>
      <c r="L29" s="585">
        <v>29500</v>
      </c>
      <c r="M29" s="577"/>
      <c r="N29" s="587">
        <v>3000</v>
      </c>
      <c r="O29" s="577"/>
      <c r="P29" s="585">
        <v>66000</v>
      </c>
      <c r="Q29" s="577"/>
      <c r="R29" s="577"/>
      <c r="S29" s="584"/>
      <c r="T29" s="577"/>
      <c r="U29" s="423"/>
      <c r="V29" s="405"/>
    </row>
    <row r="30" spans="1:22" x14ac:dyDescent="0.3">
      <c r="A30" s="418"/>
      <c r="B30" s="532" t="s">
        <v>141</v>
      </c>
      <c r="C30" s="584"/>
      <c r="D30" s="577">
        <f>D29*D36</f>
        <v>91007.272800000006</v>
      </c>
      <c r="E30" s="584"/>
      <c r="F30" s="585">
        <f>F29*F36</f>
        <v>93374.513999999996</v>
      </c>
      <c r="G30" s="577"/>
      <c r="H30" s="586">
        <f>H29*H36</f>
        <v>15781.464</v>
      </c>
      <c r="I30" s="577"/>
      <c r="J30" s="577">
        <f>J29*J36</f>
        <v>4189.6077999999998</v>
      </c>
      <c r="K30" s="577"/>
      <c r="L30" s="585">
        <f>L29*L36</f>
        <v>17656.204300000001</v>
      </c>
      <c r="M30" s="577"/>
      <c r="N30" s="587">
        <f>N29*N36</f>
        <v>1795.5462</v>
      </c>
      <c r="O30" s="577"/>
      <c r="P30" s="585">
        <f>P29*P36</f>
        <v>39502.0164</v>
      </c>
      <c r="Q30" s="577"/>
      <c r="R30" s="577"/>
      <c r="S30" s="584"/>
      <c r="T30" s="577"/>
      <c r="U30" s="423"/>
      <c r="V30" s="405"/>
    </row>
    <row r="31" spans="1:22" x14ac:dyDescent="0.3">
      <c r="A31" s="421"/>
      <c r="B31" s="536" t="s">
        <v>143</v>
      </c>
      <c r="C31" s="588"/>
      <c r="D31" s="589">
        <f>D35*D29</f>
        <v>89311.042399999991</v>
      </c>
      <c r="E31" s="588"/>
      <c r="F31" s="590">
        <f>F35*F29</f>
        <v>91634.161999999997</v>
      </c>
      <c r="G31" s="589"/>
      <c r="H31" s="591">
        <f>H35*H29</f>
        <v>15487.320000000002</v>
      </c>
      <c r="I31" s="589"/>
      <c r="J31" s="589">
        <f>J35*J29</f>
        <v>4111.5199999999995</v>
      </c>
      <c r="K31" s="589"/>
      <c r="L31" s="590">
        <f>L35*L29</f>
        <v>17327.12</v>
      </c>
      <c r="M31" s="589"/>
      <c r="N31" s="592">
        <f>N35*N29</f>
        <v>1762.08</v>
      </c>
      <c r="O31" s="589"/>
      <c r="P31" s="590">
        <f>P35*P29</f>
        <v>38765.760000000002</v>
      </c>
      <c r="Q31" s="589"/>
      <c r="R31" s="589"/>
      <c r="S31" s="588"/>
      <c r="T31" s="589"/>
      <c r="U31" s="423"/>
      <c r="V31" s="405"/>
    </row>
    <row r="32" spans="1:22" x14ac:dyDescent="0.3">
      <c r="A32" s="418"/>
      <c r="B32" s="532" t="s">
        <v>289</v>
      </c>
      <c r="C32" s="584"/>
      <c r="D32" s="577">
        <v>346000</v>
      </c>
      <c r="E32" s="584"/>
      <c r="F32" s="577">
        <v>244500</v>
      </c>
      <c r="G32" s="577"/>
      <c r="H32" s="577">
        <v>33900</v>
      </c>
      <c r="I32" s="577"/>
      <c r="J32" s="577">
        <v>7000</v>
      </c>
      <c r="K32" s="577"/>
      <c r="L32" s="577">
        <v>20300</v>
      </c>
      <c r="M32" s="577"/>
      <c r="N32" s="577">
        <v>3000</v>
      </c>
      <c r="O32" s="577"/>
      <c r="P32" s="577">
        <v>45300</v>
      </c>
      <c r="Q32" s="577"/>
      <c r="R32" s="577"/>
      <c r="S32" s="584"/>
      <c r="T32" s="577">
        <f>SUM(C32:P32)</f>
        <v>700000</v>
      </c>
      <c r="U32" s="423"/>
      <c r="V32" s="405"/>
    </row>
    <row r="33" spans="1:22" x14ac:dyDescent="0.3">
      <c r="A33" s="418"/>
      <c r="B33" s="532" t="s">
        <v>290</v>
      </c>
      <c r="C33" s="584"/>
      <c r="D33" s="577">
        <f>D32*D36</f>
        <v>91007.272800000006</v>
      </c>
      <c r="E33" s="584"/>
      <c r="F33" s="577">
        <f>F32*F36</f>
        <v>64310.052600000003</v>
      </c>
      <c r="G33" s="577"/>
      <c r="H33" s="577">
        <f>H32*H36</f>
        <v>8916.5271599999996</v>
      </c>
      <c r="I33" s="577"/>
      <c r="J33" s="577">
        <f>J32*J36</f>
        <v>4189.6077999999998</v>
      </c>
      <c r="K33" s="577"/>
      <c r="L33" s="577">
        <f>L32*L36</f>
        <v>12149.86262</v>
      </c>
      <c r="M33" s="577"/>
      <c r="N33" s="577">
        <f>N32*N36</f>
        <v>1795.5462</v>
      </c>
      <c r="O33" s="577"/>
      <c r="P33" s="577">
        <f>P32*P36</f>
        <v>27112.747620000002</v>
      </c>
      <c r="Q33" s="577"/>
      <c r="R33" s="577"/>
      <c r="S33" s="584"/>
      <c r="T33" s="577">
        <f>SUM(C33:P33)</f>
        <v>209481.61680000002</v>
      </c>
      <c r="U33" s="423"/>
      <c r="V33" s="405"/>
    </row>
    <row r="34" spans="1:22" x14ac:dyDescent="0.3">
      <c r="A34" s="421"/>
      <c r="B34" s="536" t="s">
        <v>291</v>
      </c>
      <c r="C34" s="588"/>
      <c r="D34" s="589">
        <f>D35*D32</f>
        <v>89311.042399999991</v>
      </c>
      <c r="E34" s="588"/>
      <c r="F34" s="589">
        <f>F35*F32</f>
        <v>63111.415799999995</v>
      </c>
      <c r="G34" s="589"/>
      <c r="H34" s="589">
        <f>H35*H32</f>
        <v>8750.3358000000007</v>
      </c>
      <c r="I34" s="589"/>
      <c r="J34" s="589">
        <f>J35*J32</f>
        <v>4111.5199999999995</v>
      </c>
      <c r="K34" s="589"/>
      <c r="L34" s="589">
        <f>L35*L32</f>
        <v>11923.407999999999</v>
      </c>
      <c r="M34" s="589"/>
      <c r="N34" s="589">
        <f>N35*N32</f>
        <v>1762.08</v>
      </c>
      <c r="O34" s="589"/>
      <c r="P34" s="589">
        <f>P35*P32</f>
        <v>26607.407999999999</v>
      </c>
      <c r="Q34" s="589"/>
      <c r="R34" s="589"/>
      <c r="S34" s="588"/>
      <c r="T34" s="589">
        <f>SUM(C34:P34)</f>
        <v>205577.20999999996</v>
      </c>
      <c r="U34" s="423"/>
      <c r="V34" s="405"/>
    </row>
    <row r="35" spans="1:22" x14ac:dyDescent="0.3">
      <c r="A35" s="421"/>
      <c r="B35" s="514" t="s">
        <v>139</v>
      </c>
      <c r="C35" s="515"/>
      <c r="D35" s="516">
        <v>0.25812439999999998</v>
      </c>
      <c r="E35" s="517"/>
      <c r="F35" s="516">
        <v>0.25812439999999998</v>
      </c>
      <c r="G35" s="516"/>
      <c r="H35" s="516">
        <v>0.25812200000000002</v>
      </c>
      <c r="I35" s="518"/>
      <c r="J35" s="516">
        <v>0.58735999999999999</v>
      </c>
      <c r="K35" s="516"/>
      <c r="L35" s="516">
        <v>0.58735999999999999</v>
      </c>
      <c r="M35" s="518"/>
      <c r="N35" s="516">
        <v>0.58735999999999999</v>
      </c>
      <c r="O35" s="516"/>
      <c r="P35" s="516">
        <v>0.58735999999999999</v>
      </c>
      <c r="Q35" s="424"/>
      <c r="R35" s="424"/>
      <c r="S35" s="425"/>
      <c r="T35" s="424"/>
      <c r="U35" s="426"/>
      <c r="V35" s="405"/>
    </row>
    <row r="36" spans="1:22" x14ac:dyDescent="0.3">
      <c r="A36" s="421"/>
      <c r="B36" s="514" t="s">
        <v>140</v>
      </c>
      <c r="C36" s="515"/>
      <c r="D36" s="516">
        <v>0.26302680000000001</v>
      </c>
      <c r="E36" s="517"/>
      <c r="F36" s="516">
        <v>0.26302680000000001</v>
      </c>
      <c r="G36" s="516"/>
      <c r="H36" s="516">
        <v>0.26302439999999999</v>
      </c>
      <c r="I36" s="518"/>
      <c r="J36" s="516">
        <v>0.59851540000000003</v>
      </c>
      <c r="K36" s="516"/>
      <c r="L36" s="516">
        <v>0.59851540000000003</v>
      </c>
      <c r="M36" s="518"/>
      <c r="N36" s="516">
        <v>0.59851540000000003</v>
      </c>
      <c r="O36" s="516"/>
      <c r="P36" s="516">
        <v>0.59851540000000003</v>
      </c>
      <c r="Q36" s="427"/>
      <c r="R36" s="427"/>
      <c r="S36" s="425"/>
      <c r="T36" s="424"/>
      <c r="U36" s="426"/>
      <c r="V36" s="405"/>
    </row>
    <row r="37" spans="1:22" x14ac:dyDescent="0.3">
      <c r="A37" s="428"/>
      <c r="B37" s="532" t="s">
        <v>12</v>
      </c>
      <c r="C37" s="532"/>
      <c r="D37" s="552" t="s">
        <v>166</v>
      </c>
      <c r="E37" s="532"/>
      <c r="F37" s="552" t="s">
        <v>166</v>
      </c>
      <c r="G37" s="552"/>
      <c r="H37" s="552" t="s">
        <v>166</v>
      </c>
      <c r="I37" s="552"/>
      <c r="J37" s="552" t="s">
        <v>204</v>
      </c>
      <c r="K37" s="552"/>
      <c r="L37" s="552" t="s">
        <v>204</v>
      </c>
      <c r="M37" s="552"/>
      <c r="N37" s="552" t="s">
        <v>205</v>
      </c>
      <c r="O37" s="552"/>
      <c r="P37" s="552" t="s">
        <v>205</v>
      </c>
      <c r="Q37" s="552"/>
      <c r="R37" s="552"/>
      <c r="S37" s="532"/>
      <c r="T37" s="532"/>
      <c r="U37" s="562"/>
      <c r="V37" s="405"/>
    </row>
    <row r="38" spans="1:22" x14ac:dyDescent="0.3">
      <c r="A38" s="428"/>
      <c r="B38" s="532" t="s">
        <v>13</v>
      </c>
      <c r="C38" s="532"/>
      <c r="D38" s="574">
        <v>1.16638E-2</v>
      </c>
      <c r="E38" s="532"/>
      <c r="F38" s="574">
        <v>4.8999999999999998E-4</v>
      </c>
      <c r="G38" s="558"/>
      <c r="H38" s="574">
        <v>2.878E-2</v>
      </c>
      <c r="I38" s="558"/>
      <c r="J38" s="574">
        <v>1.3863800000000001E-2</v>
      </c>
      <c r="K38" s="558"/>
      <c r="L38" s="574">
        <v>2.6900000000000001E-3</v>
      </c>
      <c r="M38" s="558"/>
      <c r="N38" s="574">
        <v>1.8463799999999999E-2</v>
      </c>
      <c r="O38" s="558"/>
      <c r="P38" s="574">
        <v>7.2899999999999996E-3</v>
      </c>
      <c r="Q38" s="558"/>
      <c r="R38" s="574"/>
      <c r="S38" s="532"/>
      <c r="T38" s="558"/>
      <c r="U38" s="562"/>
      <c r="V38" s="405"/>
    </row>
    <row r="39" spans="1:22" x14ac:dyDescent="0.3">
      <c r="A39" s="428"/>
      <c r="B39" s="532" t="s">
        <v>14</v>
      </c>
      <c r="C39" s="532"/>
      <c r="D39" s="574">
        <v>1.22988E-2</v>
      </c>
      <c r="E39" s="532"/>
      <c r="F39" s="574">
        <v>5.1999999999999995E-4</v>
      </c>
      <c r="G39" s="558"/>
      <c r="H39" s="574">
        <v>3.0437499999999999E-2</v>
      </c>
      <c r="I39" s="558"/>
      <c r="J39" s="574">
        <v>1.4498799999999999E-2</v>
      </c>
      <c r="K39" s="558"/>
      <c r="L39" s="574">
        <v>2.7200000000000002E-3</v>
      </c>
      <c r="M39" s="558"/>
      <c r="N39" s="574">
        <v>1.9098799999999999E-2</v>
      </c>
      <c r="O39" s="558"/>
      <c r="P39" s="574">
        <v>7.3200000000000001E-3</v>
      </c>
      <c r="Q39" s="558"/>
      <c r="R39" s="574"/>
      <c r="S39" s="532"/>
      <c r="T39" s="532"/>
      <c r="U39" s="562"/>
      <c r="V39" s="405"/>
    </row>
    <row r="40" spans="1:22" x14ac:dyDescent="0.3">
      <c r="A40" s="428"/>
      <c r="B40" s="532" t="s">
        <v>292</v>
      </c>
      <c r="C40" s="532"/>
      <c r="D40" s="552" t="s">
        <v>166</v>
      </c>
      <c r="E40" s="532"/>
      <c r="F40" s="552" t="s">
        <v>209</v>
      </c>
      <c r="G40" s="552"/>
      <c r="H40" s="552" t="s">
        <v>210</v>
      </c>
      <c r="I40" s="552"/>
      <c r="J40" s="552" t="s">
        <v>204</v>
      </c>
      <c r="K40" s="552"/>
      <c r="L40" s="552" t="s">
        <v>211</v>
      </c>
      <c r="M40" s="552"/>
      <c r="N40" s="552" t="s">
        <v>205</v>
      </c>
      <c r="O40" s="552"/>
      <c r="P40" s="552" t="s">
        <v>212</v>
      </c>
      <c r="Q40" s="558"/>
      <c r="R40" s="574"/>
      <c r="S40" s="532"/>
      <c r="T40" s="558"/>
      <c r="U40" s="562"/>
      <c r="V40" s="405"/>
    </row>
    <row r="41" spans="1:22" x14ac:dyDescent="0.3">
      <c r="A41" s="428"/>
      <c r="B41" s="532" t="s">
        <v>293</v>
      </c>
      <c r="C41" s="532"/>
      <c r="D41" s="574">
        <f>+D38</f>
        <v>1.16638E-2</v>
      </c>
      <c r="E41" s="532"/>
      <c r="F41" s="574">
        <v>1.1863800000000001E-2</v>
      </c>
      <c r="G41" s="558"/>
      <c r="H41" s="574">
        <v>1.2123800000000001E-2</v>
      </c>
      <c r="I41" s="558"/>
      <c r="J41" s="574">
        <f>+J38</f>
        <v>1.3863800000000001E-2</v>
      </c>
      <c r="K41" s="558"/>
      <c r="L41" s="574">
        <v>1.4453799999999999E-2</v>
      </c>
      <c r="M41" s="558"/>
      <c r="N41" s="574">
        <f>+N38</f>
        <v>1.8463799999999999E-2</v>
      </c>
      <c r="O41" s="558"/>
      <c r="P41" s="574">
        <v>1.9343800000000001E-2</v>
      </c>
      <c r="Q41" s="558"/>
      <c r="R41" s="574"/>
      <c r="S41" s="532"/>
      <c r="T41" s="558">
        <f>SUMPRODUCT(D41:P41,D33:P33)/T33</f>
        <v>1.3002888780438515E-2</v>
      </c>
      <c r="U41" s="562"/>
      <c r="V41" s="405"/>
    </row>
    <row r="42" spans="1:22" x14ac:dyDescent="0.3">
      <c r="A42" s="428"/>
      <c r="B42" s="532" t="s">
        <v>294</v>
      </c>
      <c r="C42" s="532"/>
      <c r="D42" s="574">
        <f>+D39</f>
        <v>1.22988E-2</v>
      </c>
      <c r="E42" s="532"/>
      <c r="F42" s="574">
        <v>1.2498799999999999E-2</v>
      </c>
      <c r="G42" s="558"/>
      <c r="H42" s="574">
        <v>1.2758800000000001E-2</v>
      </c>
      <c r="I42" s="558"/>
      <c r="J42" s="574">
        <f>+J39</f>
        <v>1.4498799999999999E-2</v>
      </c>
      <c r="K42" s="558"/>
      <c r="L42" s="574">
        <v>1.5088799999999999E-2</v>
      </c>
      <c r="M42" s="558"/>
      <c r="N42" s="574">
        <f>+N39</f>
        <v>1.9098799999999999E-2</v>
      </c>
      <c r="O42" s="558"/>
      <c r="P42" s="574">
        <v>1.9978800000000001E-2</v>
      </c>
      <c r="Q42" s="558"/>
      <c r="R42" s="574"/>
      <c r="S42" s="532"/>
      <c r="T42" s="532"/>
      <c r="U42" s="562"/>
      <c r="V42" s="405"/>
    </row>
    <row r="43" spans="1:22" x14ac:dyDescent="0.3">
      <c r="A43" s="428"/>
      <c r="B43" s="532" t="s">
        <v>15</v>
      </c>
      <c r="C43" s="575"/>
      <c r="D43" s="575">
        <v>39948</v>
      </c>
      <c r="E43" s="575"/>
      <c r="F43" s="575">
        <v>39948</v>
      </c>
      <c r="G43" s="575"/>
      <c r="H43" s="575">
        <v>39948</v>
      </c>
      <c r="I43" s="575"/>
      <c r="J43" s="575">
        <v>39948</v>
      </c>
      <c r="K43" s="575"/>
      <c r="L43" s="575">
        <v>39948</v>
      </c>
      <c r="M43" s="575"/>
      <c r="N43" s="575">
        <v>39948</v>
      </c>
      <c r="O43" s="575"/>
      <c r="P43" s="575">
        <v>39948</v>
      </c>
      <c r="Q43" s="552"/>
      <c r="R43" s="552"/>
      <c r="S43" s="532"/>
      <c r="T43" s="532"/>
      <c r="U43" s="562"/>
      <c r="V43" s="405"/>
    </row>
    <row r="44" spans="1:22" x14ac:dyDescent="0.3">
      <c r="A44" s="428"/>
      <c r="B44" s="532" t="s">
        <v>16</v>
      </c>
      <c r="C44" s="575"/>
      <c r="D44" s="575">
        <v>40313</v>
      </c>
      <c r="E44" s="575"/>
      <c r="F44" s="575">
        <v>40313</v>
      </c>
      <c r="G44" s="575"/>
      <c r="H44" s="575">
        <v>40313</v>
      </c>
      <c r="I44" s="552"/>
      <c r="J44" s="575">
        <v>40313</v>
      </c>
      <c r="K44" s="552"/>
      <c r="L44" s="575">
        <v>40313</v>
      </c>
      <c r="M44" s="552"/>
      <c r="N44" s="575">
        <v>40313</v>
      </c>
      <c r="O44" s="552"/>
      <c r="P44" s="575">
        <v>40313</v>
      </c>
      <c r="Q44" s="552"/>
      <c r="R44" s="552"/>
      <c r="S44" s="532"/>
      <c r="T44" s="532"/>
      <c r="U44" s="562"/>
      <c r="V44" s="405"/>
    </row>
    <row r="45" spans="1:22" x14ac:dyDescent="0.3">
      <c r="A45" s="428"/>
      <c r="B45" s="532" t="s">
        <v>128</v>
      </c>
      <c r="C45" s="532"/>
      <c r="D45" s="552" t="s">
        <v>166</v>
      </c>
      <c r="E45" s="532"/>
      <c r="F45" s="552" t="s">
        <v>166</v>
      </c>
      <c r="G45" s="552"/>
      <c r="H45" s="552" t="s">
        <v>166</v>
      </c>
      <c r="I45" s="552"/>
      <c r="J45" s="552" t="s">
        <v>204</v>
      </c>
      <c r="K45" s="552"/>
      <c r="L45" s="552" t="s">
        <v>204</v>
      </c>
      <c r="M45" s="552"/>
      <c r="N45" s="552" t="s">
        <v>205</v>
      </c>
      <c r="O45" s="552"/>
      <c r="P45" s="552" t="s">
        <v>205</v>
      </c>
      <c r="Q45" s="552"/>
      <c r="R45" s="552"/>
      <c r="S45" s="532"/>
      <c r="T45" s="532"/>
      <c r="U45" s="562"/>
      <c r="V45" s="405"/>
    </row>
    <row r="46" spans="1:22" x14ac:dyDescent="0.3">
      <c r="A46" s="428"/>
      <c r="B46" s="532" t="s">
        <v>295</v>
      </c>
      <c r="C46" s="532"/>
      <c r="D46" s="552" t="s">
        <v>166</v>
      </c>
      <c r="E46" s="532"/>
      <c r="F46" s="552" t="s">
        <v>209</v>
      </c>
      <c r="G46" s="552"/>
      <c r="H46" s="552" t="s">
        <v>210</v>
      </c>
      <c r="I46" s="552"/>
      <c r="J46" s="552" t="s">
        <v>204</v>
      </c>
      <c r="K46" s="552"/>
      <c r="L46" s="552" t="s">
        <v>211</v>
      </c>
      <c r="M46" s="552"/>
      <c r="N46" s="552" t="s">
        <v>205</v>
      </c>
      <c r="O46" s="552"/>
      <c r="P46" s="552" t="s">
        <v>212</v>
      </c>
      <c r="Q46" s="552"/>
      <c r="R46" s="552"/>
      <c r="S46" s="532"/>
      <c r="T46" s="532"/>
      <c r="U46" s="562"/>
      <c r="V46" s="405"/>
    </row>
    <row r="47" spans="1:22" x14ac:dyDescent="0.3">
      <c r="A47" s="428"/>
      <c r="B47" s="532"/>
      <c r="C47" s="532"/>
      <c r="D47" s="532"/>
      <c r="E47" s="532"/>
      <c r="F47" s="552"/>
      <c r="G47" s="552"/>
      <c r="H47" s="550"/>
      <c r="I47" s="550"/>
      <c r="J47" s="550"/>
      <c r="K47" s="550"/>
      <c r="L47" s="550"/>
      <c r="M47" s="550"/>
      <c r="N47" s="550"/>
      <c r="O47" s="550"/>
      <c r="P47" s="550"/>
      <c r="Q47" s="550"/>
      <c r="R47" s="550"/>
      <c r="S47" s="550"/>
      <c r="T47" s="550"/>
      <c r="U47" s="562"/>
      <c r="V47" s="405"/>
    </row>
    <row r="48" spans="1:22" x14ac:dyDescent="0.3">
      <c r="A48" s="428"/>
      <c r="B48" s="532" t="s">
        <v>224</v>
      </c>
      <c r="C48" s="532"/>
      <c r="D48" s="532"/>
      <c r="E48" s="532"/>
      <c r="F48" s="576"/>
      <c r="G48" s="532"/>
      <c r="H48" s="532"/>
      <c r="I48" s="532"/>
      <c r="J48" s="532"/>
      <c r="K48" s="532"/>
      <c r="L48" s="532"/>
      <c r="M48" s="532"/>
      <c r="N48" s="532"/>
      <c r="O48" s="532"/>
      <c r="P48" s="532"/>
      <c r="Q48" s="532"/>
      <c r="R48" s="532"/>
      <c r="S48" s="532"/>
      <c r="T48" s="558">
        <f>SUM(J32:P32)/SUM(D32:H32)</f>
        <v>0.1210762331838565</v>
      </c>
      <c r="U48" s="562"/>
      <c r="V48" s="405"/>
    </row>
    <row r="49" spans="1:23" x14ac:dyDescent="0.3">
      <c r="A49" s="428"/>
      <c r="B49" s="532" t="s">
        <v>225</v>
      </c>
      <c r="C49" s="532"/>
      <c r="D49" s="532"/>
      <c r="E49" s="532"/>
      <c r="F49" s="576"/>
      <c r="G49" s="532"/>
      <c r="H49" s="532"/>
      <c r="I49" s="532"/>
      <c r="J49" s="532"/>
      <c r="K49" s="532"/>
      <c r="L49" s="532"/>
      <c r="M49" s="532"/>
      <c r="N49" s="532"/>
      <c r="O49" s="532"/>
      <c r="P49" s="532"/>
      <c r="Q49" s="532"/>
      <c r="R49" s="532"/>
      <c r="S49" s="532"/>
      <c r="T49" s="558">
        <f>SUM(J34:P34)/SUM(D34:H34)</f>
        <v>0.27550813569689681</v>
      </c>
      <c r="U49" s="562"/>
      <c r="V49" s="405"/>
    </row>
    <row r="50" spans="1:23" x14ac:dyDescent="0.3">
      <c r="A50" s="428"/>
      <c r="B50" s="532" t="s">
        <v>226</v>
      </c>
      <c r="C50" s="532"/>
      <c r="D50" s="532"/>
      <c r="E50" s="532"/>
      <c r="F50" s="532"/>
      <c r="G50" s="532"/>
      <c r="H50" s="532"/>
      <c r="I50" s="532"/>
      <c r="J50" s="532"/>
      <c r="K50" s="532"/>
      <c r="L50" s="532"/>
      <c r="M50" s="532"/>
      <c r="N50" s="532"/>
      <c r="O50" s="532"/>
      <c r="P50" s="532"/>
      <c r="Q50" s="532"/>
      <c r="R50" s="552" t="s">
        <v>112</v>
      </c>
      <c r="S50" s="552" t="s">
        <v>118</v>
      </c>
      <c r="T50" s="577">
        <f>+T32/2-SUM(J32:P32)</f>
        <v>274400</v>
      </c>
      <c r="U50" s="562"/>
      <c r="V50" s="405"/>
    </row>
    <row r="51" spans="1:23" x14ac:dyDescent="0.3">
      <c r="A51" s="428"/>
      <c r="B51" s="532"/>
      <c r="C51" s="532"/>
      <c r="D51" s="532"/>
      <c r="E51" s="532"/>
      <c r="F51" s="532"/>
      <c r="G51" s="532"/>
      <c r="H51" s="532"/>
      <c r="I51" s="532"/>
      <c r="J51" s="532"/>
      <c r="K51" s="532"/>
      <c r="L51" s="532"/>
      <c r="M51" s="532"/>
      <c r="N51" s="532"/>
      <c r="O51" s="532"/>
      <c r="P51" s="532"/>
      <c r="Q51" s="532"/>
      <c r="R51" s="532" t="s">
        <v>284</v>
      </c>
      <c r="S51" s="532"/>
      <c r="T51" s="560"/>
      <c r="U51" s="562"/>
      <c r="V51" s="405"/>
    </row>
    <row r="52" spans="1:23" x14ac:dyDescent="0.3">
      <c r="A52" s="428"/>
      <c r="B52" s="532" t="s">
        <v>154</v>
      </c>
      <c r="C52" s="532"/>
      <c r="D52" s="532"/>
      <c r="E52" s="532"/>
      <c r="F52" s="532"/>
      <c r="G52" s="532"/>
      <c r="H52" s="532"/>
      <c r="I52" s="532"/>
      <c r="J52" s="532"/>
      <c r="K52" s="532"/>
      <c r="L52" s="532"/>
      <c r="M52" s="532"/>
      <c r="N52" s="532"/>
      <c r="O52" s="532"/>
      <c r="P52" s="532"/>
      <c r="Q52" s="532"/>
      <c r="R52" s="552"/>
      <c r="S52" s="552"/>
      <c r="T52" s="552" t="s">
        <v>120</v>
      </c>
      <c r="U52" s="562"/>
      <c r="V52" s="405"/>
    </row>
    <row r="53" spans="1:23" x14ac:dyDescent="0.3">
      <c r="A53" s="428"/>
      <c r="B53" s="536" t="s">
        <v>155</v>
      </c>
      <c r="C53" s="536"/>
      <c r="D53" s="536"/>
      <c r="E53" s="536"/>
      <c r="F53" s="536"/>
      <c r="G53" s="536"/>
      <c r="H53" s="536"/>
      <c r="I53" s="536"/>
      <c r="J53" s="536"/>
      <c r="K53" s="536"/>
      <c r="L53" s="536"/>
      <c r="M53" s="536"/>
      <c r="N53" s="536"/>
      <c r="O53" s="536"/>
      <c r="P53" s="536"/>
      <c r="Q53" s="536"/>
      <c r="R53" s="557"/>
      <c r="S53" s="557"/>
      <c r="T53" s="578">
        <v>43692</v>
      </c>
      <c r="U53" s="562"/>
      <c r="V53" s="405"/>
    </row>
    <row r="54" spans="1:23" x14ac:dyDescent="0.3">
      <c r="A54" s="428"/>
      <c r="B54" s="532" t="s">
        <v>130</v>
      </c>
      <c r="C54" s="532"/>
      <c r="D54" s="532"/>
      <c r="E54" s="532"/>
      <c r="F54" s="532"/>
      <c r="G54" s="532"/>
      <c r="H54" s="579"/>
      <c r="I54" s="579"/>
      <c r="J54" s="579"/>
      <c r="K54" s="579"/>
      <c r="L54" s="579"/>
      <c r="M54" s="579"/>
      <c r="N54" s="579"/>
      <c r="O54" s="579"/>
      <c r="P54" s="532">
        <f>+T54-R54+1</f>
        <v>89</v>
      </c>
      <c r="Q54" s="532"/>
      <c r="R54" s="580">
        <v>43511</v>
      </c>
      <c r="S54" s="581"/>
      <c r="T54" s="580">
        <v>43599</v>
      </c>
      <c r="U54" s="562"/>
      <c r="V54" s="405"/>
    </row>
    <row r="55" spans="1:23" x14ac:dyDescent="0.3">
      <c r="A55" s="428"/>
      <c r="B55" s="532" t="s">
        <v>131</v>
      </c>
      <c r="C55" s="532"/>
      <c r="D55" s="532"/>
      <c r="E55" s="532"/>
      <c r="F55" s="532"/>
      <c r="G55" s="532"/>
      <c r="H55" s="532"/>
      <c r="I55" s="532"/>
      <c r="J55" s="532"/>
      <c r="K55" s="532"/>
      <c r="L55" s="532"/>
      <c r="M55" s="532"/>
      <c r="N55" s="532"/>
      <c r="O55" s="532"/>
      <c r="P55" s="532">
        <f>+T55-R55+1</f>
        <v>92</v>
      </c>
      <c r="Q55" s="532"/>
      <c r="R55" s="580">
        <v>43600</v>
      </c>
      <c r="S55" s="581"/>
      <c r="T55" s="580">
        <v>43691</v>
      </c>
      <c r="U55" s="562"/>
      <c r="V55" s="405"/>
    </row>
    <row r="56" spans="1:23" x14ac:dyDescent="0.3">
      <c r="A56" s="428"/>
      <c r="B56" s="532" t="s">
        <v>213</v>
      </c>
      <c r="C56" s="532"/>
      <c r="D56" s="532"/>
      <c r="E56" s="532"/>
      <c r="F56" s="532"/>
      <c r="G56" s="532"/>
      <c r="H56" s="532"/>
      <c r="I56" s="532"/>
      <c r="J56" s="532"/>
      <c r="K56" s="532"/>
      <c r="L56" s="532"/>
      <c r="M56" s="532"/>
      <c r="N56" s="532"/>
      <c r="O56" s="532"/>
      <c r="P56" s="532"/>
      <c r="Q56" s="532"/>
      <c r="R56" s="580"/>
      <c r="S56" s="581"/>
      <c r="T56" s="580" t="s">
        <v>129</v>
      </c>
      <c r="U56" s="562"/>
      <c r="V56" s="405"/>
    </row>
    <row r="57" spans="1:23" x14ac:dyDescent="0.3">
      <c r="A57" s="428"/>
      <c r="B57" s="532" t="s">
        <v>227</v>
      </c>
      <c r="C57" s="532"/>
      <c r="D57" s="532"/>
      <c r="E57" s="532"/>
      <c r="F57" s="532"/>
      <c r="G57" s="532"/>
      <c r="H57" s="532"/>
      <c r="I57" s="532"/>
      <c r="J57" s="532"/>
      <c r="K57" s="532"/>
      <c r="L57" s="532"/>
      <c r="M57" s="532"/>
      <c r="N57" s="532"/>
      <c r="O57" s="532"/>
      <c r="P57" s="532"/>
      <c r="Q57" s="532"/>
      <c r="R57" s="580"/>
      <c r="S57" s="581"/>
      <c r="T57" s="580" t="s">
        <v>169</v>
      </c>
      <c r="U57" s="562"/>
      <c r="V57" s="405"/>
      <c r="W57" s="429"/>
    </row>
    <row r="58" spans="1:23" x14ac:dyDescent="0.3">
      <c r="A58" s="428"/>
      <c r="B58" s="532" t="s">
        <v>17</v>
      </c>
      <c r="C58" s="532"/>
      <c r="D58" s="532"/>
      <c r="E58" s="532"/>
      <c r="F58" s="532"/>
      <c r="G58" s="532"/>
      <c r="H58" s="532"/>
      <c r="I58" s="532"/>
      <c r="J58" s="532"/>
      <c r="K58" s="532"/>
      <c r="L58" s="532"/>
      <c r="M58" s="532"/>
      <c r="N58" s="532"/>
      <c r="O58" s="532"/>
      <c r="P58" s="532"/>
      <c r="Q58" s="532"/>
      <c r="R58" s="580"/>
      <c r="S58" s="581"/>
      <c r="T58" s="580">
        <v>43678</v>
      </c>
      <c r="U58" s="562"/>
      <c r="V58" s="405"/>
    </row>
    <row r="59" spans="1:23" x14ac:dyDescent="0.3">
      <c r="A59" s="430"/>
      <c r="B59" s="431"/>
      <c r="C59" s="431"/>
      <c r="D59" s="431"/>
      <c r="E59" s="431"/>
      <c r="F59" s="431"/>
      <c r="G59" s="431"/>
      <c r="H59" s="431"/>
      <c r="I59" s="431"/>
      <c r="J59" s="431"/>
      <c r="K59" s="431"/>
      <c r="L59" s="431"/>
      <c r="M59" s="431"/>
      <c r="N59" s="431"/>
      <c r="O59" s="431"/>
      <c r="P59" s="431"/>
      <c r="Q59" s="431"/>
      <c r="R59" s="432"/>
      <c r="S59" s="433"/>
      <c r="T59" s="432"/>
      <c r="U59" s="431"/>
      <c r="V59" s="405"/>
    </row>
    <row r="60" spans="1:23" x14ac:dyDescent="0.3">
      <c r="A60" s="430"/>
      <c r="B60" s="434"/>
      <c r="C60" s="434"/>
      <c r="D60" s="434"/>
      <c r="E60" s="434"/>
      <c r="F60" s="434"/>
      <c r="G60" s="434"/>
      <c r="H60" s="434"/>
      <c r="I60" s="434"/>
      <c r="J60" s="434"/>
      <c r="K60" s="434"/>
      <c r="L60" s="434"/>
      <c r="M60" s="434"/>
      <c r="N60" s="434"/>
      <c r="O60" s="434"/>
      <c r="P60" s="434"/>
      <c r="Q60" s="434"/>
      <c r="R60" s="435"/>
      <c r="S60" s="436"/>
      <c r="T60" s="435"/>
      <c r="U60" s="434"/>
      <c r="V60" s="405"/>
    </row>
    <row r="61" spans="1:23" ht="18.600000000000001" thickBot="1" x14ac:dyDescent="0.4">
      <c r="A61" s="437"/>
      <c r="B61" s="565" t="s">
        <v>357</v>
      </c>
      <c r="C61" s="438"/>
      <c r="D61" s="438"/>
      <c r="E61" s="438"/>
      <c r="F61" s="438"/>
      <c r="G61" s="438"/>
      <c r="H61" s="438"/>
      <c r="I61" s="438"/>
      <c r="J61" s="438"/>
      <c r="K61" s="438"/>
      <c r="L61" s="438"/>
      <c r="M61" s="438"/>
      <c r="N61" s="438"/>
      <c r="O61" s="438"/>
      <c r="P61" s="438"/>
      <c r="Q61" s="438"/>
      <c r="R61" s="438"/>
      <c r="S61" s="438"/>
      <c r="T61" s="439"/>
      <c r="U61" s="440"/>
      <c r="V61" s="405"/>
    </row>
    <row r="62" spans="1:23" x14ac:dyDescent="0.3">
      <c r="A62" s="503"/>
      <c r="B62" s="505" t="s">
        <v>18</v>
      </c>
      <c r="C62" s="504"/>
      <c r="D62" s="504"/>
      <c r="E62" s="504"/>
      <c r="F62" s="504"/>
      <c r="G62" s="504"/>
      <c r="H62" s="504"/>
      <c r="I62" s="504"/>
      <c r="J62" s="504"/>
      <c r="K62" s="504"/>
      <c r="L62" s="504"/>
      <c r="M62" s="504"/>
      <c r="N62" s="504"/>
      <c r="O62" s="504"/>
      <c r="P62" s="504"/>
      <c r="Q62" s="504"/>
      <c r="R62" s="504"/>
      <c r="S62" s="504"/>
      <c r="T62" s="506"/>
      <c r="U62" s="504"/>
      <c r="V62" s="405"/>
    </row>
    <row r="63" spans="1:23" x14ac:dyDescent="0.3">
      <c r="A63" s="407"/>
      <c r="B63" s="415"/>
      <c r="C63" s="409"/>
      <c r="D63" s="409"/>
      <c r="E63" s="409"/>
      <c r="F63" s="409"/>
      <c r="G63" s="409"/>
      <c r="H63" s="409"/>
      <c r="I63" s="409"/>
      <c r="J63" s="409"/>
      <c r="K63" s="409"/>
      <c r="L63" s="409"/>
      <c r="M63" s="409"/>
      <c r="N63" s="409"/>
      <c r="O63" s="409"/>
      <c r="P63" s="409"/>
      <c r="Q63" s="409"/>
      <c r="R63" s="409"/>
      <c r="S63" s="409"/>
      <c r="T63" s="441"/>
      <c r="U63" s="409"/>
      <c r="V63" s="405"/>
    </row>
    <row r="64" spans="1:23" ht="46.8" x14ac:dyDescent="0.3">
      <c r="A64" s="407"/>
      <c r="B64" s="519" t="s">
        <v>19</v>
      </c>
      <c r="C64" s="520"/>
      <c r="D64" s="520"/>
      <c r="E64" s="520"/>
      <c r="F64" s="520"/>
      <c r="G64" s="520"/>
      <c r="H64" s="520"/>
      <c r="I64" s="520"/>
      <c r="J64" s="520" t="s">
        <v>100</v>
      </c>
      <c r="K64" s="520"/>
      <c r="L64" s="520" t="s">
        <v>102</v>
      </c>
      <c r="M64" s="520"/>
      <c r="N64" s="520" t="s">
        <v>104</v>
      </c>
      <c r="O64" s="520"/>
      <c r="P64" s="520" t="s">
        <v>106</v>
      </c>
      <c r="Q64" s="520"/>
      <c r="R64" s="520" t="s">
        <v>113</v>
      </c>
      <c r="S64" s="520"/>
      <c r="T64" s="521" t="s">
        <v>121</v>
      </c>
      <c r="U64" s="442"/>
      <c r="V64" s="405"/>
    </row>
    <row r="65" spans="1:22" x14ac:dyDescent="0.3">
      <c r="A65" s="418"/>
      <c r="B65" s="532" t="s">
        <v>20</v>
      </c>
      <c r="C65" s="531"/>
      <c r="D65" s="531"/>
      <c r="E65" s="531"/>
      <c r="F65" s="531"/>
      <c r="G65" s="531"/>
      <c r="H65" s="531"/>
      <c r="I65" s="531"/>
      <c r="J65" s="531">
        <v>699958</v>
      </c>
      <c r="K65" s="531"/>
      <c r="L65" s="535">
        <v>209482</v>
      </c>
      <c r="M65" s="531"/>
      <c r="N65" s="531">
        <v>3905</v>
      </c>
      <c r="O65" s="531"/>
      <c r="P65" s="531">
        <v>0</v>
      </c>
      <c r="Q65" s="531"/>
      <c r="R65" s="531">
        <v>0</v>
      </c>
      <c r="S65" s="531"/>
      <c r="T65" s="535">
        <f>+L65-N65+P65-R65</f>
        <v>205577</v>
      </c>
      <c r="U65" s="420"/>
      <c r="V65" s="405"/>
    </row>
    <row r="66" spans="1:22" x14ac:dyDescent="0.3">
      <c r="A66" s="418"/>
      <c r="B66" s="532" t="s">
        <v>21</v>
      </c>
      <c r="C66" s="531"/>
      <c r="D66" s="531"/>
      <c r="E66" s="531"/>
      <c r="F66" s="531"/>
      <c r="G66" s="531"/>
      <c r="H66" s="531"/>
      <c r="I66" s="531"/>
      <c r="J66" s="531">
        <v>42</v>
      </c>
      <c r="K66" s="531"/>
      <c r="L66" s="535">
        <v>0</v>
      </c>
      <c r="M66" s="531"/>
      <c r="N66" s="531">
        <v>0</v>
      </c>
      <c r="O66" s="531"/>
      <c r="P66" s="531">
        <v>0</v>
      </c>
      <c r="Q66" s="531"/>
      <c r="R66" s="531">
        <v>0</v>
      </c>
      <c r="S66" s="531"/>
      <c r="T66" s="535">
        <f>+L66-N66</f>
        <v>0</v>
      </c>
      <c r="U66" s="420"/>
      <c r="V66" s="405"/>
    </row>
    <row r="67" spans="1:22" x14ac:dyDescent="0.3">
      <c r="A67" s="418"/>
      <c r="B67" s="532"/>
      <c r="C67" s="531"/>
      <c r="D67" s="531"/>
      <c r="E67" s="531"/>
      <c r="F67" s="531"/>
      <c r="G67" s="531"/>
      <c r="H67" s="531"/>
      <c r="I67" s="531"/>
      <c r="J67" s="531"/>
      <c r="K67" s="531"/>
      <c r="L67" s="535"/>
      <c r="M67" s="531"/>
      <c r="N67" s="531"/>
      <c r="O67" s="531"/>
      <c r="P67" s="531"/>
      <c r="Q67" s="531"/>
      <c r="R67" s="531"/>
      <c r="S67" s="531"/>
      <c r="T67" s="535"/>
      <c r="U67" s="420"/>
      <c r="V67" s="405"/>
    </row>
    <row r="68" spans="1:22" x14ac:dyDescent="0.3">
      <c r="A68" s="418"/>
      <c r="B68" s="532" t="s">
        <v>22</v>
      </c>
      <c r="C68" s="531"/>
      <c r="D68" s="531"/>
      <c r="E68" s="531"/>
      <c r="F68" s="531"/>
      <c r="G68" s="531"/>
      <c r="H68" s="531"/>
      <c r="I68" s="531"/>
      <c r="J68" s="531">
        <f>SUM(J65:J67)</f>
        <v>700000</v>
      </c>
      <c r="K68" s="531"/>
      <c r="L68" s="531">
        <f>L65+L66</f>
        <v>209482</v>
      </c>
      <c r="M68" s="531"/>
      <c r="N68" s="531">
        <f>SUM(N65:N67)</f>
        <v>3905</v>
      </c>
      <c r="O68" s="531"/>
      <c r="P68" s="531">
        <f>SUM(P65:P67)</f>
        <v>0</v>
      </c>
      <c r="Q68" s="531"/>
      <c r="R68" s="531">
        <f>SUM(R65:R67)</f>
        <v>0</v>
      </c>
      <c r="S68" s="531"/>
      <c r="T68" s="531">
        <f>SUM(T65:T67)</f>
        <v>205577</v>
      </c>
      <c r="U68" s="420"/>
      <c r="V68" s="405"/>
    </row>
    <row r="69" spans="1:22" x14ac:dyDescent="0.3">
      <c r="A69" s="407"/>
      <c r="B69" s="539"/>
      <c r="C69" s="572"/>
      <c r="D69" s="572"/>
      <c r="E69" s="572"/>
      <c r="F69" s="572"/>
      <c r="G69" s="572"/>
      <c r="H69" s="572"/>
      <c r="I69" s="572"/>
      <c r="J69" s="572"/>
      <c r="K69" s="572"/>
      <c r="L69" s="572"/>
      <c r="M69" s="572"/>
      <c r="N69" s="572"/>
      <c r="O69" s="572"/>
      <c r="P69" s="572"/>
      <c r="Q69" s="572"/>
      <c r="R69" s="572"/>
      <c r="S69" s="572"/>
      <c r="T69" s="572"/>
      <c r="U69" s="444"/>
      <c r="V69" s="405"/>
    </row>
    <row r="70" spans="1:22" x14ac:dyDescent="0.3">
      <c r="A70" s="407"/>
      <c r="B70" s="545" t="s">
        <v>23</v>
      </c>
      <c r="C70" s="573"/>
      <c r="D70" s="573"/>
      <c r="E70" s="573"/>
      <c r="F70" s="573"/>
      <c r="G70" s="573"/>
      <c r="H70" s="573"/>
      <c r="I70" s="573"/>
      <c r="J70" s="573"/>
      <c r="K70" s="573"/>
      <c r="L70" s="573"/>
      <c r="M70" s="573"/>
      <c r="N70" s="573"/>
      <c r="O70" s="573"/>
      <c r="P70" s="573"/>
      <c r="Q70" s="573"/>
      <c r="R70" s="573"/>
      <c r="S70" s="573"/>
      <c r="T70" s="573"/>
      <c r="U70" s="409"/>
      <c r="V70" s="405"/>
    </row>
    <row r="71" spans="1:22" x14ac:dyDescent="0.3">
      <c r="A71" s="407"/>
      <c r="B71" s="542"/>
      <c r="C71" s="573"/>
      <c r="D71" s="573"/>
      <c r="E71" s="573"/>
      <c r="F71" s="573"/>
      <c r="G71" s="573"/>
      <c r="H71" s="573"/>
      <c r="I71" s="573"/>
      <c r="J71" s="573"/>
      <c r="K71" s="573"/>
      <c r="L71" s="573"/>
      <c r="M71" s="573"/>
      <c r="N71" s="573"/>
      <c r="O71" s="573"/>
      <c r="P71" s="573"/>
      <c r="Q71" s="573"/>
      <c r="R71" s="573"/>
      <c r="S71" s="573"/>
      <c r="T71" s="573"/>
      <c r="U71" s="409"/>
      <c r="V71" s="405"/>
    </row>
    <row r="72" spans="1:22" x14ac:dyDescent="0.3">
      <c r="A72" s="418"/>
      <c r="B72" s="532" t="s">
        <v>20</v>
      </c>
      <c r="C72" s="531"/>
      <c r="D72" s="531"/>
      <c r="E72" s="531"/>
      <c r="F72" s="531"/>
      <c r="G72" s="531"/>
      <c r="H72" s="531"/>
      <c r="I72" s="531"/>
      <c r="J72" s="531"/>
      <c r="K72" s="531"/>
      <c r="L72" s="531"/>
      <c r="M72" s="531"/>
      <c r="N72" s="531"/>
      <c r="O72" s="531"/>
      <c r="P72" s="531"/>
      <c r="Q72" s="531"/>
      <c r="R72" s="531"/>
      <c r="S72" s="531"/>
      <c r="T72" s="531"/>
      <c r="U72" s="420"/>
      <c r="V72" s="405"/>
    </row>
    <row r="73" spans="1:22" x14ac:dyDescent="0.3">
      <c r="A73" s="418"/>
      <c r="B73" s="532" t="s">
        <v>21</v>
      </c>
      <c r="C73" s="531"/>
      <c r="D73" s="531"/>
      <c r="E73" s="531"/>
      <c r="F73" s="531"/>
      <c r="G73" s="531"/>
      <c r="H73" s="531"/>
      <c r="I73" s="531"/>
      <c r="J73" s="531"/>
      <c r="K73" s="531"/>
      <c r="L73" s="531"/>
      <c r="M73" s="531"/>
      <c r="N73" s="531"/>
      <c r="O73" s="531"/>
      <c r="P73" s="531"/>
      <c r="Q73" s="531"/>
      <c r="R73" s="531"/>
      <c r="S73" s="531"/>
      <c r="T73" s="531"/>
      <c r="U73" s="420"/>
      <c r="V73" s="405"/>
    </row>
    <row r="74" spans="1:22" x14ac:dyDescent="0.3">
      <c r="A74" s="418"/>
      <c r="B74" s="532"/>
      <c r="C74" s="531"/>
      <c r="D74" s="531"/>
      <c r="E74" s="531"/>
      <c r="F74" s="531"/>
      <c r="G74" s="531"/>
      <c r="H74" s="531"/>
      <c r="I74" s="531"/>
      <c r="J74" s="531"/>
      <c r="K74" s="531"/>
      <c r="L74" s="531"/>
      <c r="M74" s="531"/>
      <c r="N74" s="531"/>
      <c r="O74" s="531"/>
      <c r="P74" s="531"/>
      <c r="Q74" s="531"/>
      <c r="R74" s="531"/>
      <c r="S74" s="531"/>
      <c r="T74" s="531"/>
      <c r="U74" s="420"/>
      <c r="V74" s="405"/>
    </row>
    <row r="75" spans="1:22" x14ac:dyDescent="0.3">
      <c r="A75" s="418"/>
      <c r="B75" s="532" t="s">
        <v>22</v>
      </c>
      <c r="C75" s="531"/>
      <c r="D75" s="531"/>
      <c r="E75" s="531"/>
      <c r="F75" s="531"/>
      <c r="G75" s="531"/>
      <c r="H75" s="531"/>
      <c r="I75" s="531"/>
      <c r="J75" s="531"/>
      <c r="K75" s="531"/>
      <c r="L75" s="531"/>
      <c r="M75" s="531"/>
      <c r="N75" s="531"/>
      <c r="O75" s="531"/>
      <c r="P75" s="531"/>
      <c r="Q75" s="531"/>
      <c r="R75" s="531"/>
      <c r="S75" s="531"/>
      <c r="T75" s="531"/>
      <c r="U75" s="420"/>
      <c r="V75" s="405"/>
    </row>
    <row r="76" spans="1:22" x14ac:dyDescent="0.3">
      <c r="A76" s="418"/>
      <c r="B76" s="532"/>
      <c r="C76" s="531"/>
      <c r="D76" s="531"/>
      <c r="E76" s="531"/>
      <c r="F76" s="531"/>
      <c r="G76" s="531"/>
      <c r="H76" s="531"/>
      <c r="I76" s="531"/>
      <c r="J76" s="531"/>
      <c r="K76" s="531"/>
      <c r="L76" s="531"/>
      <c r="M76" s="531"/>
      <c r="N76" s="531"/>
      <c r="O76" s="531"/>
      <c r="P76" s="531"/>
      <c r="Q76" s="531"/>
      <c r="R76" s="531"/>
      <c r="S76" s="531"/>
      <c r="T76" s="531"/>
      <c r="U76" s="420"/>
      <c r="V76" s="405"/>
    </row>
    <row r="77" spans="1:22" x14ac:dyDescent="0.3">
      <c r="A77" s="418"/>
      <c r="B77" s="532" t="s">
        <v>24</v>
      </c>
      <c r="C77" s="531"/>
      <c r="D77" s="531"/>
      <c r="E77" s="531"/>
      <c r="F77" s="531"/>
      <c r="G77" s="531"/>
      <c r="H77" s="531"/>
      <c r="I77" s="531"/>
      <c r="J77" s="531">
        <v>0</v>
      </c>
      <c r="K77" s="531"/>
      <c r="L77" s="531">
        <v>0</v>
      </c>
      <c r="M77" s="531"/>
      <c r="N77" s="531"/>
      <c r="O77" s="531"/>
      <c r="P77" s="531"/>
      <c r="Q77" s="531"/>
      <c r="R77" s="531"/>
      <c r="S77" s="531"/>
      <c r="T77" s="535">
        <v>0</v>
      </c>
      <c r="U77" s="420"/>
      <c r="V77" s="405"/>
    </row>
    <row r="78" spans="1:22" x14ac:dyDescent="0.3">
      <c r="A78" s="418"/>
      <c r="B78" s="532" t="s">
        <v>126</v>
      </c>
      <c r="C78" s="531"/>
      <c r="D78" s="531"/>
      <c r="E78" s="531"/>
      <c r="F78" s="531"/>
      <c r="G78" s="531"/>
      <c r="H78" s="531"/>
      <c r="I78" s="531"/>
      <c r="J78" s="531">
        <v>0</v>
      </c>
      <c r="K78" s="531"/>
      <c r="L78" s="531">
        <v>0</v>
      </c>
      <c r="M78" s="531"/>
      <c r="N78" s="531"/>
      <c r="O78" s="531"/>
      <c r="P78" s="531"/>
      <c r="Q78" s="531"/>
      <c r="R78" s="531"/>
      <c r="S78" s="531"/>
      <c r="T78" s="531">
        <f>SUM(J78:P78)</f>
        <v>0</v>
      </c>
      <c r="U78" s="420"/>
      <c r="V78" s="405"/>
    </row>
    <row r="79" spans="1:22" x14ac:dyDescent="0.3">
      <c r="A79" s="418"/>
      <c r="B79" s="532" t="s">
        <v>157</v>
      </c>
      <c r="C79" s="531"/>
      <c r="D79" s="531"/>
      <c r="E79" s="531"/>
      <c r="F79" s="531"/>
      <c r="G79" s="531"/>
      <c r="H79" s="531"/>
      <c r="I79" s="531"/>
      <c r="J79" s="531">
        <v>0</v>
      </c>
      <c r="K79" s="531"/>
      <c r="L79" s="531">
        <v>0</v>
      </c>
      <c r="M79" s="531"/>
      <c r="N79" s="531"/>
      <c r="O79" s="531"/>
      <c r="P79" s="531"/>
      <c r="Q79" s="531"/>
      <c r="R79" s="531"/>
      <c r="S79" s="531"/>
      <c r="T79" s="531">
        <v>0</v>
      </c>
      <c r="U79" s="420"/>
      <c r="V79" s="405"/>
    </row>
    <row r="80" spans="1:22" x14ac:dyDescent="0.3">
      <c r="A80" s="418"/>
      <c r="B80" s="532" t="s">
        <v>26</v>
      </c>
      <c r="C80" s="531"/>
      <c r="D80" s="531"/>
      <c r="E80" s="531"/>
      <c r="F80" s="531"/>
      <c r="G80" s="531"/>
      <c r="H80" s="531"/>
      <c r="I80" s="531"/>
      <c r="J80" s="531">
        <v>0</v>
      </c>
      <c r="K80" s="531"/>
      <c r="L80" s="531">
        <v>0</v>
      </c>
      <c r="M80" s="531"/>
      <c r="N80" s="531"/>
      <c r="O80" s="531"/>
      <c r="P80" s="531"/>
      <c r="Q80" s="531"/>
      <c r="R80" s="531"/>
      <c r="S80" s="531"/>
      <c r="T80" s="531">
        <v>0</v>
      </c>
      <c r="U80" s="420"/>
      <c r="V80" s="405"/>
    </row>
    <row r="81" spans="1:22" x14ac:dyDescent="0.3">
      <c r="A81" s="418"/>
      <c r="B81" s="532" t="s">
        <v>27</v>
      </c>
      <c r="C81" s="531"/>
      <c r="D81" s="531"/>
      <c r="E81" s="531"/>
      <c r="F81" s="531"/>
      <c r="G81" s="531"/>
      <c r="H81" s="531"/>
      <c r="I81" s="531"/>
      <c r="J81" s="531">
        <f>SUM(J68:J80)</f>
        <v>700000</v>
      </c>
      <c r="K81" s="531"/>
      <c r="L81" s="531">
        <f>SUM(L68:L80)</f>
        <v>209482</v>
      </c>
      <c r="M81" s="531"/>
      <c r="N81" s="531"/>
      <c r="O81" s="531"/>
      <c r="P81" s="531"/>
      <c r="Q81" s="531"/>
      <c r="R81" s="531"/>
      <c r="S81" s="531"/>
      <c r="T81" s="531">
        <f>SUM(T68:T80)</f>
        <v>205577</v>
      </c>
      <c r="U81" s="420"/>
      <c r="V81" s="405"/>
    </row>
    <row r="82" spans="1:22" x14ac:dyDescent="0.3">
      <c r="A82" s="407"/>
      <c r="B82" s="444"/>
      <c r="C82" s="445"/>
      <c r="D82" s="445"/>
      <c r="E82" s="445"/>
      <c r="F82" s="445"/>
      <c r="G82" s="445"/>
      <c r="H82" s="445"/>
      <c r="I82" s="445"/>
      <c r="J82" s="445"/>
      <c r="K82" s="445"/>
      <c r="L82" s="445"/>
      <c r="M82" s="445"/>
      <c r="N82" s="445"/>
      <c r="O82" s="445"/>
      <c r="P82" s="445"/>
      <c r="Q82" s="445"/>
      <c r="R82" s="445"/>
      <c r="S82" s="445"/>
      <c r="T82" s="446"/>
      <c r="U82" s="444"/>
      <c r="V82" s="405"/>
    </row>
    <row r="83" spans="1:22" x14ac:dyDescent="0.3">
      <c r="A83" s="407"/>
      <c r="B83" s="409"/>
      <c r="C83" s="409"/>
      <c r="D83" s="409"/>
      <c r="E83" s="409"/>
      <c r="F83" s="409"/>
      <c r="G83" s="409"/>
      <c r="H83" s="409"/>
      <c r="I83" s="409"/>
      <c r="J83" s="409"/>
      <c r="K83" s="409"/>
      <c r="L83" s="409"/>
      <c r="M83" s="409"/>
      <c r="N83" s="409"/>
      <c r="O83" s="409"/>
      <c r="P83" s="409"/>
      <c r="Q83" s="409"/>
      <c r="R83" s="409"/>
      <c r="S83" s="409"/>
      <c r="T83" s="409"/>
      <c r="U83" s="409"/>
      <c r="V83" s="405"/>
    </row>
    <row r="84" spans="1:22" x14ac:dyDescent="0.3">
      <c r="A84" s="503"/>
      <c r="B84" s="612" t="s">
        <v>28</v>
      </c>
      <c r="C84" s="612"/>
      <c r="D84" s="612"/>
      <c r="E84" s="612"/>
      <c r="F84" s="612"/>
      <c r="G84" s="612"/>
      <c r="H84" s="613"/>
      <c r="I84" s="613"/>
      <c r="J84" s="614" t="s">
        <v>101</v>
      </c>
      <c r="K84" s="613"/>
      <c r="L84" s="615">
        <f>+R199</f>
        <v>43677</v>
      </c>
      <c r="M84" s="613"/>
      <c r="N84" s="613"/>
      <c r="O84" s="613"/>
      <c r="P84" s="613"/>
      <c r="Q84" s="613"/>
      <c r="R84" s="613" t="s">
        <v>114</v>
      </c>
      <c r="S84" s="613"/>
      <c r="T84" s="613" t="s">
        <v>122</v>
      </c>
      <c r="U84" s="611"/>
      <c r="V84" s="405"/>
    </row>
    <row r="85" spans="1:22" x14ac:dyDescent="0.3">
      <c r="A85" s="430"/>
      <c r="B85" s="539" t="s">
        <v>29</v>
      </c>
      <c r="C85" s="539"/>
      <c r="D85" s="539"/>
      <c r="E85" s="539"/>
      <c r="F85" s="539"/>
      <c r="G85" s="539"/>
      <c r="H85" s="539"/>
      <c r="I85" s="539"/>
      <c r="J85" s="539"/>
      <c r="K85" s="539"/>
      <c r="L85" s="539"/>
      <c r="M85" s="539"/>
      <c r="N85" s="539"/>
      <c r="O85" s="539"/>
      <c r="P85" s="539"/>
      <c r="Q85" s="539"/>
      <c r="R85" s="572">
        <v>0</v>
      </c>
      <c r="S85" s="539"/>
      <c r="T85" s="541">
        <v>0</v>
      </c>
      <c r="U85" s="539"/>
      <c r="V85" s="405"/>
    </row>
    <row r="86" spans="1:22" x14ac:dyDescent="0.3">
      <c r="A86" s="428"/>
      <c r="B86" s="532" t="s">
        <v>30</v>
      </c>
      <c r="C86" s="532"/>
      <c r="D86" s="532"/>
      <c r="E86" s="532"/>
      <c r="F86" s="532"/>
      <c r="G86" s="532"/>
      <c r="H86" s="550"/>
      <c r="I86" s="570"/>
      <c r="J86" s="550"/>
      <c r="K86" s="532"/>
      <c r="L86" s="571"/>
      <c r="M86" s="532"/>
      <c r="N86" s="532"/>
      <c r="O86" s="532"/>
      <c r="P86" s="532"/>
      <c r="Q86" s="532"/>
      <c r="R86" s="531">
        <f>3905-109</f>
        <v>3796</v>
      </c>
      <c r="S86" s="532"/>
      <c r="T86" s="535"/>
      <c r="U86" s="562"/>
      <c r="V86" s="405"/>
    </row>
    <row r="87" spans="1:22" x14ac:dyDescent="0.3">
      <c r="A87" s="428"/>
      <c r="B87" s="532" t="s">
        <v>254</v>
      </c>
      <c r="C87" s="532"/>
      <c r="D87" s="532"/>
      <c r="E87" s="532"/>
      <c r="F87" s="532"/>
      <c r="G87" s="532"/>
      <c r="H87" s="550"/>
      <c r="I87" s="570"/>
      <c r="J87" s="550"/>
      <c r="K87" s="532"/>
      <c r="L87" s="571"/>
      <c r="M87" s="532"/>
      <c r="N87" s="532"/>
      <c r="O87" s="532"/>
      <c r="P87" s="532"/>
      <c r="Q87" s="532"/>
      <c r="R87" s="531"/>
      <c r="S87" s="532"/>
      <c r="T87" s="535">
        <f>1375+555-464-187</f>
        <v>1279</v>
      </c>
      <c r="U87" s="562"/>
      <c r="V87" s="405"/>
    </row>
    <row r="88" spans="1:22" x14ac:dyDescent="0.3">
      <c r="A88" s="428"/>
      <c r="B88" s="532" t="s">
        <v>255</v>
      </c>
      <c r="C88" s="532"/>
      <c r="D88" s="532"/>
      <c r="E88" s="532"/>
      <c r="F88" s="532"/>
      <c r="G88" s="532"/>
      <c r="H88" s="550"/>
      <c r="I88" s="570"/>
      <c r="J88" s="550"/>
      <c r="K88" s="532"/>
      <c r="L88" s="571"/>
      <c r="M88" s="532"/>
      <c r="N88" s="532"/>
      <c r="O88" s="532"/>
      <c r="P88" s="532"/>
      <c r="Q88" s="532"/>
      <c r="R88" s="531"/>
      <c r="S88" s="532"/>
      <c r="T88" s="535">
        <f>20+110</f>
        <v>130</v>
      </c>
      <c r="U88" s="562"/>
      <c r="V88" s="405"/>
    </row>
    <row r="89" spans="1:22" x14ac:dyDescent="0.3">
      <c r="A89" s="428"/>
      <c r="B89" s="532" t="s">
        <v>256</v>
      </c>
      <c r="C89" s="532"/>
      <c r="D89" s="532"/>
      <c r="E89" s="532"/>
      <c r="F89" s="532"/>
      <c r="G89" s="532"/>
      <c r="H89" s="550"/>
      <c r="I89" s="570"/>
      <c r="J89" s="550"/>
      <c r="K89" s="532"/>
      <c r="L89" s="571"/>
      <c r="M89" s="532"/>
      <c r="N89" s="532"/>
      <c r="O89" s="532"/>
      <c r="P89" s="532"/>
      <c r="Q89" s="532"/>
      <c r="R89" s="531"/>
      <c r="S89" s="532"/>
      <c r="T89" s="535">
        <v>32</v>
      </c>
      <c r="U89" s="562"/>
      <c r="V89" s="405"/>
    </row>
    <row r="90" spans="1:22" x14ac:dyDescent="0.3">
      <c r="A90" s="428"/>
      <c r="B90" s="532" t="s">
        <v>270</v>
      </c>
      <c r="C90" s="532"/>
      <c r="D90" s="532"/>
      <c r="E90" s="532"/>
      <c r="F90" s="532"/>
      <c r="G90" s="532"/>
      <c r="H90" s="550"/>
      <c r="I90" s="570"/>
      <c r="J90" s="550"/>
      <c r="K90" s="532"/>
      <c r="L90" s="571"/>
      <c r="M90" s="532"/>
      <c r="N90" s="532"/>
      <c r="O90" s="532"/>
      <c r="P90" s="532"/>
      <c r="Q90" s="532"/>
      <c r="R90" s="531"/>
      <c r="S90" s="532"/>
      <c r="T90" s="535">
        <v>0</v>
      </c>
      <c r="U90" s="562"/>
      <c r="V90" s="405"/>
    </row>
    <row r="91" spans="1:22" x14ac:dyDescent="0.3">
      <c r="A91" s="428"/>
      <c r="B91" s="532" t="s">
        <v>144</v>
      </c>
      <c r="C91" s="532"/>
      <c r="D91" s="532"/>
      <c r="E91" s="532"/>
      <c r="F91" s="532"/>
      <c r="G91" s="532"/>
      <c r="H91" s="532"/>
      <c r="I91" s="532"/>
      <c r="J91" s="532"/>
      <c r="K91" s="532"/>
      <c r="L91" s="532"/>
      <c r="M91" s="532"/>
      <c r="N91" s="532"/>
      <c r="O91" s="532"/>
      <c r="P91" s="532"/>
      <c r="Q91" s="532"/>
      <c r="R91" s="531"/>
      <c r="S91" s="532"/>
      <c r="T91" s="535">
        <v>0</v>
      </c>
      <c r="U91" s="562"/>
      <c r="V91" s="405"/>
    </row>
    <row r="92" spans="1:22" x14ac:dyDescent="0.3">
      <c r="A92" s="428"/>
      <c r="B92" s="532" t="s">
        <v>233</v>
      </c>
      <c r="C92" s="532"/>
      <c r="D92" s="532"/>
      <c r="E92" s="532"/>
      <c r="F92" s="532"/>
      <c r="G92" s="532"/>
      <c r="H92" s="532"/>
      <c r="I92" s="532"/>
      <c r="J92" s="532"/>
      <c r="K92" s="532"/>
      <c r="L92" s="532"/>
      <c r="M92" s="532"/>
      <c r="N92" s="532"/>
      <c r="O92" s="532"/>
      <c r="P92" s="532"/>
      <c r="Q92" s="532"/>
      <c r="R92" s="531"/>
      <c r="S92" s="532"/>
      <c r="T92" s="535">
        <v>0</v>
      </c>
      <c r="U92" s="562"/>
      <c r="V92" s="405"/>
    </row>
    <row r="93" spans="1:22" x14ac:dyDescent="0.3">
      <c r="A93" s="428"/>
      <c r="B93" s="532" t="s">
        <v>32</v>
      </c>
      <c r="C93" s="532"/>
      <c r="D93" s="532"/>
      <c r="E93" s="532"/>
      <c r="F93" s="532"/>
      <c r="G93" s="532"/>
      <c r="H93" s="532"/>
      <c r="I93" s="532"/>
      <c r="J93" s="532"/>
      <c r="K93" s="532"/>
      <c r="L93" s="532"/>
      <c r="M93" s="532"/>
      <c r="N93" s="532"/>
      <c r="O93" s="532"/>
      <c r="P93" s="532"/>
      <c r="Q93" s="532"/>
      <c r="R93" s="531">
        <f>SUM(R85:R92)</f>
        <v>3796</v>
      </c>
      <c r="S93" s="532"/>
      <c r="T93" s="531">
        <f>SUM(T85:T92)</f>
        <v>1441</v>
      </c>
      <c r="U93" s="562"/>
      <c r="V93" s="405"/>
    </row>
    <row r="94" spans="1:22" x14ac:dyDescent="0.3">
      <c r="A94" s="428"/>
      <c r="B94" s="532" t="s">
        <v>176</v>
      </c>
      <c r="C94" s="532"/>
      <c r="D94" s="532"/>
      <c r="E94" s="532"/>
      <c r="F94" s="532"/>
      <c r="G94" s="532"/>
      <c r="H94" s="532"/>
      <c r="I94" s="532"/>
      <c r="J94" s="532"/>
      <c r="K94" s="532"/>
      <c r="L94" s="532"/>
      <c r="M94" s="532"/>
      <c r="N94" s="532"/>
      <c r="O94" s="532"/>
      <c r="P94" s="532"/>
      <c r="Q94" s="532"/>
      <c r="R94" s="531">
        <v>0</v>
      </c>
      <c r="S94" s="532"/>
      <c r="T94" s="531">
        <f>-R94</f>
        <v>0</v>
      </c>
      <c r="U94" s="562"/>
      <c r="V94" s="405"/>
    </row>
    <row r="95" spans="1:22" x14ac:dyDescent="0.3">
      <c r="A95" s="428"/>
      <c r="B95" s="532" t="s">
        <v>33</v>
      </c>
      <c r="C95" s="532"/>
      <c r="D95" s="532"/>
      <c r="E95" s="532"/>
      <c r="F95" s="532"/>
      <c r="G95" s="532"/>
      <c r="H95" s="532"/>
      <c r="I95" s="532"/>
      <c r="J95" s="532"/>
      <c r="K95" s="532"/>
      <c r="L95" s="532"/>
      <c r="M95" s="532"/>
      <c r="N95" s="532"/>
      <c r="O95" s="532"/>
      <c r="P95" s="532"/>
      <c r="Q95" s="532"/>
      <c r="R95" s="531">
        <f>-T95</f>
        <v>0</v>
      </c>
      <c r="S95" s="532"/>
      <c r="T95" s="535">
        <v>0</v>
      </c>
      <c r="U95" s="562"/>
      <c r="V95" s="405"/>
    </row>
    <row r="96" spans="1:22" x14ac:dyDescent="0.3">
      <c r="A96" s="428"/>
      <c r="B96" s="532" t="s">
        <v>278</v>
      </c>
      <c r="C96" s="532"/>
      <c r="D96" s="532"/>
      <c r="E96" s="532"/>
      <c r="F96" s="532"/>
      <c r="G96" s="532"/>
      <c r="H96" s="532"/>
      <c r="I96" s="532"/>
      <c r="J96" s="532"/>
      <c r="K96" s="532"/>
      <c r="L96" s="532"/>
      <c r="M96" s="532"/>
      <c r="N96" s="532"/>
      <c r="O96" s="532"/>
      <c r="P96" s="532"/>
      <c r="Q96" s="532"/>
      <c r="R96" s="531"/>
      <c r="S96" s="532"/>
      <c r="T96" s="535">
        <v>41</v>
      </c>
      <c r="U96" s="562"/>
      <c r="V96" s="405"/>
    </row>
    <row r="97" spans="1:23" x14ac:dyDescent="0.3">
      <c r="A97" s="428"/>
      <c r="B97" s="532" t="s">
        <v>34</v>
      </c>
      <c r="C97" s="532"/>
      <c r="D97" s="532"/>
      <c r="E97" s="532"/>
      <c r="F97" s="532"/>
      <c r="G97" s="532"/>
      <c r="H97" s="532"/>
      <c r="I97" s="532"/>
      <c r="J97" s="532"/>
      <c r="K97" s="532"/>
      <c r="L97" s="532"/>
      <c r="M97" s="532"/>
      <c r="N97" s="532"/>
      <c r="O97" s="532"/>
      <c r="P97" s="532"/>
      <c r="Q97" s="532"/>
      <c r="R97" s="531">
        <f>R93+R95+R94</f>
        <v>3796</v>
      </c>
      <c r="S97" s="532"/>
      <c r="T97" s="531">
        <f>T93+T95+T94+T96</f>
        <v>1482</v>
      </c>
      <c r="U97" s="562"/>
      <c r="V97" s="405"/>
      <c r="W97" s="447"/>
    </row>
    <row r="98" spans="1:23" x14ac:dyDescent="0.3">
      <c r="A98" s="418"/>
      <c r="B98" s="522" t="s">
        <v>35</v>
      </c>
      <c r="C98" s="448"/>
      <c r="D98" s="448"/>
      <c r="E98" s="448"/>
      <c r="F98" s="448"/>
      <c r="G98" s="448"/>
      <c r="H98" s="448"/>
      <c r="I98" s="448"/>
      <c r="J98" s="448"/>
      <c r="K98" s="448"/>
      <c r="L98" s="448"/>
      <c r="M98" s="448"/>
      <c r="N98" s="448"/>
      <c r="O98" s="448"/>
      <c r="P98" s="448"/>
      <c r="Q98" s="448"/>
      <c r="R98" s="449"/>
      <c r="S98" s="448"/>
      <c r="T98" s="450"/>
      <c r="U98" s="451"/>
      <c r="V98" s="405"/>
    </row>
    <row r="99" spans="1:23" x14ac:dyDescent="0.3">
      <c r="A99" s="569">
        <v>1</v>
      </c>
      <c r="B99" s="532" t="s">
        <v>36</v>
      </c>
      <c r="C99" s="532"/>
      <c r="D99" s="532"/>
      <c r="E99" s="532"/>
      <c r="F99" s="532"/>
      <c r="G99" s="532"/>
      <c r="H99" s="532"/>
      <c r="I99" s="532"/>
      <c r="J99" s="532"/>
      <c r="K99" s="532"/>
      <c r="L99" s="532"/>
      <c r="M99" s="532"/>
      <c r="N99" s="532"/>
      <c r="O99" s="532"/>
      <c r="P99" s="532"/>
      <c r="Q99" s="532"/>
      <c r="R99" s="532"/>
      <c r="S99" s="532"/>
      <c r="T99" s="535">
        <v>0</v>
      </c>
      <c r="U99" s="451"/>
      <c r="V99" s="405"/>
    </row>
    <row r="100" spans="1:23" x14ac:dyDescent="0.3">
      <c r="A100" s="569">
        <f>+A99+1</f>
        <v>2</v>
      </c>
      <c r="B100" s="532" t="s">
        <v>317</v>
      </c>
      <c r="C100" s="532"/>
      <c r="D100" s="532"/>
      <c r="E100" s="532"/>
      <c r="F100" s="532"/>
      <c r="G100" s="532"/>
      <c r="H100" s="532"/>
      <c r="I100" s="532"/>
      <c r="J100" s="532"/>
      <c r="K100" s="532"/>
      <c r="L100" s="532"/>
      <c r="M100" s="532"/>
      <c r="N100" s="532"/>
      <c r="O100" s="532"/>
      <c r="P100" s="532"/>
      <c r="Q100" s="532"/>
      <c r="R100" s="532"/>
      <c r="S100" s="532"/>
      <c r="T100" s="535">
        <v>-2</v>
      </c>
      <c r="U100" s="451"/>
      <c r="V100" s="405"/>
    </row>
    <row r="101" spans="1:23" x14ac:dyDescent="0.3">
      <c r="A101" s="569">
        <f>+A100+1</f>
        <v>3</v>
      </c>
      <c r="B101" s="532" t="s">
        <v>319</v>
      </c>
      <c r="C101" s="532"/>
      <c r="D101" s="532"/>
      <c r="E101" s="532"/>
      <c r="F101" s="532"/>
      <c r="G101" s="532"/>
      <c r="H101" s="532"/>
      <c r="I101" s="532"/>
      <c r="J101" s="532"/>
      <c r="K101" s="532"/>
      <c r="L101" s="532"/>
      <c r="M101" s="532"/>
      <c r="N101" s="532"/>
      <c r="O101" s="532"/>
      <c r="P101" s="532"/>
      <c r="Q101" s="532"/>
      <c r="R101" s="532"/>
      <c r="S101" s="532"/>
      <c r="T101" s="535">
        <f>-81-33-3</f>
        <v>-117</v>
      </c>
      <c r="U101" s="451"/>
      <c r="V101" s="405"/>
    </row>
    <row r="102" spans="1:23" x14ac:dyDescent="0.3">
      <c r="A102" s="569" t="s">
        <v>136</v>
      </c>
      <c r="B102" s="532" t="s">
        <v>125</v>
      </c>
      <c r="C102" s="532"/>
      <c r="D102" s="532"/>
      <c r="E102" s="532"/>
      <c r="F102" s="532"/>
      <c r="G102" s="532"/>
      <c r="H102" s="532"/>
      <c r="I102" s="532"/>
      <c r="J102" s="532"/>
      <c r="K102" s="532"/>
      <c r="L102" s="532"/>
      <c r="M102" s="532"/>
      <c r="N102" s="532"/>
      <c r="O102" s="532"/>
      <c r="P102" s="532"/>
      <c r="Q102" s="532"/>
      <c r="R102" s="532"/>
      <c r="S102" s="532"/>
      <c r="T102" s="535">
        <v>0</v>
      </c>
      <c r="U102" s="451"/>
      <c r="V102" s="405"/>
    </row>
    <row r="103" spans="1:23" x14ac:dyDescent="0.3">
      <c r="A103" s="569" t="s">
        <v>137</v>
      </c>
      <c r="B103" s="532" t="s">
        <v>267</v>
      </c>
      <c r="C103" s="532"/>
      <c r="D103" s="532"/>
      <c r="E103" s="532"/>
      <c r="F103" s="532"/>
      <c r="G103" s="532"/>
      <c r="H103" s="532"/>
      <c r="I103" s="532"/>
      <c r="J103" s="532"/>
      <c r="K103" s="532"/>
      <c r="L103" s="532"/>
      <c r="M103" s="532"/>
      <c r="N103" s="532"/>
      <c r="O103" s="532"/>
      <c r="P103" s="532"/>
      <c r="Q103" s="532"/>
      <c r="R103" s="532"/>
      <c r="S103" s="532"/>
      <c r="T103" s="535">
        <v>0</v>
      </c>
      <c r="U103" s="451"/>
      <c r="V103" s="405"/>
    </row>
    <row r="104" spans="1:23" x14ac:dyDescent="0.3">
      <c r="A104" s="569" t="s">
        <v>162</v>
      </c>
      <c r="B104" s="532" t="s">
        <v>218</v>
      </c>
      <c r="C104" s="532"/>
      <c r="D104" s="532"/>
      <c r="E104" s="532"/>
      <c r="F104" s="532"/>
      <c r="G104" s="532"/>
      <c r="H104" s="532"/>
      <c r="I104" s="532"/>
      <c r="J104" s="532"/>
      <c r="K104" s="532"/>
      <c r="L104" s="532"/>
      <c r="M104" s="532"/>
      <c r="N104" s="532"/>
      <c r="O104" s="532"/>
      <c r="P104" s="532"/>
      <c r="Q104" s="532"/>
      <c r="R104" s="532"/>
      <c r="S104" s="532"/>
      <c r="T104" s="535">
        <v>-268</v>
      </c>
      <c r="U104" s="451"/>
      <c r="V104" s="405"/>
      <c r="W104" s="452"/>
    </row>
    <row r="105" spans="1:23" x14ac:dyDescent="0.3">
      <c r="A105" s="569" t="s">
        <v>163</v>
      </c>
      <c r="B105" s="532" t="s">
        <v>219</v>
      </c>
      <c r="C105" s="532"/>
      <c r="D105" s="532"/>
      <c r="E105" s="532"/>
      <c r="F105" s="532"/>
      <c r="G105" s="532"/>
      <c r="H105" s="532"/>
      <c r="I105" s="532"/>
      <c r="J105" s="532"/>
      <c r="K105" s="532"/>
      <c r="L105" s="532"/>
      <c r="M105" s="532"/>
      <c r="N105" s="532"/>
      <c r="O105" s="532"/>
      <c r="P105" s="532"/>
      <c r="Q105" s="532"/>
      <c r="R105" s="532"/>
      <c r="S105" s="532"/>
      <c r="T105" s="535">
        <v>-192</v>
      </c>
      <c r="U105" s="451"/>
      <c r="V105" s="405"/>
      <c r="W105" s="452"/>
    </row>
    <row r="106" spans="1:23" x14ac:dyDescent="0.3">
      <c r="A106" s="569" t="s">
        <v>252</v>
      </c>
      <c r="B106" s="532" t="s">
        <v>242</v>
      </c>
      <c r="C106" s="532"/>
      <c r="D106" s="532"/>
      <c r="E106" s="532"/>
      <c r="F106" s="532"/>
      <c r="G106" s="532"/>
      <c r="H106" s="532"/>
      <c r="I106" s="532"/>
      <c r="J106" s="532"/>
      <c r="K106" s="532"/>
      <c r="L106" s="532"/>
      <c r="M106" s="532"/>
      <c r="N106" s="532"/>
      <c r="O106" s="532"/>
      <c r="P106" s="532"/>
      <c r="Q106" s="532"/>
      <c r="R106" s="532"/>
      <c r="S106" s="532"/>
      <c r="T106" s="535">
        <v>-27</v>
      </c>
      <c r="U106" s="451"/>
      <c r="V106" s="453"/>
      <c r="W106" s="452"/>
    </row>
    <row r="107" spans="1:23" x14ac:dyDescent="0.3">
      <c r="A107" s="569" t="s">
        <v>245</v>
      </c>
      <c r="B107" s="532" t="s">
        <v>220</v>
      </c>
      <c r="C107" s="532"/>
      <c r="D107" s="532"/>
      <c r="E107" s="532"/>
      <c r="F107" s="532"/>
      <c r="G107" s="532"/>
      <c r="H107" s="532"/>
      <c r="I107" s="532"/>
      <c r="J107" s="532"/>
      <c r="K107" s="532"/>
      <c r="L107" s="532"/>
      <c r="M107" s="532"/>
      <c r="N107" s="532"/>
      <c r="O107" s="532"/>
      <c r="P107" s="532"/>
      <c r="Q107" s="532"/>
      <c r="R107" s="532"/>
      <c r="S107" s="532"/>
      <c r="T107" s="535">
        <v>-15</v>
      </c>
      <c r="U107" s="451"/>
      <c r="V107" s="405"/>
      <c r="W107" s="452"/>
    </row>
    <row r="108" spans="1:23" x14ac:dyDescent="0.3">
      <c r="A108" s="569" t="s">
        <v>246</v>
      </c>
      <c r="B108" s="532" t="s">
        <v>221</v>
      </c>
      <c r="C108" s="532"/>
      <c r="D108" s="532"/>
      <c r="E108" s="532"/>
      <c r="F108" s="532"/>
      <c r="G108" s="532"/>
      <c r="H108" s="532"/>
      <c r="I108" s="532"/>
      <c r="J108" s="532"/>
      <c r="K108" s="532"/>
      <c r="L108" s="532"/>
      <c r="M108" s="532"/>
      <c r="N108" s="532"/>
      <c r="O108" s="532"/>
      <c r="P108" s="532"/>
      <c r="Q108" s="532"/>
      <c r="R108" s="532"/>
      <c r="S108" s="532"/>
      <c r="T108" s="535">
        <v>-44</v>
      </c>
      <c r="U108" s="451"/>
      <c r="V108" s="405"/>
      <c r="W108" s="452"/>
    </row>
    <row r="109" spans="1:23" x14ac:dyDescent="0.3">
      <c r="A109" s="569" t="s">
        <v>247</v>
      </c>
      <c r="B109" s="532" t="s">
        <v>222</v>
      </c>
      <c r="C109" s="532"/>
      <c r="D109" s="532"/>
      <c r="E109" s="532"/>
      <c r="F109" s="532"/>
      <c r="G109" s="532"/>
      <c r="H109" s="532"/>
      <c r="I109" s="532"/>
      <c r="J109" s="532"/>
      <c r="K109" s="532"/>
      <c r="L109" s="532"/>
      <c r="M109" s="532"/>
      <c r="N109" s="532"/>
      <c r="O109" s="532"/>
      <c r="P109" s="532"/>
      <c r="Q109" s="532"/>
      <c r="R109" s="532"/>
      <c r="S109" s="532"/>
      <c r="T109" s="535">
        <v>-8</v>
      </c>
      <c r="U109" s="451"/>
      <c r="V109" s="405"/>
      <c r="W109" s="452"/>
    </row>
    <row r="110" spans="1:23" x14ac:dyDescent="0.3">
      <c r="A110" s="569" t="s">
        <v>248</v>
      </c>
      <c r="B110" s="532" t="s">
        <v>223</v>
      </c>
      <c r="C110" s="532"/>
      <c r="D110" s="532"/>
      <c r="E110" s="532"/>
      <c r="F110" s="532"/>
      <c r="G110" s="532"/>
      <c r="H110" s="532"/>
      <c r="I110" s="532"/>
      <c r="J110" s="532"/>
      <c r="K110" s="532"/>
      <c r="L110" s="532"/>
      <c r="M110" s="532"/>
      <c r="N110" s="532"/>
      <c r="O110" s="532"/>
      <c r="P110" s="532"/>
      <c r="Q110" s="532"/>
      <c r="R110" s="532"/>
      <c r="S110" s="532"/>
      <c r="T110" s="535">
        <v>-132</v>
      </c>
      <c r="U110" s="451"/>
      <c r="V110" s="405"/>
      <c r="W110" s="452"/>
    </row>
    <row r="111" spans="1:23" x14ac:dyDescent="0.3">
      <c r="A111" s="569">
        <v>7</v>
      </c>
      <c r="B111" s="532" t="s">
        <v>318</v>
      </c>
      <c r="C111" s="532"/>
      <c r="D111" s="532"/>
      <c r="E111" s="532"/>
      <c r="F111" s="532"/>
      <c r="G111" s="532"/>
      <c r="H111" s="532"/>
      <c r="I111" s="532"/>
      <c r="J111" s="532"/>
      <c r="K111" s="532"/>
      <c r="L111" s="532"/>
      <c r="M111" s="532"/>
      <c r="N111" s="532"/>
      <c r="O111" s="532"/>
      <c r="P111" s="532"/>
      <c r="Q111" s="532"/>
      <c r="R111" s="532"/>
      <c r="S111" s="532"/>
      <c r="T111" s="535">
        <v>0</v>
      </c>
      <c r="U111" s="451"/>
      <c r="V111" s="405"/>
      <c r="W111" s="452"/>
    </row>
    <row r="112" spans="1:23" x14ac:dyDescent="0.3">
      <c r="A112" s="569">
        <v>8</v>
      </c>
      <c r="B112" s="532" t="s">
        <v>38</v>
      </c>
      <c r="C112" s="532"/>
      <c r="D112" s="532"/>
      <c r="E112" s="532"/>
      <c r="F112" s="532"/>
      <c r="G112" s="532"/>
      <c r="H112" s="532"/>
      <c r="I112" s="532"/>
      <c r="J112" s="532"/>
      <c r="K112" s="532"/>
      <c r="L112" s="532"/>
      <c r="M112" s="532"/>
      <c r="N112" s="532"/>
      <c r="O112" s="532"/>
      <c r="P112" s="532"/>
      <c r="Q112" s="532"/>
      <c r="R112" s="532"/>
      <c r="S112" s="532"/>
      <c r="T112" s="535">
        <v>-6</v>
      </c>
      <c r="U112" s="451"/>
      <c r="V112" s="405"/>
    </row>
    <row r="113" spans="1:22" x14ac:dyDescent="0.3">
      <c r="A113" s="569">
        <f t="shared" ref="A113:A121" si="0">+A112+1</f>
        <v>9</v>
      </c>
      <c r="B113" s="532" t="s">
        <v>49</v>
      </c>
      <c r="C113" s="532"/>
      <c r="D113" s="532"/>
      <c r="E113" s="532"/>
      <c r="F113" s="532"/>
      <c r="G113" s="532"/>
      <c r="H113" s="532"/>
      <c r="I113" s="532"/>
      <c r="J113" s="532"/>
      <c r="K113" s="532"/>
      <c r="L113" s="532"/>
      <c r="M113" s="532"/>
      <c r="N113" s="532"/>
      <c r="O113" s="532"/>
      <c r="P113" s="532"/>
      <c r="Q113" s="532"/>
      <c r="R113" s="531">
        <f>-T113</f>
        <v>109</v>
      </c>
      <c r="S113" s="532"/>
      <c r="T113" s="535">
        <v>-109</v>
      </c>
      <c r="U113" s="451"/>
      <c r="V113" s="405"/>
    </row>
    <row r="114" spans="1:22" x14ac:dyDescent="0.3">
      <c r="A114" s="569">
        <f t="shared" si="0"/>
        <v>10</v>
      </c>
      <c r="B114" s="532" t="s">
        <v>134</v>
      </c>
      <c r="C114" s="532"/>
      <c r="D114" s="532"/>
      <c r="E114" s="532"/>
      <c r="F114" s="532"/>
      <c r="G114" s="532"/>
      <c r="H114" s="532"/>
      <c r="I114" s="532"/>
      <c r="J114" s="532"/>
      <c r="K114" s="532"/>
      <c r="L114" s="532"/>
      <c r="M114" s="532"/>
      <c r="N114" s="532"/>
      <c r="O114" s="532"/>
      <c r="P114" s="532"/>
      <c r="Q114" s="532"/>
      <c r="R114" s="532"/>
      <c r="S114" s="532"/>
      <c r="T114" s="535">
        <v>0</v>
      </c>
      <c r="U114" s="451"/>
      <c r="V114" s="405"/>
    </row>
    <row r="115" spans="1:22" x14ac:dyDescent="0.3">
      <c r="A115" s="569">
        <f t="shared" si="0"/>
        <v>11</v>
      </c>
      <c r="B115" s="532" t="s">
        <v>39</v>
      </c>
      <c r="C115" s="532"/>
      <c r="D115" s="532"/>
      <c r="E115" s="532"/>
      <c r="F115" s="532"/>
      <c r="G115" s="532"/>
      <c r="H115" s="532"/>
      <c r="I115" s="532"/>
      <c r="J115" s="532"/>
      <c r="K115" s="532"/>
      <c r="L115" s="532"/>
      <c r="M115" s="532"/>
      <c r="N115" s="532"/>
      <c r="O115" s="532"/>
      <c r="P115" s="532"/>
      <c r="Q115" s="532"/>
      <c r="R115" s="532"/>
      <c r="S115" s="532"/>
      <c r="T115" s="535">
        <v>0</v>
      </c>
      <c r="U115" s="451"/>
      <c r="V115" s="405"/>
    </row>
    <row r="116" spans="1:22" x14ac:dyDescent="0.3">
      <c r="A116" s="569">
        <f t="shared" si="0"/>
        <v>12</v>
      </c>
      <c r="B116" s="532" t="s">
        <v>40</v>
      </c>
      <c r="C116" s="532"/>
      <c r="D116" s="532"/>
      <c r="E116" s="532"/>
      <c r="F116" s="532"/>
      <c r="G116" s="532"/>
      <c r="H116" s="532"/>
      <c r="I116" s="532"/>
      <c r="J116" s="532"/>
      <c r="K116" s="532"/>
      <c r="L116" s="532"/>
      <c r="M116" s="532"/>
      <c r="N116" s="532"/>
      <c r="O116" s="532"/>
      <c r="P116" s="532"/>
      <c r="Q116" s="532"/>
      <c r="R116" s="532"/>
      <c r="S116" s="532"/>
      <c r="T116" s="535">
        <v>0</v>
      </c>
      <c r="U116" s="451"/>
      <c r="V116" s="405"/>
    </row>
    <row r="117" spans="1:22" x14ac:dyDescent="0.3">
      <c r="A117" s="569">
        <f t="shared" si="0"/>
        <v>13</v>
      </c>
      <c r="B117" s="532" t="s">
        <v>161</v>
      </c>
      <c r="C117" s="532"/>
      <c r="D117" s="532"/>
      <c r="E117" s="532"/>
      <c r="F117" s="532"/>
      <c r="G117" s="532"/>
      <c r="H117" s="532"/>
      <c r="I117" s="532"/>
      <c r="J117" s="532"/>
      <c r="K117" s="532"/>
      <c r="L117" s="532"/>
      <c r="M117" s="532"/>
      <c r="N117" s="532"/>
      <c r="O117" s="532"/>
      <c r="P117" s="532"/>
      <c r="Q117" s="532"/>
      <c r="R117" s="532"/>
      <c r="S117" s="532"/>
      <c r="T117" s="535">
        <v>-81</v>
      </c>
      <c r="U117" s="451"/>
      <c r="V117" s="405"/>
    </row>
    <row r="118" spans="1:22" x14ac:dyDescent="0.3">
      <c r="A118" s="569">
        <f t="shared" si="0"/>
        <v>14</v>
      </c>
      <c r="B118" s="532" t="s">
        <v>361</v>
      </c>
      <c r="C118" s="532"/>
      <c r="D118" s="532"/>
      <c r="E118" s="532"/>
      <c r="F118" s="532"/>
      <c r="G118" s="532"/>
      <c r="H118" s="532"/>
      <c r="I118" s="532"/>
      <c r="J118" s="532"/>
      <c r="K118" s="532"/>
      <c r="L118" s="532"/>
      <c r="M118" s="532"/>
      <c r="N118" s="532"/>
      <c r="O118" s="532"/>
      <c r="P118" s="532"/>
      <c r="Q118" s="532"/>
      <c r="R118" s="532"/>
      <c r="S118" s="532"/>
      <c r="T118" s="535">
        <v>-149</v>
      </c>
      <c r="U118" s="451"/>
      <c r="V118" s="405"/>
    </row>
    <row r="119" spans="1:22" x14ac:dyDescent="0.3">
      <c r="A119" s="569">
        <f t="shared" si="0"/>
        <v>15</v>
      </c>
      <c r="B119" s="532" t="s">
        <v>359</v>
      </c>
      <c r="C119" s="532"/>
      <c r="D119" s="532"/>
      <c r="E119" s="532"/>
      <c r="F119" s="532"/>
      <c r="G119" s="532"/>
      <c r="H119" s="532"/>
      <c r="I119" s="532"/>
      <c r="J119" s="532"/>
      <c r="K119" s="532"/>
      <c r="L119" s="532"/>
      <c r="M119" s="532"/>
      <c r="N119" s="532"/>
      <c r="O119" s="532"/>
      <c r="P119" s="532"/>
      <c r="Q119" s="532"/>
      <c r="R119" s="532"/>
      <c r="S119" s="532"/>
      <c r="T119" s="535">
        <v>0</v>
      </c>
      <c r="U119" s="451"/>
      <c r="V119" s="405"/>
    </row>
    <row r="120" spans="1:22" x14ac:dyDescent="0.3">
      <c r="A120" s="569">
        <f t="shared" si="0"/>
        <v>16</v>
      </c>
      <c r="B120" s="532" t="s">
        <v>358</v>
      </c>
      <c r="C120" s="532"/>
      <c r="D120" s="532"/>
      <c r="E120" s="532"/>
      <c r="F120" s="532"/>
      <c r="G120" s="532"/>
      <c r="H120" s="532"/>
      <c r="I120" s="532"/>
      <c r="J120" s="532"/>
      <c r="K120" s="532"/>
      <c r="L120" s="532"/>
      <c r="M120" s="532"/>
      <c r="N120" s="532"/>
      <c r="O120" s="532"/>
      <c r="P120" s="532"/>
      <c r="Q120" s="532"/>
      <c r="R120" s="532"/>
      <c r="S120" s="532"/>
      <c r="T120" s="535">
        <v>0</v>
      </c>
      <c r="U120" s="451"/>
      <c r="V120" s="405"/>
    </row>
    <row r="121" spans="1:22" x14ac:dyDescent="0.3">
      <c r="A121" s="569">
        <f t="shared" si="0"/>
        <v>17</v>
      </c>
      <c r="B121" s="532" t="s">
        <v>360</v>
      </c>
      <c r="C121" s="532"/>
      <c r="D121" s="532"/>
      <c r="E121" s="532"/>
      <c r="F121" s="532"/>
      <c r="G121" s="532"/>
      <c r="H121" s="532"/>
      <c r="I121" s="532"/>
      <c r="J121" s="532"/>
      <c r="K121" s="532"/>
      <c r="L121" s="532"/>
      <c r="M121" s="532"/>
      <c r="N121" s="532"/>
      <c r="O121" s="532"/>
      <c r="P121" s="532"/>
      <c r="Q121" s="532"/>
      <c r="R121" s="532"/>
      <c r="S121" s="532"/>
      <c r="T121" s="535">
        <v>-332</v>
      </c>
      <c r="U121" s="451"/>
      <c r="V121" s="405"/>
    </row>
    <row r="122" spans="1:22" x14ac:dyDescent="0.3">
      <c r="A122" s="418"/>
      <c r="B122" s="522" t="s">
        <v>41</v>
      </c>
      <c r="C122" s="448"/>
      <c r="D122" s="448"/>
      <c r="E122" s="448"/>
      <c r="F122" s="448"/>
      <c r="G122" s="448"/>
      <c r="H122" s="448"/>
      <c r="I122" s="448"/>
      <c r="J122" s="448"/>
      <c r="K122" s="448"/>
      <c r="L122" s="448"/>
      <c r="M122" s="448"/>
      <c r="N122" s="448"/>
      <c r="O122" s="448"/>
      <c r="P122" s="448"/>
      <c r="Q122" s="448"/>
      <c r="R122" s="448"/>
      <c r="S122" s="448"/>
      <c r="T122" s="454"/>
      <c r="U122" s="451"/>
      <c r="V122" s="405"/>
    </row>
    <row r="123" spans="1:22" x14ac:dyDescent="0.3">
      <c r="A123" s="428"/>
      <c r="B123" s="532" t="s">
        <v>229</v>
      </c>
      <c r="C123" s="532"/>
      <c r="D123" s="532"/>
      <c r="E123" s="532"/>
      <c r="F123" s="532"/>
      <c r="G123" s="532"/>
      <c r="H123" s="532"/>
      <c r="I123" s="532"/>
      <c r="J123" s="532"/>
      <c r="K123" s="532"/>
      <c r="L123" s="532"/>
      <c r="M123" s="532"/>
      <c r="N123" s="532"/>
      <c r="O123" s="532"/>
      <c r="P123" s="532"/>
      <c r="Q123" s="532"/>
      <c r="R123" s="531">
        <f>-R183</f>
        <v>0</v>
      </c>
      <c r="S123" s="531"/>
      <c r="T123" s="535"/>
      <c r="U123" s="562"/>
      <c r="V123" s="405"/>
    </row>
    <row r="124" spans="1:22" x14ac:dyDescent="0.3">
      <c r="A124" s="428"/>
      <c r="B124" s="532" t="s">
        <v>230</v>
      </c>
      <c r="C124" s="532"/>
      <c r="D124" s="532"/>
      <c r="E124" s="532"/>
      <c r="F124" s="532"/>
      <c r="G124" s="532"/>
      <c r="H124" s="532"/>
      <c r="I124" s="532"/>
      <c r="J124" s="532"/>
      <c r="K124" s="532"/>
      <c r="L124" s="532"/>
      <c r="M124" s="532"/>
      <c r="N124" s="532"/>
      <c r="O124" s="532"/>
      <c r="P124" s="532"/>
      <c r="Q124" s="532"/>
      <c r="R124" s="531">
        <v>0</v>
      </c>
      <c r="S124" s="531"/>
      <c r="T124" s="535"/>
      <c r="U124" s="562"/>
      <c r="V124" s="405"/>
    </row>
    <row r="125" spans="1:22" x14ac:dyDescent="0.3">
      <c r="A125" s="428"/>
      <c r="B125" s="532" t="s">
        <v>42</v>
      </c>
      <c r="C125" s="532"/>
      <c r="D125" s="532"/>
      <c r="E125" s="532"/>
      <c r="F125" s="532"/>
      <c r="G125" s="532"/>
      <c r="H125" s="532"/>
      <c r="I125" s="532"/>
      <c r="J125" s="532"/>
      <c r="K125" s="532"/>
      <c r="L125" s="532"/>
      <c r="M125" s="532"/>
      <c r="N125" s="532"/>
      <c r="O125" s="532"/>
      <c r="P125" s="532"/>
      <c r="Q125" s="532"/>
      <c r="R125" s="531">
        <f>-Q183</f>
        <v>0</v>
      </c>
      <c r="S125" s="531"/>
      <c r="T125" s="535"/>
      <c r="U125" s="562"/>
      <c r="V125" s="405"/>
    </row>
    <row r="126" spans="1:22" x14ac:dyDescent="0.3">
      <c r="A126" s="428"/>
      <c r="B126" s="532" t="s">
        <v>235</v>
      </c>
      <c r="C126" s="532"/>
      <c r="D126" s="532"/>
      <c r="E126" s="532"/>
      <c r="F126" s="532"/>
      <c r="G126" s="532"/>
      <c r="H126" s="532"/>
      <c r="I126" s="532"/>
      <c r="J126" s="532"/>
      <c r="K126" s="532"/>
      <c r="L126" s="532"/>
      <c r="M126" s="532"/>
      <c r="N126" s="532"/>
      <c r="O126" s="532"/>
      <c r="P126" s="532"/>
      <c r="Q126" s="532"/>
      <c r="R126" s="531">
        <v>-1696</v>
      </c>
      <c r="S126" s="531"/>
      <c r="T126" s="535"/>
      <c r="U126" s="562"/>
      <c r="V126" s="405"/>
    </row>
    <row r="127" spans="1:22" x14ac:dyDescent="0.3">
      <c r="A127" s="428"/>
      <c r="B127" s="532" t="s">
        <v>236</v>
      </c>
      <c r="C127" s="532"/>
      <c r="D127" s="532"/>
      <c r="E127" s="532"/>
      <c r="F127" s="532"/>
      <c r="G127" s="532"/>
      <c r="H127" s="532"/>
      <c r="I127" s="532"/>
      <c r="J127" s="532"/>
      <c r="K127" s="532"/>
      <c r="L127" s="532"/>
      <c r="M127" s="532"/>
      <c r="N127" s="532"/>
      <c r="O127" s="532"/>
      <c r="P127" s="532"/>
      <c r="Q127" s="532"/>
      <c r="R127" s="531">
        <v>-1199</v>
      </c>
      <c r="S127" s="531"/>
      <c r="T127" s="535"/>
      <c r="U127" s="562"/>
      <c r="V127" s="405"/>
    </row>
    <row r="128" spans="1:22" x14ac:dyDescent="0.3">
      <c r="A128" s="428"/>
      <c r="B128" s="532" t="s">
        <v>241</v>
      </c>
      <c r="C128" s="532"/>
      <c r="D128" s="532"/>
      <c r="E128" s="532"/>
      <c r="F128" s="532"/>
      <c r="G128" s="532"/>
      <c r="H128" s="532"/>
      <c r="I128" s="532"/>
      <c r="J128" s="532"/>
      <c r="K128" s="532"/>
      <c r="L128" s="532"/>
      <c r="M128" s="532"/>
      <c r="N128" s="532"/>
      <c r="O128" s="532"/>
      <c r="P128" s="532"/>
      <c r="Q128" s="532"/>
      <c r="R128" s="531">
        <v>-166</v>
      </c>
      <c r="S128" s="531"/>
      <c r="T128" s="535"/>
      <c r="U128" s="562"/>
      <c r="V128" s="405"/>
    </row>
    <row r="129" spans="1:22" x14ac:dyDescent="0.3">
      <c r="A129" s="428"/>
      <c r="B129" s="532" t="s">
        <v>237</v>
      </c>
      <c r="C129" s="532"/>
      <c r="D129" s="532"/>
      <c r="E129" s="532"/>
      <c r="F129" s="532"/>
      <c r="G129" s="532"/>
      <c r="H129" s="532"/>
      <c r="I129" s="532"/>
      <c r="J129" s="532"/>
      <c r="K129" s="532"/>
      <c r="L129" s="532"/>
      <c r="M129" s="532"/>
      <c r="N129" s="532"/>
      <c r="O129" s="532"/>
      <c r="P129" s="532"/>
      <c r="Q129" s="532"/>
      <c r="R129" s="531">
        <v>-78</v>
      </c>
      <c r="S129" s="531"/>
      <c r="T129" s="535"/>
      <c r="U129" s="562"/>
      <c r="V129" s="405"/>
    </row>
    <row r="130" spans="1:22" x14ac:dyDescent="0.3">
      <c r="A130" s="428"/>
      <c r="B130" s="532" t="s">
        <v>238</v>
      </c>
      <c r="C130" s="532"/>
      <c r="D130" s="532"/>
      <c r="E130" s="532"/>
      <c r="F130" s="532"/>
      <c r="G130" s="532"/>
      <c r="H130" s="532"/>
      <c r="I130" s="532"/>
      <c r="J130" s="532"/>
      <c r="K130" s="532"/>
      <c r="L130" s="532"/>
      <c r="M130" s="532"/>
      <c r="N130" s="532"/>
      <c r="O130" s="532"/>
      <c r="P130" s="532"/>
      <c r="Q130" s="532"/>
      <c r="R130" s="531">
        <v>-226</v>
      </c>
      <c r="S130" s="531"/>
      <c r="T130" s="535"/>
      <c r="U130" s="562"/>
      <c r="V130" s="405"/>
    </row>
    <row r="131" spans="1:22" x14ac:dyDescent="0.3">
      <c r="A131" s="428"/>
      <c r="B131" s="532" t="s">
        <v>239</v>
      </c>
      <c r="C131" s="532"/>
      <c r="D131" s="532"/>
      <c r="E131" s="532"/>
      <c r="F131" s="532"/>
      <c r="G131" s="532"/>
      <c r="H131" s="532"/>
      <c r="I131" s="532"/>
      <c r="J131" s="532"/>
      <c r="K131" s="532"/>
      <c r="L131" s="532"/>
      <c r="M131" s="532"/>
      <c r="N131" s="532"/>
      <c r="O131" s="532"/>
      <c r="P131" s="532"/>
      <c r="Q131" s="532"/>
      <c r="R131" s="531">
        <v>-34</v>
      </c>
      <c r="S131" s="531"/>
      <c r="T131" s="535"/>
      <c r="U131" s="562"/>
      <c r="V131" s="405"/>
    </row>
    <row r="132" spans="1:22" x14ac:dyDescent="0.3">
      <c r="A132" s="428"/>
      <c r="B132" s="532" t="s">
        <v>240</v>
      </c>
      <c r="C132" s="532"/>
      <c r="D132" s="532"/>
      <c r="E132" s="532"/>
      <c r="F132" s="532"/>
      <c r="G132" s="532"/>
      <c r="H132" s="532"/>
      <c r="I132" s="532"/>
      <c r="J132" s="532"/>
      <c r="K132" s="532"/>
      <c r="L132" s="532"/>
      <c r="M132" s="532"/>
      <c r="N132" s="532"/>
      <c r="O132" s="532"/>
      <c r="P132" s="532"/>
      <c r="Q132" s="532"/>
      <c r="R132" s="531">
        <v>-506</v>
      </c>
      <c r="S132" s="531"/>
      <c r="T132" s="535"/>
      <c r="U132" s="562"/>
      <c r="V132" s="405"/>
    </row>
    <row r="133" spans="1:22" x14ac:dyDescent="0.3">
      <c r="A133" s="428"/>
      <c r="B133" s="532" t="s">
        <v>43</v>
      </c>
      <c r="C133" s="532"/>
      <c r="D133" s="532"/>
      <c r="E133" s="532"/>
      <c r="F133" s="532"/>
      <c r="G133" s="532"/>
      <c r="H133" s="532"/>
      <c r="I133" s="532"/>
      <c r="J133" s="532"/>
      <c r="K133" s="532"/>
      <c r="L133" s="532"/>
      <c r="M133" s="532"/>
      <c r="N133" s="532"/>
      <c r="O133" s="532"/>
      <c r="P133" s="532"/>
      <c r="Q133" s="532"/>
      <c r="R133" s="531">
        <f>SUM(R123:R132)</f>
        <v>-3905</v>
      </c>
      <c r="S133" s="531"/>
      <c r="T133" s="531">
        <f>SUM(T98:T131)</f>
        <v>-1482</v>
      </c>
      <c r="U133" s="562"/>
      <c r="V133" s="405"/>
    </row>
    <row r="134" spans="1:22" x14ac:dyDescent="0.3">
      <c r="A134" s="428"/>
      <c r="B134" s="532" t="s">
        <v>44</v>
      </c>
      <c r="C134" s="532"/>
      <c r="D134" s="532"/>
      <c r="E134" s="532"/>
      <c r="F134" s="532"/>
      <c r="G134" s="532"/>
      <c r="H134" s="532"/>
      <c r="I134" s="532"/>
      <c r="J134" s="532"/>
      <c r="K134" s="532"/>
      <c r="L134" s="532"/>
      <c r="M134" s="532"/>
      <c r="N134" s="532"/>
      <c r="O134" s="532"/>
      <c r="P134" s="532"/>
      <c r="Q134" s="532"/>
      <c r="R134" s="531">
        <f>R97+R133+R113</f>
        <v>0</v>
      </c>
      <c r="S134" s="531"/>
      <c r="T134" s="531">
        <f>T97+T133</f>
        <v>0</v>
      </c>
      <c r="U134" s="562"/>
      <c r="V134" s="405"/>
    </row>
    <row r="135" spans="1:22" x14ac:dyDescent="0.3">
      <c r="A135" s="430"/>
      <c r="B135" s="431"/>
      <c r="C135" s="431"/>
      <c r="D135" s="431"/>
      <c r="E135" s="431"/>
      <c r="F135" s="431"/>
      <c r="G135" s="431"/>
      <c r="H135" s="431"/>
      <c r="I135" s="431"/>
      <c r="J135" s="431"/>
      <c r="K135" s="431"/>
      <c r="L135" s="431"/>
      <c r="M135" s="431"/>
      <c r="N135" s="431"/>
      <c r="O135" s="431"/>
      <c r="P135" s="431"/>
      <c r="Q135" s="431"/>
      <c r="R135" s="455"/>
      <c r="S135" s="455"/>
      <c r="T135" s="455"/>
      <c r="U135" s="431"/>
      <c r="V135" s="405"/>
    </row>
    <row r="136" spans="1:22" x14ac:dyDescent="0.3">
      <c r="A136" s="430"/>
      <c r="B136" s="434"/>
      <c r="C136" s="434"/>
      <c r="D136" s="434"/>
      <c r="E136" s="434"/>
      <c r="F136" s="434"/>
      <c r="G136" s="434"/>
      <c r="H136" s="434"/>
      <c r="I136" s="434"/>
      <c r="J136" s="434"/>
      <c r="K136" s="434"/>
      <c r="L136" s="434"/>
      <c r="M136" s="434"/>
      <c r="N136" s="434"/>
      <c r="O136" s="434"/>
      <c r="P136" s="434"/>
      <c r="Q136" s="434"/>
      <c r="R136" s="434"/>
      <c r="S136" s="434"/>
      <c r="T136" s="456"/>
      <c r="U136" s="434"/>
      <c r="V136" s="405"/>
    </row>
    <row r="137" spans="1:22" ht="18.600000000000001" thickBot="1" x14ac:dyDescent="0.4">
      <c r="A137" s="437"/>
      <c r="B137" s="565" t="str">
        <f>B61</f>
        <v>PM9 INVESTOR REPORT QUARTER ENDING JULY 2019</v>
      </c>
      <c r="C137" s="438"/>
      <c r="D137" s="438"/>
      <c r="E137" s="438"/>
      <c r="F137" s="438"/>
      <c r="G137" s="438"/>
      <c r="H137" s="438"/>
      <c r="I137" s="438"/>
      <c r="J137" s="438"/>
      <c r="K137" s="438"/>
      <c r="L137" s="438"/>
      <c r="M137" s="438"/>
      <c r="N137" s="438"/>
      <c r="O137" s="438"/>
      <c r="P137" s="438"/>
      <c r="Q137" s="438"/>
      <c r="R137" s="438"/>
      <c r="S137" s="438"/>
      <c r="T137" s="457"/>
      <c r="U137" s="440"/>
      <c r="V137" s="405"/>
    </row>
    <row r="138" spans="1:22" x14ac:dyDescent="0.3">
      <c r="A138" s="507"/>
      <c r="B138" s="508" t="s">
        <v>45</v>
      </c>
      <c r="C138" s="509"/>
      <c r="D138" s="509"/>
      <c r="E138" s="509"/>
      <c r="F138" s="509"/>
      <c r="G138" s="509"/>
      <c r="H138" s="509"/>
      <c r="I138" s="509"/>
      <c r="J138" s="509"/>
      <c r="K138" s="509"/>
      <c r="L138" s="509"/>
      <c r="M138" s="509"/>
      <c r="N138" s="509"/>
      <c r="O138" s="509"/>
      <c r="P138" s="509"/>
      <c r="Q138" s="509"/>
      <c r="R138" s="509"/>
      <c r="S138" s="509"/>
      <c r="T138" s="510"/>
      <c r="U138" s="509"/>
      <c r="V138" s="405"/>
    </row>
    <row r="139" spans="1:22" x14ac:dyDescent="0.3">
      <c r="A139" s="407"/>
      <c r="B139" s="458"/>
      <c r="C139" s="409"/>
      <c r="D139" s="409"/>
      <c r="E139" s="409"/>
      <c r="F139" s="409"/>
      <c r="G139" s="409"/>
      <c r="H139" s="409"/>
      <c r="I139" s="409"/>
      <c r="J139" s="409"/>
      <c r="K139" s="409"/>
      <c r="L139" s="409"/>
      <c r="M139" s="409"/>
      <c r="N139" s="409"/>
      <c r="O139" s="409"/>
      <c r="P139" s="409"/>
      <c r="Q139" s="409"/>
      <c r="R139" s="409"/>
      <c r="S139" s="409"/>
      <c r="T139" s="441"/>
      <c r="U139" s="409"/>
      <c r="V139" s="405"/>
    </row>
    <row r="140" spans="1:22" x14ac:dyDescent="0.3">
      <c r="A140" s="407"/>
      <c r="B140" s="523" t="s">
        <v>46</v>
      </c>
      <c r="C140" s="409"/>
      <c r="D140" s="409"/>
      <c r="E140" s="409"/>
      <c r="F140" s="409"/>
      <c r="G140" s="409"/>
      <c r="H140" s="409"/>
      <c r="I140" s="409"/>
      <c r="J140" s="409"/>
      <c r="K140" s="409"/>
      <c r="L140" s="409"/>
      <c r="M140" s="409"/>
      <c r="N140" s="409"/>
      <c r="O140" s="409"/>
      <c r="P140" s="409"/>
      <c r="Q140" s="409"/>
      <c r="R140" s="409"/>
      <c r="S140" s="409"/>
      <c r="T140" s="441"/>
      <c r="U140" s="409"/>
      <c r="V140" s="405"/>
    </row>
    <row r="141" spans="1:22" x14ac:dyDescent="0.3">
      <c r="A141" s="418"/>
      <c r="B141" s="532" t="s">
        <v>47</v>
      </c>
      <c r="C141" s="532"/>
      <c r="D141" s="532"/>
      <c r="E141" s="532"/>
      <c r="F141" s="532"/>
      <c r="G141" s="532"/>
      <c r="H141" s="532"/>
      <c r="I141" s="532"/>
      <c r="J141" s="532"/>
      <c r="K141" s="532"/>
      <c r="L141" s="532"/>
      <c r="M141" s="532"/>
      <c r="N141" s="532"/>
      <c r="O141" s="532"/>
      <c r="P141" s="532"/>
      <c r="Q141" s="532"/>
      <c r="R141" s="532"/>
      <c r="S141" s="532"/>
      <c r="T141" s="535">
        <f>+T32*0.0176</f>
        <v>12320</v>
      </c>
      <c r="U141" s="420"/>
      <c r="V141" s="405"/>
    </row>
    <row r="142" spans="1:22" x14ac:dyDescent="0.3">
      <c r="A142" s="418"/>
      <c r="B142" s="532" t="s">
        <v>48</v>
      </c>
      <c r="C142" s="532"/>
      <c r="D142" s="532"/>
      <c r="E142" s="532"/>
      <c r="F142" s="532"/>
      <c r="G142" s="532"/>
      <c r="H142" s="532"/>
      <c r="I142" s="532"/>
      <c r="J142" s="532"/>
      <c r="K142" s="532"/>
      <c r="L142" s="532"/>
      <c r="M142" s="532"/>
      <c r="N142" s="532"/>
      <c r="O142" s="532"/>
      <c r="P142" s="532"/>
      <c r="Q142" s="532"/>
      <c r="R142" s="532"/>
      <c r="S142" s="532"/>
      <c r="T142" s="535">
        <v>12320</v>
      </c>
      <c r="U142" s="420"/>
      <c r="V142" s="405"/>
    </row>
    <row r="143" spans="1:22" x14ac:dyDescent="0.3">
      <c r="A143" s="418"/>
      <c r="B143" s="532" t="s">
        <v>145</v>
      </c>
      <c r="C143" s="532"/>
      <c r="D143" s="532"/>
      <c r="E143" s="532"/>
      <c r="F143" s="532"/>
      <c r="G143" s="532"/>
      <c r="H143" s="532"/>
      <c r="I143" s="532"/>
      <c r="J143" s="532"/>
      <c r="K143" s="532"/>
      <c r="L143" s="532"/>
      <c r="M143" s="532"/>
      <c r="N143" s="532"/>
      <c r="O143" s="532"/>
      <c r="P143" s="532"/>
      <c r="Q143" s="532"/>
      <c r="R143" s="532"/>
      <c r="S143" s="532"/>
      <c r="T143" s="535">
        <v>0</v>
      </c>
      <c r="U143" s="420"/>
      <c r="V143" s="405"/>
    </row>
    <row r="144" spans="1:22" x14ac:dyDescent="0.3">
      <c r="A144" s="418"/>
      <c r="B144" s="532" t="s">
        <v>132</v>
      </c>
      <c r="C144" s="532"/>
      <c r="D144" s="532"/>
      <c r="E144" s="532"/>
      <c r="F144" s="532"/>
      <c r="G144" s="532"/>
      <c r="H144" s="532"/>
      <c r="I144" s="532"/>
      <c r="J144" s="532"/>
      <c r="K144" s="532"/>
      <c r="L144" s="532"/>
      <c r="M144" s="532"/>
      <c r="N144" s="532"/>
      <c r="O144" s="532"/>
      <c r="P144" s="532"/>
      <c r="Q144" s="532"/>
      <c r="R144" s="532"/>
      <c r="S144" s="532"/>
      <c r="T144" s="535">
        <v>0</v>
      </c>
      <c r="U144" s="420"/>
      <c r="V144" s="405"/>
    </row>
    <row r="145" spans="1:23" x14ac:dyDescent="0.3">
      <c r="A145" s="418"/>
      <c r="B145" s="532" t="s">
        <v>133</v>
      </c>
      <c r="C145" s="532"/>
      <c r="D145" s="532"/>
      <c r="E145" s="532"/>
      <c r="F145" s="532"/>
      <c r="G145" s="532"/>
      <c r="H145" s="532"/>
      <c r="I145" s="532"/>
      <c r="J145" s="532"/>
      <c r="K145" s="532"/>
      <c r="L145" s="532"/>
      <c r="M145" s="532"/>
      <c r="N145" s="532"/>
      <c r="O145" s="532"/>
      <c r="P145" s="532"/>
      <c r="Q145" s="532"/>
      <c r="R145" s="532"/>
      <c r="S145" s="532"/>
      <c r="T145" s="535">
        <v>0</v>
      </c>
      <c r="U145" s="420"/>
      <c r="V145" s="405"/>
    </row>
    <row r="146" spans="1:23" x14ac:dyDescent="0.3">
      <c r="A146" s="418"/>
      <c r="B146" s="532" t="s">
        <v>232</v>
      </c>
      <c r="C146" s="532"/>
      <c r="D146" s="532"/>
      <c r="E146" s="532"/>
      <c r="F146" s="532"/>
      <c r="G146" s="532"/>
      <c r="H146" s="532"/>
      <c r="I146" s="532"/>
      <c r="J146" s="532"/>
      <c r="K146" s="532"/>
      <c r="L146" s="532"/>
      <c r="M146" s="532"/>
      <c r="N146" s="532"/>
      <c r="O146" s="532"/>
      <c r="P146" s="532"/>
      <c r="Q146" s="532"/>
      <c r="R146" s="532"/>
      <c r="S146" s="532"/>
      <c r="T146" s="535">
        <v>0</v>
      </c>
      <c r="U146" s="420"/>
      <c r="V146" s="405"/>
    </row>
    <row r="147" spans="1:23" x14ac:dyDescent="0.3">
      <c r="A147" s="418"/>
      <c r="B147" s="532" t="s">
        <v>49</v>
      </c>
      <c r="C147" s="532"/>
      <c r="D147" s="532"/>
      <c r="E147" s="532"/>
      <c r="F147" s="532"/>
      <c r="G147" s="532"/>
      <c r="H147" s="532"/>
      <c r="I147" s="532"/>
      <c r="J147" s="532"/>
      <c r="K147" s="532"/>
      <c r="L147" s="532"/>
      <c r="M147" s="532"/>
      <c r="N147" s="532"/>
      <c r="O147" s="532"/>
      <c r="P147" s="532"/>
      <c r="Q147" s="532"/>
      <c r="R147" s="532"/>
      <c r="S147" s="532"/>
      <c r="T147" s="535">
        <v>0</v>
      </c>
      <c r="U147" s="420"/>
      <c r="V147" s="405"/>
    </row>
    <row r="148" spans="1:23" x14ac:dyDescent="0.3">
      <c r="A148" s="418"/>
      <c r="B148" s="532" t="s">
        <v>138</v>
      </c>
      <c r="C148" s="532"/>
      <c r="D148" s="532"/>
      <c r="E148" s="532"/>
      <c r="F148" s="532"/>
      <c r="G148" s="532"/>
      <c r="H148" s="532"/>
      <c r="I148" s="532"/>
      <c r="J148" s="532"/>
      <c r="K148" s="532"/>
      <c r="L148" s="532"/>
      <c r="M148" s="532"/>
      <c r="N148" s="532"/>
      <c r="O148" s="532"/>
      <c r="P148" s="532"/>
      <c r="Q148" s="532"/>
      <c r="R148" s="532"/>
      <c r="S148" s="532"/>
      <c r="T148" s="535">
        <v>0</v>
      </c>
      <c r="U148" s="420"/>
      <c r="V148" s="405"/>
    </row>
    <row r="149" spans="1:23" x14ac:dyDescent="0.3">
      <c r="A149" s="418"/>
      <c r="B149" s="532" t="s">
        <v>231</v>
      </c>
      <c r="C149" s="532"/>
      <c r="D149" s="532"/>
      <c r="E149" s="532"/>
      <c r="F149" s="532"/>
      <c r="G149" s="532"/>
      <c r="H149" s="532"/>
      <c r="I149" s="532"/>
      <c r="J149" s="532"/>
      <c r="K149" s="532"/>
      <c r="L149" s="532"/>
      <c r="M149" s="532"/>
      <c r="N149" s="532"/>
      <c r="O149" s="532"/>
      <c r="P149" s="532"/>
      <c r="Q149" s="532"/>
      <c r="R149" s="532"/>
      <c r="S149" s="532"/>
      <c r="T149" s="535">
        <v>0</v>
      </c>
      <c r="U149" s="420"/>
      <c r="V149" s="405"/>
      <c r="W149" s="452"/>
    </row>
    <row r="150" spans="1:23" x14ac:dyDescent="0.3">
      <c r="A150" s="418"/>
      <c r="B150" s="532" t="s">
        <v>50</v>
      </c>
      <c r="C150" s="532"/>
      <c r="D150" s="532"/>
      <c r="E150" s="532"/>
      <c r="F150" s="532"/>
      <c r="G150" s="532"/>
      <c r="H150" s="532"/>
      <c r="I150" s="532"/>
      <c r="J150" s="532"/>
      <c r="K150" s="532"/>
      <c r="L150" s="532"/>
      <c r="M150" s="532"/>
      <c r="N150" s="532"/>
      <c r="O150" s="532"/>
      <c r="P150" s="532"/>
      <c r="Q150" s="532"/>
      <c r="R150" s="532"/>
      <c r="S150" s="532"/>
      <c r="T150" s="535">
        <f>SUM(T142:T149)</f>
        <v>12320</v>
      </c>
      <c r="U150" s="420"/>
      <c r="V150" s="405"/>
    </row>
    <row r="151" spans="1:23" x14ac:dyDescent="0.3">
      <c r="A151" s="418"/>
      <c r="B151" s="448"/>
      <c r="C151" s="448"/>
      <c r="D151" s="448"/>
      <c r="E151" s="448"/>
      <c r="F151" s="448"/>
      <c r="G151" s="448"/>
      <c r="H151" s="448"/>
      <c r="I151" s="448"/>
      <c r="J151" s="448"/>
      <c r="K151" s="448"/>
      <c r="L151" s="448"/>
      <c r="M151" s="448"/>
      <c r="N151" s="448"/>
      <c r="O151" s="448"/>
      <c r="P151" s="448"/>
      <c r="Q151" s="448"/>
      <c r="R151" s="448"/>
      <c r="S151" s="448"/>
      <c r="T151" s="450"/>
      <c r="U151" s="451"/>
      <c r="V151" s="405"/>
    </row>
    <row r="152" spans="1:23" x14ac:dyDescent="0.3">
      <c r="A152" s="418"/>
      <c r="B152" s="522" t="s">
        <v>264</v>
      </c>
      <c r="C152" s="448"/>
      <c r="D152" s="448"/>
      <c r="E152" s="448"/>
      <c r="F152" s="448"/>
      <c r="G152" s="448"/>
      <c r="H152" s="448"/>
      <c r="I152" s="448"/>
      <c r="J152" s="448"/>
      <c r="K152" s="448"/>
      <c r="L152" s="448"/>
      <c r="M152" s="448"/>
      <c r="N152" s="448"/>
      <c r="O152" s="448"/>
      <c r="P152" s="448"/>
      <c r="Q152" s="448"/>
      <c r="R152" s="448"/>
      <c r="S152" s="448"/>
      <c r="T152" s="450"/>
      <c r="U152" s="451"/>
      <c r="V152" s="405"/>
    </row>
    <row r="153" spans="1:23" x14ac:dyDescent="0.3">
      <c r="A153" s="418"/>
      <c r="B153" s="532" t="s">
        <v>170</v>
      </c>
      <c r="C153" s="532"/>
      <c r="D153" s="532"/>
      <c r="E153" s="532"/>
      <c r="F153" s="532"/>
      <c r="G153" s="532"/>
      <c r="H153" s="532"/>
      <c r="I153" s="532"/>
      <c r="J153" s="532"/>
      <c r="K153" s="532"/>
      <c r="L153" s="532"/>
      <c r="M153" s="532"/>
      <c r="N153" s="532"/>
      <c r="O153" s="532"/>
      <c r="P153" s="532"/>
      <c r="Q153" s="532"/>
      <c r="R153" s="532"/>
      <c r="S153" s="532"/>
      <c r="T153" s="535">
        <v>10000</v>
      </c>
      <c r="U153" s="420"/>
      <c r="V153" s="405"/>
    </row>
    <row r="154" spans="1:23" x14ac:dyDescent="0.3">
      <c r="A154" s="418"/>
      <c r="B154" s="532" t="s">
        <v>260</v>
      </c>
      <c r="C154" s="532"/>
      <c r="D154" s="532"/>
      <c r="E154" s="532"/>
      <c r="F154" s="532"/>
      <c r="G154" s="532"/>
      <c r="H154" s="532"/>
      <c r="I154" s="532"/>
      <c r="J154" s="532"/>
      <c r="K154" s="532"/>
      <c r="L154" s="532"/>
      <c r="M154" s="532"/>
      <c r="N154" s="532"/>
      <c r="O154" s="532"/>
      <c r="P154" s="532"/>
      <c r="Q154" s="532"/>
      <c r="R154" s="532"/>
      <c r="S154" s="532"/>
      <c r="T154" s="535">
        <v>0</v>
      </c>
      <c r="U154" s="420"/>
      <c r="V154" s="405"/>
    </row>
    <row r="155" spans="1:23" x14ac:dyDescent="0.3">
      <c r="A155" s="418"/>
      <c r="B155" s="532" t="s">
        <v>228</v>
      </c>
      <c r="C155" s="532"/>
      <c r="D155" s="532"/>
      <c r="E155" s="532"/>
      <c r="F155" s="532"/>
      <c r="G155" s="532"/>
      <c r="H155" s="532"/>
      <c r="I155" s="532"/>
      <c r="J155" s="532"/>
      <c r="K155" s="532"/>
      <c r="L155" s="532"/>
      <c r="M155" s="532"/>
      <c r="N155" s="532"/>
      <c r="O155" s="532"/>
      <c r="P155" s="532"/>
      <c r="Q155" s="532"/>
      <c r="R155" s="532"/>
      <c r="S155" s="532"/>
      <c r="T155" s="535">
        <v>0</v>
      </c>
      <c r="U155" s="420"/>
      <c r="V155" s="405"/>
    </row>
    <row r="156" spans="1:23" x14ac:dyDescent="0.3">
      <c r="A156" s="418"/>
      <c r="B156" s="568" t="s">
        <v>327</v>
      </c>
      <c r="C156" s="532"/>
      <c r="D156" s="532"/>
      <c r="E156" s="532"/>
      <c r="F156" s="532"/>
      <c r="G156" s="532"/>
      <c r="H156" s="532"/>
      <c r="I156" s="532"/>
      <c r="J156" s="532"/>
      <c r="K156" s="532"/>
      <c r="L156" s="532"/>
      <c r="M156" s="532"/>
      <c r="N156" s="532"/>
      <c r="O156" s="532"/>
      <c r="P156" s="532"/>
      <c r="Q156" s="532"/>
      <c r="R156" s="532"/>
      <c r="S156" s="532"/>
      <c r="T156" s="535">
        <v>0</v>
      </c>
      <c r="U156" s="420"/>
      <c r="V156" s="405"/>
    </row>
    <row r="157" spans="1:23" x14ac:dyDescent="0.3">
      <c r="A157" s="418"/>
      <c r="B157" s="448"/>
      <c r="C157" s="448"/>
      <c r="D157" s="448"/>
      <c r="E157" s="448"/>
      <c r="F157" s="448"/>
      <c r="G157" s="448"/>
      <c r="H157" s="448"/>
      <c r="I157" s="448"/>
      <c r="J157" s="448"/>
      <c r="K157" s="448"/>
      <c r="L157" s="448"/>
      <c r="M157" s="448"/>
      <c r="N157" s="448"/>
      <c r="O157" s="448"/>
      <c r="P157" s="448"/>
      <c r="Q157" s="448"/>
      <c r="R157" s="448"/>
      <c r="S157" s="448"/>
      <c r="T157" s="450"/>
      <c r="U157" s="451"/>
      <c r="V157" s="405"/>
    </row>
    <row r="158" spans="1:23" x14ac:dyDescent="0.3">
      <c r="A158" s="407"/>
      <c r="B158" s="444"/>
      <c r="C158" s="444"/>
      <c r="D158" s="444"/>
      <c r="E158" s="444"/>
      <c r="F158" s="444"/>
      <c r="G158" s="444"/>
      <c r="H158" s="444"/>
      <c r="I158" s="444"/>
      <c r="J158" s="444"/>
      <c r="K158" s="444"/>
      <c r="L158" s="444"/>
      <c r="M158" s="444"/>
      <c r="N158" s="444"/>
      <c r="O158" s="444"/>
      <c r="P158" s="444"/>
      <c r="Q158" s="444"/>
      <c r="R158" s="444"/>
      <c r="S158" s="444"/>
      <c r="T158" s="459"/>
      <c r="U158" s="444"/>
      <c r="V158" s="405"/>
    </row>
    <row r="159" spans="1:23" x14ac:dyDescent="0.3">
      <c r="A159" s="407"/>
      <c r="B159" s="523" t="s">
        <v>25</v>
      </c>
      <c r="C159" s="409"/>
      <c r="D159" s="409"/>
      <c r="E159" s="409"/>
      <c r="F159" s="409"/>
      <c r="G159" s="409"/>
      <c r="H159" s="409"/>
      <c r="I159" s="409"/>
      <c r="J159" s="409"/>
      <c r="K159" s="409"/>
      <c r="L159" s="409"/>
      <c r="M159" s="409"/>
      <c r="N159" s="409"/>
      <c r="O159" s="409"/>
      <c r="P159" s="409"/>
      <c r="Q159" s="409"/>
      <c r="R159" s="409"/>
      <c r="S159" s="409"/>
      <c r="T159" s="441"/>
      <c r="U159" s="409"/>
      <c r="V159" s="405"/>
    </row>
    <row r="160" spans="1:23" x14ac:dyDescent="0.3">
      <c r="A160" s="418"/>
      <c r="B160" s="532" t="s">
        <v>51</v>
      </c>
      <c r="C160" s="532"/>
      <c r="D160" s="532"/>
      <c r="E160" s="532"/>
      <c r="F160" s="532"/>
      <c r="G160" s="532"/>
      <c r="H160" s="532"/>
      <c r="I160" s="532"/>
      <c r="J160" s="532"/>
      <c r="K160" s="532"/>
      <c r="L160" s="532"/>
      <c r="M160" s="532"/>
      <c r="N160" s="532"/>
      <c r="O160" s="532"/>
      <c r="P160" s="532"/>
      <c r="Q160" s="532"/>
      <c r="R160" s="532"/>
      <c r="S160" s="532"/>
      <c r="T160" s="561" t="s">
        <v>127</v>
      </c>
      <c r="U160" s="451"/>
      <c r="V160" s="405"/>
    </row>
    <row r="161" spans="1:22" x14ac:dyDescent="0.3">
      <c r="A161" s="418"/>
      <c r="B161" s="532" t="s">
        <v>52</v>
      </c>
      <c r="C161" s="532"/>
      <c r="D161" s="532"/>
      <c r="E161" s="532"/>
      <c r="F161" s="532"/>
      <c r="G161" s="532"/>
      <c r="H161" s="532"/>
      <c r="I161" s="532"/>
      <c r="J161" s="532"/>
      <c r="K161" s="532"/>
      <c r="L161" s="532"/>
      <c r="M161" s="532"/>
      <c r="N161" s="532"/>
      <c r="O161" s="532"/>
      <c r="P161" s="532"/>
      <c r="Q161" s="532"/>
      <c r="R161" s="532"/>
      <c r="S161" s="532"/>
      <c r="T161" s="561" t="s">
        <v>127</v>
      </c>
      <c r="U161" s="451"/>
      <c r="V161" s="405"/>
    </row>
    <row r="162" spans="1:22" x14ac:dyDescent="0.3">
      <c r="A162" s="418"/>
      <c r="B162" s="532" t="s">
        <v>53</v>
      </c>
      <c r="C162" s="532"/>
      <c r="D162" s="532"/>
      <c r="E162" s="532"/>
      <c r="F162" s="532"/>
      <c r="G162" s="532"/>
      <c r="H162" s="532"/>
      <c r="I162" s="532"/>
      <c r="J162" s="532"/>
      <c r="K162" s="532"/>
      <c r="L162" s="532"/>
      <c r="M162" s="532"/>
      <c r="N162" s="532"/>
      <c r="O162" s="532"/>
      <c r="P162" s="532"/>
      <c r="Q162" s="532"/>
      <c r="R162" s="532"/>
      <c r="S162" s="532"/>
      <c r="T162" s="561" t="s">
        <v>127</v>
      </c>
      <c r="U162" s="451"/>
      <c r="V162" s="405"/>
    </row>
    <row r="163" spans="1:22" x14ac:dyDescent="0.3">
      <c r="A163" s="418"/>
      <c r="B163" s="532" t="s">
        <v>54</v>
      </c>
      <c r="C163" s="532"/>
      <c r="D163" s="532"/>
      <c r="E163" s="532"/>
      <c r="F163" s="532"/>
      <c r="G163" s="532"/>
      <c r="H163" s="532"/>
      <c r="I163" s="532"/>
      <c r="J163" s="532"/>
      <c r="K163" s="532"/>
      <c r="L163" s="532"/>
      <c r="M163" s="532"/>
      <c r="N163" s="532"/>
      <c r="O163" s="532"/>
      <c r="P163" s="532"/>
      <c r="Q163" s="532"/>
      <c r="R163" s="532"/>
      <c r="S163" s="532"/>
      <c r="T163" s="561" t="s">
        <v>127</v>
      </c>
      <c r="U163" s="451"/>
      <c r="V163" s="405"/>
    </row>
    <row r="164" spans="1:22" x14ac:dyDescent="0.3">
      <c r="A164" s="407"/>
      <c r="B164" s="444"/>
      <c r="C164" s="444"/>
      <c r="D164" s="444"/>
      <c r="E164" s="444"/>
      <c r="F164" s="444"/>
      <c r="G164" s="444"/>
      <c r="H164" s="444"/>
      <c r="I164" s="444"/>
      <c r="J164" s="444"/>
      <c r="K164" s="444"/>
      <c r="L164" s="444"/>
      <c r="M164" s="444"/>
      <c r="N164" s="444"/>
      <c r="O164" s="444"/>
      <c r="P164" s="444"/>
      <c r="Q164" s="444"/>
      <c r="R164" s="444"/>
      <c r="S164" s="444"/>
      <c r="T164" s="459"/>
      <c r="U164" s="444"/>
      <c r="V164" s="405"/>
    </row>
    <row r="165" spans="1:22" x14ac:dyDescent="0.3">
      <c r="A165" s="407"/>
      <c r="B165" s="523" t="s">
        <v>55</v>
      </c>
      <c r="C165" s="409"/>
      <c r="D165" s="409"/>
      <c r="E165" s="409"/>
      <c r="F165" s="409"/>
      <c r="G165" s="409"/>
      <c r="H165" s="409"/>
      <c r="I165" s="409"/>
      <c r="J165" s="409"/>
      <c r="K165" s="409"/>
      <c r="L165" s="409"/>
      <c r="M165" s="409"/>
      <c r="N165" s="409"/>
      <c r="O165" s="409"/>
      <c r="P165" s="409"/>
      <c r="Q165" s="409"/>
      <c r="R165" s="409"/>
      <c r="S165" s="409"/>
      <c r="T165" s="460"/>
      <c r="U165" s="409"/>
      <c r="V165" s="405"/>
    </row>
    <row r="166" spans="1:22" x14ac:dyDescent="0.3">
      <c r="A166" s="418"/>
      <c r="B166" s="532" t="s">
        <v>56</v>
      </c>
      <c r="C166" s="532"/>
      <c r="D166" s="532"/>
      <c r="E166" s="532"/>
      <c r="F166" s="532"/>
      <c r="G166" s="532"/>
      <c r="H166" s="532"/>
      <c r="I166" s="532"/>
      <c r="J166" s="532"/>
      <c r="K166" s="532"/>
      <c r="L166" s="532"/>
      <c r="M166" s="532"/>
      <c r="N166" s="532"/>
      <c r="O166" s="532"/>
      <c r="P166" s="532"/>
      <c r="Q166" s="532"/>
      <c r="R166" s="532"/>
      <c r="S166" s="532"/>
      <c r="T166" s="535">
        <v>0</v>
      </c>
      <c r="U166" s="451"/>
      <c r="V166" s="405"/>
    </row>
    <row r="167" spans="1:22" x14ac:dyDescent="0.3">
      <c r="A167" s="418"/>
      <c r="B167" s="532" t="s">
        <v>57</v>
      </c>
      <c r="C167" s="532"/>
      <c r="D167" s="532"/>
      <c r="E167" s="532"/>
      <c r="F167" s="532"/>
      <c r="G167" s="532"/>
      <c r="H167" s="532"/>
      <c r="I167" s="532"/>
      <c r="J167" s="532"/>
      <c r="K167" s="532"/>
      <c r="L167" s="532"/>
      <c r="M167" s="532"/>
      <c r="N167" s="532"/>
      <c r="O167" s="532"/>
      <c r="P167" s="532"/>
      <c r="Q167" s="532"/>
      <c r="R167" s="532"/>
      <c r="S167" s="532"/>
      <c r="T167" s="535">
        <f>-T113</f>
        <v>109</v>
      </c>
      <c r="U167" s="451"/>
      <c r="V167" s="405"/>
    </row>
    <row r="168" spans="1:22" x14ac:dyDescent="0.3">
      <c r="A168" s="418"/>
      <c r="B168" s="532" t="s">
        <v>58</v>
      </c>
      <c r="C168" s="532"/>
      <c r="D168" s="532"/>
      <c r="E168" s="532"/>
      <c r="F168" s="532"/>
      <c r="G168" s="532"/>
      <c r="H168" s="532"/>
      <c r="I168" s="532"/>
      <c r="J168" s="532"/>
      <c r="K168" s="532"/>
      <c r="L168" s="532"/>
      <c r="M168" s="532"/>
      <c r="N168" s="532"/>
      <c r="O168" s="532"/>
      <c r="P168" s="532"/>
      <c r="Q168" s="532"/>
      <c r="R168" s="532"/>
      <c r="S168" s="532"/>
      <c r="T168" s="535">
        <f>T167+T166</f>
        <v>109</v>
      </c>
      <c r="U168" s="451"/>
      <c r="V168" s="405"/>
    </row>
    <row r="169" spans="1:22" x14ac:dyDescent="0.3">
      <c r="A169" s="418"/>
      <c r="B169" s="568" t="s">
        <v>309</v>
      </c>
      <c r="C169" s="532"/>
      <c r="D169" s="532"/>
      <c r="E169" s="532"/>
      <c r="F169" s="532"/>
      <c r="G169" s="532"/>
      <c r="H169" s="532"/>
      <c r="I169" s="532"/>
      <c r="J169" s="532"/>
      <c r="K169" s="532"/>
      <c r="L169" s="532"/>
      <c r="M169" s="532"/>
      <c r="N169" s="532"/>
      <c r="O169" s="532"/>
      <c r="P169" s="532"/>
      <c r="Q169" s="532"/>
      <c r="R169" s="532"/>
      <c r="S169" s="532"/>
      <c r="T169" s="535">
        <f>T113</f>
        <v>-109</v>
      </c>
      <c r="U169" s="451"/>
      <c r="V169" s="405"/>
    </row>
    <row r="170" spans="1:22" x14ac:dyDescent="0.3">
      <c r="A170" s="418"/>
      <c r="B170" s="532" t="s">
        <v>59</v>
      </c>
      <c r="C170" s="532"/>
      <c r="D170" s="532"/>
      <c r="E170" s="532"/>
      <c r="F170" s="532"/>
      <c r="G170" s="532"/>
      <c r="H170" s="532"/>
      <c r="I170" s="532"/>
      <c r="J170" s="532"/>
      <c r="K170" s="532"/>
      <c r="L170" s="532"/>
      <c r="M170" s="532"/>
      <c r="N170" s="532"/>
      <c r="O170" s="532"/>
      <c r="P170" s="532"/>
      <c r="Q170" s="532"/>
      <c r="R170" s="532"/>
      <c r="S170" s="532"/>
      <c r="T170" s="535">
        <f>T168+T169</f>
        <v>0</v>
      </c>
      <c r="U170" s="451"/>
      <c r="V170" s="405"/>
    </row>
    <row r="171" spans="1:22" x14ac:dyDescent="0.3">
      <c r="A171" s="418"/>
      <c r="B171" s="532" t="s">
        <v>278</v>
      </c>
      <c r="C171" s="532"/>
      <c r="D171" s="532"/>
      <c r="E171" s="532"/>
      <c r="F171" s="532"/>
      <c r="G171" s="532"/>
      <c r="H171" s="532"/>
      <c r="I171" s="532"/>
      <c r="J171" s="532"/>
      <c r="K171" s="532"/>
      <c r="L171" s="532"/>
      <c r="M171" s="532"/>
      <c r="N171" s="532"/>
      <c r="O171" s="532"/>
      <c r="P171" s="532"/>
      <c r="Q171" s="532"/>
      <c r="R171" s="532"/>
      <c r="S171" s="532"/>
      <c r="T171" s="535">
        <v>0</v>
      </c>
      <c r="U171" s="451"/>
      <c r="V171" s="405"/>
    </row>
    <row r="172" spans="1:22" ht="16.2" thickBot="1" x14ac:dyDescent="0.35">
      <c r="A172" s="407"/>
      <c r="B172" s="431"/>
      <c r="C172" s="431"/>
      <c r="D172" s="431"/>
      <c r="E172" s="431"/>
      <c r="F172" s="431"/>
      <c r="G172" s="431"/>
      <c r="H172" s="431"/>
      <c r="I172" s="431"/>
      <c r="J172" s="431"/>
      <c r="K172" s="431"/>
      <c r="L172" s="431"/>
      <c r="M172" s="431"/>
      <c r="N172" s="431"/>
      <c r="O172" s="431"/>
      <c r="P172" s="431"/>
      <c r="Q172" s="431"/>
      <c r="R172" s="431"/>
      <c r="S172" s="431"/>
      <c r="T172" s="461"/>
      <c r="U172" s="444"/>
      <c r="V172" s="405"/>
    </row>
    <row r="173" spans="1:22" x14ac:dyDescent="0.3">
      <c r="A173" s="403"/>
      <c r="B173" s="404"/>
      <c r="C173" s="404"/>
      <c r="D173" s="404"/>
      <c r="E173" s="404"/>
      <c r="F173" s="404"/>
      <c r="G173" s="404"/>
      <c r="H173" s="404"/>
      <c r="I173" s="404"/>
      <c r="J173" s="404"/>
      <c r="K173" s="404"/>
      <c r="L173" s="404"/>
      <c r="M173" s="404"/>
      <c r="N173" s="404"/>
      <c r="O173" s="404"/>
      <c r="P173" s="404"/>
      <c r="Q173" s="404"/>
      <c r="R173" s="404"/>
      <c r="S173" s="404"/>
      <c r="T173" s="462"/>
      <c r="U173" s="404"/>
      <c r="V173" s="405"/>
    </row>
    <row r="174" spans="1:22" x14ac:dyDescent="0.3">
      <c r="A174" s="407"/>
      <c r="B174" s="523" t="s">
        <v>60</v>
      </c>
      <c r="C174" s="409"/>
      <c r="D174" s="409"/>
      <c r="E174" s="409"/>
      <c r="F174" s="409"/>
      <c r="G174" s="409"/>
      <c r="H174" s="409"/>
      <c r="I174" s="409"/>
      <c r="J174" s="409"/>
      <c r="K174" s="409"/>
      <c r="L174" s="409"/>
      <c r="M174" s="409"/>
      <c r="N174" s="409"/>
      <c r="O174" s="409"/>
      <c r="P174" s="409"/>
      <c r="Q174" s="409"/>
      <c r="R174" s="409"/>
      <c r="S174" s="409"/>
      <c r="T174" s="441"/>
      <c r="U174" s="409"/>
      <c r="V174" s="405"/>
    </row>
    <row r="175" spans="1:22" x14ac:dyDescent="0.3">
      <c r="A175" s="407"/>
      <c r="B175" s="458"/>
      <c r="C175" s="409"/>
      <c r="D175" s="409"/>
      <c r="E175" s="409"/>
      <c r="F175" s="409"/>
      <c r="G175" s="409"/>
      <c r="H175" s="409"/>
      <c r="I175" s="409"/>
      <c r="J175" s="409"/>
      <c r="K175" s="409"/>
      <c r="L175" s="409"/>
      <c r="M175" s="409"/>
      <c r="N175" s="409"/>
      <c r="O175" s="409"/>
      <c r="P175" s="409"/>
      <c r="Q175" s="409"/>
      <c r="R175" s="409"/>
      <c r="S175" s="409"/>
      <c r="T175" s="441"/>
      <c r="U175" s="409"/>
      <c r="V175" s="405"/>
    </row>
    <row r="176" spans="1:22" x14ac:dyDescent="0.3">
      <c r="A176" s="418"/>
      <c r="B176" s="532" t="s">
        <v>61</v>
      </c>
      <c r="C176" s="532"/>
      <c r="D176" s="532"/>
      <c r="E176" s="532"/>
      <c r="F176" s="532"/>
      <c r="G176" s="532"/>
      <c r="H176" s="532"/>
      <c r="I176" s="532"/>
      <c r="J176" s="532"/>
      <c r="K176" s="532"/>
      <c r="L176" s="532"/>
      <c r="M176" s="532"/>
      <c r="N176" s="532"/>
      <c r="O176" s="532"/>
      <c r="P176" s="532"/>
      <c r="Q176" s="532"/>
      <c r="R176" s="532"/>
      <c r="S176" s="532"/>
      <c r="T176" s="535">
        <f>T68</f>
        <v>205577</v>
      </c>
      <c r="U176" s="451"/>
      <c r="V176" s="405"/>
    </row>
    <row r="177" spans="1:22" x14ac:dyDescent="0.3">
      <c r="A177" s="418"/>
      <c r="B177" s="532" t="s">
        <v>62</v>
      </c>
      <c r="C177" s="532"/>
      <c r="D177" s="532"/>
      <c r="E177" s="532"/>
      <c r="F177" s="532"/>
      <c r="G177" s="532"/>
      <c r="H177" s="532"/>
      <c r="I177" s="532"/>
      <c r="J177" s="532"/>
      <c r="K177" s="532"/>
      <c r="L177" s="532"/>
      <c r="M177" s="532"/>
      <c r="N177" s="532"/>
      <c r="O177" s="532"/>
      <c r="P177" s="532"/>
      <c r="Q177" s="532"/>
      <c r="R177" s="532"/>
      <c r="S177" s="532"/>
      <c r="T177" s="535">
        <f>T81</f>
        <v>205577</v>
      </c>
      <c r="U177" s="451"/>
      <c r="V177" s="405"/>
    </row>
    <row r="178" spans="1:22" ht="16.2" thickBot="1" x14ac:dyDescent="0.35">
      <c r="A178" s="407"/>
      <c r="B178" s="444"/>
      <c r="C178" s="444"/>
      <c r="D178" s="444"/>
      <c r="E178" s="444"/>
      <c r="F178" s="444"/>
      <c r="G178" s="444"/>
      <c r="H178" s="444"/>
      <c r="I178" s="444"/>
      <c r="J178" s="444"/>
      <c r="K178" s="444"/>
      <c r="L178" s="444"/>
      <c r="M178" s="444"/>
      <c r="N178" s="444"/>
      <c r="O178" s="444"/>
      <c r="P178" s="444"/>
      <c r="Q178" s="444"/>
      <c r="R178" s="444"/>
      <c r="S178" s="444"/>
      <c r="T178" s="459"/>
      <c r="U178" s="444"/>
      <c r="V178" s="405"/>
    </row>
    <row r="179" spans="1:22" x14ac:dyDescent="0.3">
      <c r="A179" s="403"/>
      <c r="B179" s="404"/>
      <c r="C179" s="404"/>
      <c r="D179" s="404"/>
      <c r="E179" s="404"/>
      <c r="F179" s="404"/>
      <c r="G179" s="404"/>
      <c r="H179" s="404"/>
      <c r="I179" s="404"/>
      <c r="J179" s="404"/>
      <c r="K179" s="404"/>
      <c r="L179" s="404"/>
      <c r="M179" s="404"/>
      <c r="N179" s="404"/>
      <c r="O179" s="404"/>
      <c r="P179" s="404"/>
      <c r="Q179" s="404"/>
      <c r="R179" s="404"/>
      <c r="S179" s="404"/>
      <c r="T179" s="462"/>
      <c r="U179" s="404"/>
      <c r="V179" s="405"/>
    </row>
    <row r="180" spans="1:22" s="529" customFormat="1" x14ac:dyDescent="0.3">
      <c r="A180" s="524"/>
      <c r="B180" s="523" t="s">
        <v>63</v>
      </c>
      <c r="C180" s="525"/>
      <c r="D180" s="525"/>
      <c r="E180" s="525"/>
      <c r="F180" s="525"/>
      <c r="G180" s="525"/>
      <c r="H180" s="526"/>
      <c r="I180" s="526"/>
      <c r="J180" s="526"/>
      <c r="K180" s="526"/>
      <c r="L180" s="526"/>
      <c r="M180" s="526"/>
      <c r="N180" s="526"/>
      <c r="O180" s="526"/>
      <c r="P180" s="526"/>
      <c r="Q180" s="526" t="s">
        <v>107</v>
      </c>
      <c r="R180" s="526" t="s">
        <v>234</v>
      </c>
      <c r="S180" s="411"/>
      <c r="T180" s="527" t="s">
        <v>123</v>
      </c>
      <c r="U180" s="411"/>
      <c r="V180" s="528"/>
    </row>
    <row r="181" spans="1:22" x14ac:dyDescent="0.3">
      <c r="A181" s="418"/>
      <c r="B181" s="532" t="s">
        <v>64</v>
      </c>
      <c r="C181" s="532"/>
      <c r="D181" s="532"/>
      <c r="E181" s="532"/>
      <c r="F181" s="532"/>
      <c r="G181" s="532"/>
      <c r="H181" s="532"/>
      <c r="I181" s="532"/>
      <c r="J181" s="532"/>
      <c r="K181" s="532"/>
      <c r="L181" s="532"/>
      <c r="M181" s="532"/>
      <c r="N181" s="532"/>
      <c r="O181" s="532"/>
      <c r="P181" s="532"/>
      <c r="Q181" s="535">
        <v>112000</v>
      </c>
      <c r="R181" s="550"/>
      <c r="S181" s="532"/>
      <c r="T181" s="535"/>
      <c r="U181" s="420"/>
      <c r="V181" s="405"/>
    </row>
    <row r="182" spans="1:22" x14ac:dyDescent="0.3">
      <c r="A182" s="418"/>
      <c r="B182" s="532" t="s">
        <v>65</v>
      </c>
      <c r="C182" s="532"/>
      <c r="D182" s="532"/>
      <c r="E182" s="532"/>
      <c r="F182" s="532"/>
      <c r="G182" s="532"/>
      <c r="H182" s="532"/>
      <c r="I182" s="532"/>
      <c r="J182" s="532"/>
      <c r="K182" s="532"/>
      <c r="L182" s="532"/>
      <c r="M182" s="532"/>
      <c r="N182" s="532"/>
      <c r="O182" s="532"/>
      <c r="P182" s="532"/>
      <c r="Q182" s="535">
        <f>+'April 19'!Q181</f>
        <v>50882</v>
      </c>
      <c r="R182" s="535">
        <f>+'April 19'!R181</f>
        <v>2435</v>
      </c>
      <c r="S182" s="532"/>
      <c r="T182" s="535">
        <f>Q182+R182</f>
        <v>53317</v>
      </c>
      <c r="U182" s="420"/>
      <c r="V182" s="405"/>
    </row>
    <row r="183" spans="1:22" x14ac:dyDescent="0.3">
      <c r="A183" s="418"/>
      <c r="B183" s="532" t="s">
        <v>66</v>
      </c>
      <c r="C183" s="532"/>
      <c r="D183" s="532"/>
      <c r="E183" s="532"/>
      <c r="F183" s="532"/>
      <c r="G183" s="532"/>
      <c r="H183" s="532"/>
      <c r="I183" s="532"/>
      <c r="J183" s="532"/>
      <c r="K183" s="532"/>
      <c r="L183" s="532"/>
      <c r="M183" s="532"/>
      <c r="N183" s="532"/>
      <c r="O183" s="532"/>
      <c r="P183" s="532"/>
      <c r="Q183" s="531">
        <v>0</v>
      </c>
      <c r="R183" s="531">
        <v>0</v>
      </c>
      <c r="S183" s="532"/>
      <c r="T183" s="535">
        <f>Q183+R183</f>
        <v>0</v>
      </c>
      <c r="U183" s="420"/>
      <c r="V183" s="405"/>
    </row>
    <row r="184" spans="1:22" x14ac:dyDescent="0.3">
      <c r="A184" s="418"/>
      <c r="B184" s="532" t="s">
        <v>67</v>
      </c>
      <c r="C184" s="532"/>
      <c r="D184" s="532"/>
      <c r="E184" s="532"/>
      <c r="F184" s="532"/>
      <c r="G184" s="532"/>
      <c r="H184" s="532"/>
      <c r="I184" s="532"/>
      <c r="J184" s="532"/>
      <c r="K184" s="532"/>
      <c r="L184" s="532"/>
      <c r="M184" s="532"/>
      <c r="N184" s="532"/>
      <c r="O184" s="532"/>
      <c r="P184" s="532"/>
      <c r="Q184" s="535">
        <f>Q182+Q183</f>
        <v>50882</v>
      </c>
      <c r="R184" s="535">
        <f>R183+R182</f>
        <v>2435</v>
      </c>
      <c r="S184" s="532"/>
      <c r="T184" s="535">
        <f>Q184+R184</f>
        <v>53317</v>
      </c>
      <c r="U184" s="420"/>
      <c r="V184" s="405"/>
    </row>
    <row r="185" spans="1:22" x14ac:dyDescent="0.3">
      <c r="A185" s="418"/>
      <c r="B185" s="532" t="s">
        <v>68</v>
      </c>
      <c r="C185" s="532"/>
      <c r="D185" s="532"/>
      <c r="E185" s="532"/>
      <c r="F185" s="532"/>
      <c r="G185" s="532"/>
      <c r="H185" s="532"/>
      <c r="I185" s="532"/>
      <c r="J185" s="532"/>
      <c r="K185" s="532"/>
      <c r="L185" s="532"/>
      <c r="M185" s="532"/>
      <c r="N185" s="532"/>
      <c r="O185" s="532"/>
      <c r="P185" s="532"/>
      <c r="Q185" s="535">
        <f>Q181-Q184-R184</f>
        <v>58683</v>
      </c>
      <c r="R185" s="550"/>
      <c r="S185" s="532"/>
      <c r="T185" s="535"/>
      <c r="U185" s="420"/>
      <c r="V185" s="405"/>
    </row>
    <row r="186" spans="1:22" ht="16.2" thickBot="1" x14ac:dyDescent="0.35">
      <c r="A186" s="407"/>
      <c r="B186" s="444"/>
      <c r="C186" s="444"/>
      <c r="D186" s="444"/>
      <c r="E186" s="444"/>
      <c r="F186" s="444"/>
      <c r="G186" s="444"/>
      <c r="H186" s="444"/>
      <c r="I186" s="444"/>
      <c r="J186" s="444"/>
      <c r="K186" s="444"/>
      <c r="L186" s="444"/>
      <c r="M186" s="444"/>
      <c r="N186" s="444"/>
      <c r="O186" s="444"/>
      <c r="P186" s="444"/>
      <c r="Q186" s="444"/>
      <c r="R186" s="444"/>
      <c r="S186" s="444"/>
      <c r="T186" s="459"/>
      <c r="U186" s="444"/>
      <c r="V186" s="405"/>
    </row>
    <row r="187" spans="1:22" x14ac:dyDescent="0.3">
      <c r="A187" s="403"/>
      <c r="B187" s="404"/>
      <c r="C187" s="404"/>
      <c r="D187" s="404"/>
      <c r="E187" s="404"/>
      <c r="F187" s="404"/>
      <c r="G187" s="404"/>
      <c r="H187" s="404"/>
      <c r="I187" s="404"/>
      <c r="J187" s="404"/>
      <c r="K187" s="404"/>
      <c r="L187" s="404"/>
      <c r="M187" s="404"/>
      <c r="N187" s="404"/>
      <c r="O187" s="404"/>
      <c r="P187" s="404"/>
      <c r="Q187" s="404"/>
      <c r="R187" s="404"/>
      <c r="S187" s="404"/>
      <c r="T187" s="462"/>
      <c r="U187" s="404"/>
      <c r="V187" s="405"/>
    </row>
    <row r="188" spans="1:22" x14ac:dyDescent="0.3">
      <c r="A188" s="407"/>
      <c r="B188" s="523" t="s">
        <v>69</v>
      </c>
      <c r="C188" s="409"/>
      <c r="D188" s="409"/>
      <c r="E188" s="409"/>
      <c r="F188" s="409"/>
      <c r="G188" s="409"/>
      <c r="H188" s="409"/>
      <c r="I188" s="409"/>
      <c r="J188" s="409"/>
      <c r="K188" s="409"/>
      <c r="L188" s="409"/>
      <c r="M188" s="409"/>
      <c r="N188" s="409"/>
      <c r="O188" s="409"/>
      <c r="P188" s="409"/>
      <c r="Q188" s="409"/>
      <c r="R188" s="409"/>
      <c r="S188" s="409"/>
      <c r="T188" s="463"/>
      <c r="U188" s="409"/>
      <c r="V188" s="405"/>
    </row>
    <row r="189" spans="1:22" x14ac:dyDescent="0.3">
      <c r="A189" s="418"/>
      <c r="B189" s="532" t="s">
        <v>70</v>
      </c>
      <c r="C189" s="532"/>
      <c r="D189" s="532"/>
      <c r="E189" s="532"/>
      <c r="F189" s="532"/>
      <c r="G189" s="532"/>
      <c r="H189" s="532"/>
      <c r="I189" s="532"/>
      <c r="J189" s="532"/>
      <c r="K189" s="532"/>
      <c r="L189" s="532"/>
      <c r="M189" s="532"/>
      <c r="N189" s="532"/>
      <c r="O189" s="532"/>
      <c r="P189" s="532"/>
      <c r="Q189" s="532"/>
      <c r="R189" s="532"/>
      <c r="S189" s="532"/>
      <c r="T189" s="561">
        <f>(T97+T99+T100+T101+T102+T103)/-(T104+T105+T106)</f>
        <v>2.7987679671457903</v>
      </c>
      <c r="U189" s="562" t="s">
        <v>124</v>
      </c>
      <c r="V189" s="405"/>
    </row>
    <row r="190" spans="1:22" x14ac:dyDescent="0.3">
      <c r="A190" s="418"/>
      <c r="B190" s="532" t="s">
        <v>71</v>
      </c>
      <c r="C190" s="532"/>
      <c r="D190" s="532"/>
      <c r="E190" s="532"/>
      <c r="F190" s="532"/>
      <c r="G190" s="532"/>
      <c r="H190" s="532"/>
      <c r="I190" s="532"/>
      <c r="J190" s="532"/>
      <c r="K190" s="532"/>
      <c r="L190" s="532"/>
      <c r="M190" s="532"/>
      <c r="N190" s="532"/>
      <c r="O190" s="532"/>
      <c r="P190" s="532"/>
      <c r="Q190" s="532"/>
      <c r="R190" s="532"/>
      <c r="S190" s="532"/>
      <c r="T190" s="563">
        <v>1.74</v>
      </c>
      <c r="U190" s="562" t="s">
        <v>124</v>
      </c>
      <c r="V190" s="405"/>
    </row>
    <row r="191" spans="1:22" x14ac:dyDescent="0.3">
      <c r="A191" s="418"/>
      <c r="B191" s="532" t="s">
        <v>72</v>
      </c>
      <c r="C191" s="532"/>
      <c r="D191" s="532"/>
      <c r="E191" s="532"/>
      <c r="F191" s="532"/>
      <c r="G191" s="532"/>
      <c r="H191" s="532"/>
      <c r="I191" s="532"/>
      <c r="J191" s="532"/>
      <c r="K191" s="532"/>
      <c r="L191" s="532"/>
      <c r="M191" s="532"/>
      <c r="N191" s="532"/>
      <c r="O191" s="532"/>
      <c r="P191" s="532"/>
      <c r="Q191" s="532"/>
      <c r="R191" s="532"/>
      <c r="S191" s="532"/>
      <c r="T191" s="561">
        <f>(T97+T99+T100+T101+T102+T103+T104+T105+T106)/-(T107+T108)</f>
        <v>14.847457627118644</v>
      </c>
      <c r="U191" s="562" t="s">
        <v>124</v>
      </c>
      <c r="V191" s="405"/>
    </row>
    <row r="192" spans="1:22" x14ac:dyDescent="0.3">
      <c r="A192" s="418"/>
      <c r="B192" s="532" t="s">
        <v>73</v>
      </c>
      <c r="C192" s="532"/>
      <c r="D192" s="532"/>
      <c r="E192" s="532"/>
      <c r="F192" s="532"/>
      <c r="G192" s="532"/>
      <c r="H192" s="532"/>
      <c r="I192" s="532"/>
      <c r="J192" s="532"/>
      <c r="K192" s="532"/>
      <c r="L192" s="532"/>
      <c r="M192" s="532"/>
      <c r="N192" s="532"/>
      <c r="O192" s="532"/>
      <c r="P192" s="532"/>
      <c r="Q192" s="532"/>
      <c r="R192" s="532"/>
      <c r="S192" s="532"/>
      <c r="T192" s="564">
        <v>10</v>
      </c>
      <c r="U192" s="562" t="s">
        <v>124</v>
      </c>
      <c r="V192" s="405"/>
    </row>
    <row r="193" spans="1:22" x14ac:dyDescent="0.3">
      <c r="A193" s="418"/>
      <c r="B193" s="532" t="s">
        <v>243</v>
      </c>
      <c r="C193" s="532"/>
      <c r="D193" s="532"/>
      <c r="E193" s="532"/>
      <c r="F193" s="532"/>
      <c r="G193" s="532"/>
      <c r="H193" s="532"/>
      <c r="I193" s="532"/>
      <c r="J193" s="532"/>
      <c r="K193" s="532"/>
      <c r="L193" s="532"/>
      <c r="M193" s="532"/>
      <c r="N193" s="532"/>
      <c r="O193" s="532"/>
      <c r="P193" s="532"/>
      <c r="Q193" s="532"/>
      <c r="R193" s="532"/>
      <c r="S193" s="532"/>
      <c r="T193" s="561">
        <f>(T97+T99+T100+T101+T102+T103+T104+T105+T106+T107+T108)/-(T109+T110)</f>
        <v>5.8357142857142854</v>
      </c>
      <c r="U193" s="562" t="s">
        <v>124</v>
      </c>
      <c r="V193" s="405"/>
    </row>
    <row r="194" spans="1:22" x14ac:dyDescent="0.3">
      <c r="A194" s="418"/>
      <c r="B194" s="532" t="s">
        <v>244</v>
      </c>
      <c r="C194" s="532"/>
      <c r="D194" s="532"/>
      <c r="E194" s="532"/>
      <c r="F194" s="532"/>
      <c r="G194" s="532"/>
      <c r="H194" s="532"/>
      <c r="I194" s="532"/>
      <c r="J194" s="532"/>
      <c r="K194" s="532"/>
      <c r="L194" s="532"/>
      <c r="M194" s="532"/>
      <c r="N194" s="532"/>
      <c r="O194" s="532"/>
      <c r="P194" s="532"/>
      <c r="Q194" s="532"/>
      <c r="R194" s="532"/>
      <c r="S194" s="532"/>
      <c r="T194" s="564">
        <v>4.4000000000000004</v>
      </c>
      <c r="U194" s="562" t="s">
        <v>124</v>
      </c>
      <c r="V194" s="405"/>
    </row>
    <row r="195" spans="1:22" x14ac:dyDescent="0.3">
      <c r="A195" s="418"/>
      <c r="B195" s="532"/>
      <c r="C195" s="532"/>
      <c r="D195" s="532"/>
      <c r="E195" s="532"/>
      <c r="F195" s="532"/>
      <c r="G195" s="532"/>
      <c r="H195" s="532"/>
      <c r="I195" s="532"/>
      <c r="J195" s="532"/>
      <c r="K195" s="532"/>
      <c r="L195" s="532"/>
      <c r="M195" s="532"/>
      <c r="N195" s="532"/>
      <c r="O195" s="532"/>
      <c r="P195" s="532"/>
      <c r="Q195" s="532"/>
      <c r="R195" s="532"/>
      <c r="S195" s="532"/>
      <c r="T195" s="532"/>
      <c r="U195" s="562"/>
      <c r="V195" s="405"/>
    </row>
    <row r="196" spans="1:22" x14ac:dyDescent="0.3">
      <c r="A196" s="407"/>
      <c r="B196" s="539"/>
      <c r="C196" s="539"/>
      <c r="D196" s="539"/>
      <c r="E196" s="539"/>
      <c r="F196" s="539"/>
      <c r="G196" s="539"/>
      <c r="H196" s="539"/>
      <c r="I196" s="539"/>
      <c r="J196" s="539"/>
      <c r="K196" s="539"/>
      <c r="L196" s="539"/>
      <c r="M196" s="539"/>
      <c r="N196" s="539"/>
      <c r="O196" s="539"/>
      <c r="P196" s="539"/>
      <c r="Q196" s="539"/>
      <c r="R196" s="539"/>
      <c r="S196" s="539"/>
      <c r="T196" s="539"/>
      <c r="U196" s="539"/>
      <c r="V196" s="405"/>
    </row>
    <row r="197" spans="1:22" x14ac:dyDescent="0.3">
      <c r="A197" s="407"/>
      <c r="B197" s="542"/>
      <c r="C197" s="542"/>
      <c r="D197" s="542"/>
      <c r="E197" s="542"/>
      <c r="F197" s="542"/>
      <c r="G197" s="542"/>
      <c r="H197" s="542"/>
      <c r="I197" s="542"/>
      <c r="J197" s="542"/>
      <c r="K197" s="542"/>
      <c r="L197" s="542"/>
      <c r="M197" s="542"/>
      <c r="N197" s="542"/>
      <c r="O197" s="542"/>
      <c r="P197" s="542"/>
      <c r="Q197" s="542"/>
      <c r="R197" s="542"/>
      <c r="S197" s="542"/>
      <c r="T197" s="542"/>
      <c r="U197" s="542"/>
      <c r="V197" s="405"/>
    </row>
    <row r="198" spans="1:22" ht="18.600000000000001" thickBot="1" x14ac:dyDescent="0.4">
      <c r="A198" s="464"/>
      <c r="B198" s="565" t="str">
        <f>B137</f>
        <v>PM9 INVESTOR REPORT QUARTER ENDING JULY 2019</v>
      </c>
      <c r="C198" s="566"/>
      <c r="D198" s="566"/>
      <c r="E198" s="566"/>
      <c r="F198" s="566"/>
      <c r="G198" s="566"/>
      <c r="H198" s="566"/>
      <c r="I198" s="566"/>
      <c r="J198" s="566"/>
      <c r="K198" s="566"/>
      <c r="L198" s="566"/>
      <c r="M198" s="566"/>
      <c r="N198" s="566"/>
      <c r="O198" s="566"/>
      <c r="P198" s="566"/>
      <c r="Q198" s="566"/>
      <c r="R198" s="566"/>
      <c r="S198" s="566"/>
      <c r="T198" s="566"/>
      <c r="U198" s="567"/>
      <c r="V198" s="405"/>
    </row>
    <row r="199" spans="1:22" x14ac:dyDescent="0.3">
      <c r="A199" s="507"/>
      <c r="B199" s="508" t="s">
        <v>74</v>
      </c>
      <c r="C199" s="511"/>
      <c r="D199" s="511"/>
      <c r="E199" s="511"/>
      <c r="F199" s="511"/>
      <c r="G199" s="512"/>
      <c r="H199" s="512"/>
      <c r="I199" s="512"/>
      <c r="J199" s="512"/>
      <c r="K199" s="512"/>
      <c r="L199" s="512"/>
      <c r="M199" s="512"/>
      <c r="N199" s="512"/>
      <c r="O199" s="512"/>
      <c r="P199" s="512"/>
      <c r="Q199" s="512"/>
      <c r="R199" s="512">
        <v>43677</v>
      </c>
      <c r="S199" s="509"/>
      <c r="T199" s="509"/>
      <c r="U199" s="509"/>
      <c r="V199" s="405"/>
    </row>
    <row r="200" spans="1:22" x14ac:dyDescent="0.3">
      <c r="A200" s="465"/>
      <c r="B200" s="466"/>
      <c r="C200" s="467"/>
      <c r="D200" s="467"/>
      <c r="E200" s="467"/>
      <c r="F200" s="467"/>
      <c r="G200" s="468"/>
      <c r="H200" s="468"/>
      <c r="I200" s="468"/>
      <c r="J200" s="468"/>
      <c r="K200" s="468"/>
      <c r="L200" s="468"/>
      <c r="M200" s="468"/>
      <c r="N200" s="468"/>
      <c r="O200" s="468"/>
      <c r="P200" s="468"/>
      <c r="Q200" s="468"/>
      <c r="R200" s="468"/>
      <c r="S200" s="409"/>
      <c r="T200" s="409"/>
      <c r="U200" s="409"/>
      <c r="V200" s="405"/>
    </row>
    <row r="201" spans="1:22" x14ac:dyDescent="0.3">
      <c r="A201" s="469"/>
      <c r="B201" s="532" t="s">
        <v>75</v>
      </c>
      <c r="C201" s="556"/>
      <c r="D201" s="556"/>
      <c r="E201" s="556"/>
      <c r="F201" s="556"/>
      <c r="G201" s="557"/>
      <c r="H201" s="557"/>
      <c r="I201" s="557"/>
      <c r="J201" s="557"/>
      <c r="K201" s="557"/>
      <c r="L201" s="557"/>
      <c r="M201" s="557"/>
      <c r="N201" s="557"/>
      <c r="O201" s="557"/>
      <c r="P201" s="557"/>
      <c r="Q201" s="557"/>
      <c r="R201" s="558">
        <v>5.8209999999999998E-2</v>
      </c>
      <c r="S201" s="532"/>
      <c r="T201" s="419"/>
      <c r="U201" s="451"/>
      <c r="V201" s="405"/>
    </row>
    <row r="202" spans="1:22" x14ac:dyDescent="0.3">
      <c r="A202" s="469"/>
      <c r="B202" s="532" t="s">
        <v>164</v>
      </c>
      <c r="C202" s="556"/>
      <c r="D202" s="556"/>
      <c r="E202" s="556"/>
      <c r="F202" s="556"/>
      <c r="G202" s="557"/>
      <c r="H202" s="557"/>
      <c r="I202" s="557"/>
      <c r="J202" s="557"/>
      <c r="K202" s="557"/>
      <c r="L202" s="557"/>
      <c r="M202" s="557"/>
      <c r="N202" s="557"/>
      <c r="O202" s="557"/>
      <c r="P202" s="557"/>
      <c r="Q202" s="557"/>
      <c r="R202" s="558">
        <f>'Oct 05'!R193</f>
        <v>4.8438496428571419E-2</v>
      </c>
      <c r="S202" s="532"/>
      <c r="T202" s="419"/>
      <c r="U202" s="451"/>
      <c r="V202" s="405"/>
    </row>
    <row r="203" spans="1:22" x14ac:dyDescent="0.3">
      <c r="A203" s="469"/>
      <c r="B203" s="532" t="s">
        <v>76</v>
      </c>
      <c r="C203" s="556"/>
      <c r="D203" s="556"/>
      <c r="E203" s="556"/>
      <c r="F203" s="556"/>
      <c r="G203" s="557"/>
      <c r="H203" s="557"/>
      <c r="I203" s="557"/>
      <c r="J203" s="557"/>
      <c r="K203" s="557"/>
      <c r="L203" s="557"/>
      <c r="M203" s="557"/>
      <c r="N203" s="557"/>
      <c r="O203" s="557"/>
      <c r="P203" s="557"/>
      <c r="Q203" s="557"/>
      <c r="R203" s="558">
        <f>R201-R202</f>
        <v>9.7715035714285789E-3</v>
      </c>
      <c r="S203" s="532"/>
      <c r="T203" s="419"/>
      <c r="U203" s="451"/>
      <c r="V203" s="405"/>
    </row>
    <row r="204" spans="1:22" x14ac:dyDescent="0.3">
      <c r="A204" s="469"/>
      <c r="B204" s="532" t="s">
        <v>77</v>
      </c>
      <c r="C204" s="556"/>
      <c r="D204" s="556"/>
      <c r="E204" s="556"/>
      <c r="F204" s="556"/>
      <c r="G204" s="557"/>
      <c r="H204" s="557"/>
      <c r="I204" s="557"/>
      <c r="J204" s="557"/>
      <c r="K204" s="557"/>
      <c r="L204" s="557"/>
      <c r="M204" s="557"/>
      <c r="N204" s="557"/>
      <c r="O204" s="557"/>
      <c r="P204" s="557"/>
      <c r="Q204" s="557"/>
      <c r="R204" s="558">
        <v>2.5649999999999999E-2</v>
      </c>
      <c r="S204" s="532"/>
      <c r="T204" s="419"/>
      <c r="U204" s="451"/>
      <c r="V204" s="405"/>
    </row>
    <row r="205" spans="1:22" x14ac:dyDescent="0.3">
      <c r="A205" s="469"/>
      <c r="B205" s="532" t="s">
        <v>257</v>
      </c>
      <c r="C205" s="556"/>
      <c r="D205" s="556"/>
      <c r="E205" s="556"/>
      <c r="F205" s="556"/>
      <c r="G205" s="557"/>
      <c r="H205" s="557"/>
      <c r="I205" s="557"/>
      <c r="J205" s="557"/>
      <c r="K205" s="557"/>
      <c r="L205" s="557"/>
      <c r="M205" s="557"/>
      <c r="N205" s="557"/>
      <c r="O205" s="557"/>
      <c r="P205" s="557"/>
      <c r="Q205" s="557"/>
      <c r="R205" s="558">
        <f>+T41</f>
        <v>1.3002888780438515E-2</v>
      </c>
      <c r="S205" s="532"/>
      <c r="T205" s="419"/>
      <c r="U205" s="451"/>
      <c r="V205" s="405"/>
    </row>
    <row r="206" spans="1:22" x14ac:dyDescent="0.3">
      <c r="A206" s="469"/>
      <c r="B206" s="532" t="s">
        <v>78</v>
      </c>
      <c r="C206" s="556"/>
      <c r="D206" s="556"/>
      <c r="E206" s="556"/>
      <c r="F206" s="556"/>
      <c r="G206" s="557"/>
      <c r="H206" s="557"/>
      <c r="I206" s="557"/>
      <c r="J206" s="557"/>
      <c r="K206" s="557"/>
      <c r="L206" s="557"/>
      <c r="M206" s="557"/>
      <c r="N206" s="557"/>
      <c r="O206" s="557"/>
      <c r="P206" s="557"/>
      <c r="Q206" s="557"/>
      <c r="R206" s="558">
        <f>R204-R205</f>
        <v>1.2647111219561484E-2</v>
      </c>
      <c r="S206" s="532"/>
      <c r="T206" s="419"/>
      <c r="U206" s="451"/>
      <c r="V206" s="405"/>
    </row>
    <row r="207" spans="1:22" x14ac:dyDescent="0.3">
      <c r="A207" s="469"/>
      <c r="B207" s="532" t="s">
        <v>268</v>
      </c>
      <c r="C207" s="556"/>
      <c r="D207" s="556"/>
      <c r="E207" s="556"/>
      <c r="F207" s="556"/>
      <c r="G207" s="557"/>
      <c r="H207" s="557"/>
      <c r="I207" s="557"/>
      <c r="J207" s="557"/>
      <c r="K207" s="557"/>
      <c r="L207" s="557"/>
      <c r="M207" s="557"/>
      <c r="N207" s="557"/>
      <c r="O207" s="557"/>
      <c r="P207" s="557"/>
      <c r="Q207" s="557"/>
      <c r="R207" s="558">
        <f>+T97/L68</f>
        <v>7.0745935211617228E-3</v>
      </c>
      <c r="S207" s="532"/>
      <c r="T207" s="419"/>
      <c r="U207" s="451"/>
      <c r="V207" s="405"/>
    </row>
    <row r="208" spans="1:22" x14ac:dyDescent="0.3">
      <c r="A208" s="469"/>
      <c r="B208" s="532" t="s">
        <v>249</v>
      </c>
      <c r="C208" s="556"/>
      <c r="D208" s="556"/>
      <c r="E208" s="556"/>
      <c r="F208" s="556"/>
      <c r="G208" s="557"/>
      <c r="H208" s="557"/>
      <c r="I208" s="557"/>
      <c r="J208" s="557"/>
      <c r="K208" s="557"/>
      <c r="L208" s="557"/>
      <c r="M208" s="557"/>
      <c r="N208" s="557"/>
      <c r="O208" s="557"/>
      <c r="P208" s="557"/>
      <c r="Q208" s="557"/>
      <c r="R208" s="559">
        <v>51622</v>
      </c>
      <c r="S208" s="532"/>
      <c r="T208" s="419"/>
      <c r="U208" s="451"/>
      <c r="V208" s="405"/>
    </row>
    <row r="209" spans="1:22" x14ac:dyDescent="0.3">
      <c r="A209" s="469"/>
      <c r="B209" s="532" t="s">
        <v>250</v>
      </c>
      <c r="C209" s="556"/>
      <c r="D209" s="556"/>
      <c r="E209" s="556"/>
      <c r="F209" s="556"/>
      <c r="G209" s="557"/>
      <c r="H209" s="557"/>
      <c r="I209" s="557"/>
      <c r="J209" s="557"/>
      <c r="K209" s="557"/>
      <c r="L209" s="557"/>
      <c r="M209" s="557"/>
      <c r="N209" s="557"/>
      <c r="O209" s="557"/>
      <c r="P209" s="557"/>
      <c r="Q209" s="557"/>
      <c r="R209" s="559">
        <v>51622</v>
      </c>
      <c r="S209" s="532"/>
      <c r="T209" s="419"/>
      <c r="U209" s="451"/>
      <c r="V209" s="405"/>
    </row>
    <row r="210" spans="1:22" x14ac:dyDescent="0.3">
      <c r="A210" s="469"/>
      <c r="B210" s="532" t="s">
        <v>251</v>
      </c>
      <c r="C210" s="556"/>
      <c r="D210" s="556"/>
      <c r="E210" s="556"/>
      <c r="F210" s="556"/>
      <c r="G210" s="557"/>
      <c r="H210" s="557"/>
      <c r="I210" s="557"/>
      <c r="J210" s="557"/>
      <c r="K210" s="557"/>
      <c r="L210" s="557"/>
      <c r="M210" s="557"/>
      <c r="N210" s="557"/>
      <c r="O210" s="557"/>
      <c r="P210" s="557"/>
      <c r="Q210" s="557"/>
      <c r="R210" s="559">
        <v>51622</v>
      </c>
      <c r="S210" s="532"/>
      <c r="T210" s="419"/>
      <c r="U210" s="451"/>
      <c r="V210" s="405"/>
    </row>
    <row r="211" spans="1:22" x14ac:dyDescent="0.3">
      <c r="A211" s="469"/>
      <c r="B211" s="532" t="s">
        <v>79</v>
      </c>
      <c r="C211" s="556"/>
      <c r="D211" s="556"/>
      <c r="E211" s="556"/>
      <c r="F211" s="556"/>
      <c r="G211" s="557"/>
      <c r="H211" s="557"/>
      <c r="I211" s="557"/>
      <c r="J211" s="557"/>
      <c r="K211" s="557"/>
      <c r="L211" s="557"/>
      <c r="M211" s="557"/>
      <c r="N211" s="557"/>
      <c r="O211" s="557"/>
      <c r="P211" s="557"/>
      <c r="Q211" s="557"/>
      <c r="R211" s="560">
        <v>20.95</v>
      </c>
      <c r="S211" s="532" t="s">
        <v>119</v>
      </c>
      <c r="T211" s="419"/>
      <c r="U211" s="451"/>
      <c r="V211" s="405"/>
    </row>
    <row r="212" spans="1:22" x14ac:dyDescent="0.3">
      <c r="A212" s="469"/>
      <c r="B212" s="532" t="s">
        <v>80</v>
      </c>
      <c r="C212" s="556"/>
      <c r="D212" s="556"/>
      <c r="E212" s="556"/>
      <c r="F212" s="556"/>
      <c r="G212" s="557"/>
      <c r="H212" s="557"/>
      <c r="I212" s="557"/>
      <c r="J212" s="557"/>
      <c r="K212" s="557"/>
      <c r="L212" s="557"/>
      <c r="M212" s="557"/>
      <c r="N212" s="557"/>
      <c r="O212" s="557"/>
      <c r="P212" s="557"/>
      <c r="Q212" s="557"/>
      <c r="R212" s="560">
        <v>8.58</v>
      </c>
      <c r="S212" s="532" t="s">
        <v>119</v>
      </c>
      <c r="T212" s="419"/>
      <c r="U212" s="451"/>
      <c r="V212" s="405"/>
    </row>
    <row r="213" spans="1:22" x14ac:dyDescent="0.3">
      <c r="A213" s="469"/>
      <c r="B213" s="532" t="s">
        <v>81</v>
      </c>
      <c r="C213" s="556"/>
      <c r="D213" s="556"/>
      <c r="E213" s="556"/>
      <c r="F213" s="556"/>
      <c r="G213" s="557"/>
      <c r="H213" s="557"/>
      <c r="I213" s="557"/>
      <c r="J213" s="557"/>
      <c r="K213" s="557"/>
      <c r="L213" s="557"/>
      <c r="M213" s="557"/>
      <c r="N213" s="557"/>
      <c r="O213" s="557"/>
      <c r="P213" s="557"/>
      <c r="Q213" s="557"/>
      <c r="R213" s="558">
        <f>N65/L65</f>
        <v>1.8641219770672422E-2</v>
      </c>
      <c r="S213" s="532"/>
      <c r="T213" s="419"/>
      <c r="U213" s="451"/>
      <c r="V213" s="405"/>
    </row>
    <row r="214" spans="1:22" x14ac:dyDescent="0.3">
      <c r="A214" s="469"/>
      <c r="B214" s="532" t="s">
        <v>82</v>
      </c>
      <c r="C214" s="556"/>
      <c r="D214" s="556"/>
      <c r="E214" s="556"/>
      <c r="F214" s="556"/>
      <c r="G214" s="557"/>
      <c r="H214" s="557"/>
      <c r="I214" s="557"/>
      <c r="J214" s="557"/>
      <c r="K214" s="557"/>
      <c r="L214" s="557"/>
      <c r="M214" s="557"/>
      <c r="N214" s="557"/>
      <c r="O214" s="557"/>
      <c r="P214" s="557"/>
      <c r="Q214" s="557"/>
      <c r="R214" s="558">
        <v>9.0800000000000006E-2</v>
      </c>
      <c r="S214" s="532"/>
      <c r="T214" s="419"/>
      <c r="U214" s="451"/>
      <c r="V214" s="405"/>
    </row>
    <row r="215" spans="1:22" x14ac:dyDescent="0.3">
      <c r="A215" s="465"/>
      <c r="B215" s="431"/>
      <c r="C215" s="431"/>
      <c r="D215" s="431"/>
      <c r="E215" s="431"/>
      <c r="F215" s="431"/>
      <c r="G215" s="431"/>
      <c r="H215" s="431"/>
      <c r="I215" s="431"/>
      <c r="J215" s="431"/>
      <c r="K215" s="431"/>
      <c r="L215" s="431"/>
      <c r="M215" s="431"/>
      <c r="N215" s="431"/>
      <c r="O215" s="431"/>
      <c r="P215" s="431"/>
      <c r="Q215" s="431"/>
      <c r="R215" s="461"/>
      <c r="S215" s="431"/>
      <c r="T215" s="470"/>
      <c r="U215" s="444"/>
      <c r="V215" s="405"/>
    </row>
    <row r="216" spans="1:22" x14ac:dyDescent="0.3">
      <c r="A216" s="513"/>
      <c r="B216" s="612" t="s">
        <v>83</v>
      </c>
      <c r="C216" s="613"/>
      <c r="D216" s="613"/>
      <c r="E216" s="613"/>
      <c r="F216" s="620"/>
      <c r="G216" s="613"/>
      <c r="H216" s="613"/>
      <c r="I216" s="613"/>
      <c r="J216" s="613"/>
      <c r="K216" s="613"/>
      <c r="L216" s="613"/>
      <c r="M216" s="613"/>
      <c r="N216" s="613"/>
      <c r="O216" s="613"/>
      <c r="P216" s="613"/>
      <c r="Q216" s="613" t="s">
        <v>108</v>
      </c>
      <c r="R216" s="620" t="s">
        <v>115</v>
      </c>
      <c r="S216" s="608"/>
      <c r="T216" s="608"/>
      <c r="U216" s="611"/>
      <c r="V216" s="405"/>
    </row>
    <row r="217" spans="1:22" x14ac:dyDescent="0.3">
      <c r="A217" s="487"/>
      <c r="B217" s="539" t="s">
        <v>84</v>
      </c>
      <c r="C217" s="455"/>
      <c r="D217" s="455"/>
      <c r="E217" s="455"/>
      <c r="F217" s="431"/>
      <c r="G217" s="431"/>
      <c r="H217" s="616"/>
      <c r="I217" s="616"/>
      <c r="J217" s="616"/>
      <c r="K217" s="616"/>
      <c r="L217" s="616"/>
      <c r="M217" s="616"/>
      <c r="N217" s="616"/>
      <c r="O217" s="616"/>
      <c r="P217" s="616"/>
      <c r="Q217" s="617">
        <v>1</v>
      </c>
      <c r="R217" s="618">
        <v>236</v>
      </c>
      <c r="S217" s="431"/>
      <c r="T217" s="470"/>
      <c r="U217" s="619"/>
      <c r="V217" s="405"/>
    </row>
    <row r="218" spans="1:22" x14ac:dyDescent="0.3">
      <c r="A218" s="471"/>
      <c r="B218" s="532" t="s">
        <v>156</v>
      </c>
      <c r="C218" s="443"/>
      <c r="D218" s="443"/>
      <c r="E218" s="443"/>
      <c r="F218" s="419"/>
      <c r="G218" s="419"/>
      <c r="H218" s="422"/>
      <c r="I218" s="422"/>
      <c r="J218" s="422"/>
      <c r="K218" s="422"/>
      <c r="L218" s="422"/>
      <c r="M218" s="422"/>
      <c r="N218" s="422"/>
      <c r="O218" s="422"/>
      <c r="P218" s="422"/>
      <c r="Q218" s="555">
        <f>+P269</f>
        <v>27</v>
      </c>
      <c r="R218" s="553">
        <f>+R269</f>
        <v>3409</v>
      </c>
      <c r="S218" s="419"/>
      <c r="T218" s="472"/>
      <c r="U218" s="473"/>
      <c r="V218" s="405"/>
    </row>
    <row r="219" spans="1:22" x14ac:dyDescent="0.3">
      <c r="A219" s="471"/>
      <c r="B219" s="532" t="s">
        <v>85</v>
      </c>
      <c r="C219" s="443"/>
      <c r="D219" s="443"/>
      <c r="E219" s="443"/>
      <c r="F219" s="419"/>
      <c r="G219" s="419"/>
      <c r="H219" s="422"/>
      <c r="I219" s="422"/>
      <c r="J219" s="422"/>
      <c r="K219" s="422"/>
      <c r="L219" s="422"/>
      <c r="M219" s="422"/>
      <c r="N219" s="422"/>
      <c r="O219" s="422"/>
      <c r="P219" s="422"/>
      <c r="Q219" s="555">
        <f>+P281</f>
        <v>0</v>
      </c>
      <c r="R219" s="553">
        <f>+R281</f>
        <v>0</v>
      </c>
      <c r="S219" s="419"/>
      <c r="T219" s="472"/>
      <c r="U219" s="473"/>
      <c r="V219" s="405"/>
    </row>
    <row r="220" spans="1:22" x14ac:dyDescent="0.3">
      <c r="A220" s="471"/>
      <c r="B220" s="514" t="s">
        <v>86</v>
      </c>
      <c r="C220" s="474"/>
      <c r="D220" s="474"/>
      <c r="E220" s="474"/>
      <c r="F220" s="448"/>
      <c r="G220" s="448"/>
      <c r="H220" s="448"/>
      <c r="I220" s="448"/>
      <c r="J220" s="448"/>
      <c r="K220" s="448"/>
      <c r="L220" s="448"/>
      <c r="M220" s="448"/>
      <c r="N220" s="448"/>
      <c r="O220" s="448"/>
      <c r="P220" s="448"/>
      <c r="Q220" s="532"/>
      <c r="R220" s="553">
        <v>0</v>
      </c>
      <c r="S220" s="448"/>
      <c r="T220" s="475"/>
      <c r="U220" s="473"/>
      <c r="V220" s="405"/>
    </row>
    <row r="221" spans="1:22" x14ac:dyDescent="0.3">
      <c r="A221" s="471"/>
      <c r="B221" s="514" t="s">
        <v>87</v>
      </c>
      <c r="C221" s="474"/>
      <c r="D221" s="474"/>
      <c r="E221" s="474"/>
      <c r="F221" s="448"/>
      <c r="G221" s="448"/>
      <c r="H221" s="448"/>
      <c r="I221" s="448"/>
      <c r="J221" s="448"/>
      <c r="K221" s="448"/>
      <c r="L221" s="448"/>
      <c r="M221" s="448"/>
      <c r="N221" s="448"/>
      <c r="O221" s="448"/>
      <c r="P221" s="448"/>
      <c r="Q221" s="532"/>
      <c r="R221" s="554" t="s">
        <v>116</v>
      </c>
      <c r="S221" s="448"/>
      <c r="T221" s="475"/>
      <c r="U221" s="473"/>
      <c r="V221" s="405"/>
    </row>
    <row r="222" spans="1:22" x14ac:dyDescent="0.3">
      <c r="A222" s="476"/>
      <c r="B222" s="514" t="s">
        <v>88</v>
      </c>
      <c r="C222" s="477"/>
      <c r="D222" s="477"/>
      <c r="E222" s="477"/>
      <c r="F222" s="477"/>
      <c r="G222" s="448"/>
      <c r="H222" s="448"/>
      <c r="I222" s="448"/>
      <c r="J222" s="448"/>
      <c r="K222" s="448"/>
      <c r="L222" s="448"/>
      <c r="M222" s="448"/>
      <c r="N222" s="448"/>
      <c r="O222" s="448"/>
      <c r="P222" s="448"/>
      <c r="Q222" s="448"/>
      <c r="R222" s="478"/>
      <c r="S222" s="448"/>
      <c r="T222" s="475"/>
      <c r="U222" s="479"/>
      <c r="V222" s="405"/>
    </row>
    <row r="223" spans="1:22" x14ac:dyDescent="0.3">
      <c r="A223" s="476"/>
      <c r="B223" s="532" t="s">
        <v>89</v>
      </c>
      <c r="C223" s="532"/>
      <c r="D223" s="532"/>
      <c r="E223" s="532"/>
      <c r="F223" s="532"/>
      <c r="G223" s="532"/>
      <c r="H223" s="532"/>
      <c r="I223" s="532"/>
      <c r="J223" s="532"/>
      <c r="K223" s="532"/>
      <c r="L223" s="532"/>
      <c r="M223" s="532"/>
      <c r="N223" s="532"/>
      <c r="O223" s="532"/>
      <c r="P223" s="532"/>
      <c r="Q223" s="552"/>
      <c r="R223" s="553">
        <f>T167</f>
        <v>109</v>
      </c>
      <c r="S223" s="419"/>
      <c r="T223" s="475"/>
      <c r="U223" s="479"/>
      <c r="V223" s="405"/>
    </row>
    <row r="224" spans="1:22" x14ac:dyDescent="0.3">
      <c r="A224" s="471"/>
      <c r="B224" s="532" t="s">
        <v>90</v>
      </c>
      <c r="C224" s="531"/>
      <c r="D224" s="531"/>
      <c r="E224" s="531"/>
      <c r="F224" s="531"/>
      <c r="G224" s="532"/>
      <c r="H224" s="532"/>
      <c r="I224" s="532"/>
      <c r="J224" s="532"/>
      <c r="K224" s="532"/>
      <c r="L224" s="532"/>
      <c r="M224" s="532"/>
      <c r="N224" s="532"/>
      <c r="O224" s="532"/>
      <c r="P224" s="532"/>
      <c r="Q224" s="552"/>
      <c r="R224" s="553">
        <f>'April 19'!R221+'July 19'!R223</f>
        <v>4518</v>
      </c>
      <c r="S224" s="419"/>
      <c r="T224" s="475"/>
      <c r="U224" s="479"/>
      <c r="V224" s="405"/>
    </row>
    <row r="225" spans="1:23" x14ac:dyDescent="0.3">
      <c r="A225" s="476"/>
      <c r="B225" s="514" t="s">
        <v>288</v>
      </c>
      <c r="C225" s="477"/>
      <c r="D225" s="477"/>
      <c r="E225" s="477"/>
      <c r="F225" s="477"/>
      <c r="G225" s="448"/>
      <c r="H225" s="448"/>
      <c r="I225" s="448"/>
      <c r="J225" s="448"/>
      <c r="K225" s="448"/>
      <c r="L225" s="448"/>
      <c r="M225" s="448"/>
      <c r="N225" s="448"/>
      <c r="O225" s="448"/>
      <c r="P225" s="448"/>
      <c r="Q225" s="480"/>
      <c r="R225" s="478"/>
      <c r="S225" s="448"/>
      <c r="T225" s="475"/>
      <c r="U225" s="479"/>
      <c r="V225" s="405"/>
    </row>
    <row r="226" spans="1:23" x14ac:dyDescent="0.3">
      <c r="A226" s="481"/>
      <c r="B226" s="532" t="s">
        <v>286</v>
      </c>
      <c r="C226" s="532"/>
      <c r="D226" s="532"/>
      <c r="E226" s="532"/>
      <c r="F226" s="532"/>
      <c r="G226" s="532"/>
      <c r="H226" s="532"/>
      <c r="I226" s="532"/>
      <c r="J226" s="532"/>
      <c r="K226" s="532"/>
      <c r="L226" s="532"/>
      <c r="M226" s="532"/>
      <c r="N226" s="532"/>
      <c r="O226" s="532"/>
      <c r="P226" s="532"/>
      <c r="Q226" s="552">
        <v>0</v>
      </c>
      <c r="R226" s="553">
        <v>0</v>
      </c>
      <c r="S226" s="419"/>
      <c r="T226" s="472"/>
      <c r="U226" s="479"/>
      <c r="V226" s="405"/>
    </row>
    <row r="227" spans="1:23" x14ac:dyDescent="0.3">
      <c r="A227" s="482"/>
      <c r="B227" s="532" t="s">
        <v>92</v>
      </c>
      <c r="C227" s="550"/>
      <c r="D227" s="550"/>
      <c r="E227" s="550"/>
      <c r="F227" s="551"/>
      <c r="G227" s="532"/>
      <c r="H227" s="532"/>
      <c r="I227" s="532"/>
      <c r="J227" s="532"/>
      <c r="K227" s="532"/>
      <c r="L227" s="532"/>
      <c r="M227" s="532"/>
      <c r="N227" s="532"/>
      <c r="O227" s="532"/>
      <c r="P227" s="532"/>
      <c r="Q227" s="552"/>
      <c r="R227" s="554">
        <v>0</v>
      </c>
      <c r="S227" s="419"/>
      <c r="T227" s="472"/>
      <c r="U227" s="479"/>
      <c r="V227" s="405"/>
    </row>
    <row r="228" spans="1:23" x14ac:dyDescent="0.3">
      <c r="A228" s="482"/>
      <c r="B228" s="532" t="s">
        <v>93</v>
      </c>
      <c r="C228" s="550"/>
      <c r="D228" s="550"/>
      <c r="E228" s="550"/>
      <c r="F228" s="551"/>
      <c r="G228" s="532"/>
      <c r="H228" s="532"/>
      <c r="I228" s="532"/>
      <c r="J228" s="532"/>
      <c r="K228" s="532"/>
      <c r="L228" s="532"/>
      <c r="M228" s="532"/>
      <c r="N228" s="532"/>
      <c r="O228" s="532"/>
      <c r="P228" s="532"/>
      <c r="Q228" s="552"/>
      <c r="R228" s="554">
        <v>0</v>
      </c>
      <c r="S228" s="419"/>
      <c r="T228" s="472"/>
      <c r="U228" s="479"/>
      <c r="V228" s="405"/>
    </row>
    <row r="229" spans="1:23" x14ac:dyDescent="0.3">
      <c r="A229" s="471"/>
      <c r="B229" s="514" t="s">
        <v>258</v>
      </c>
      <c r="C229" s="483"/>
      <c r="D229" s="483"/>
      <c r="E229" s="483"/>
      <c r="F229" s="484"/>
      <c r="G229" s="448"/>
      <c r="H229" s="448"/>
      <c r="I229" s="448"/>
      <c r="J229" s="448"/>
      <c r="K229" s="448"/>
      <c r="L229" s="448"/>
      <c r="M229" s="448"/>
      <c r="N229" s="448"/>
      <c r="O229" s="448"/>
      <c r="P229" s="448"/>
      <c r="Q229" s="480"/>
      <c r="R229" s="485"/>
      <c r="S229" s="448"/>
      <c r="T229" s="475"/>
      <c r="U229" s="479"/>
      <c r="V229" s="405"/>
    </row>
    <row r="230" spans="1:23" x14ac:dyDescent="0.3">
      <c r="A230" s="482"/>
      <c r="B230" s="532" t="s">
        <v>286</v>
      </c>
      <c r="C230" s="550"/>
      <c r="D230" s="550"/>
      <c r="E230" s="550"/>
      <c r="F230" s="551"/>
      <c r="G230" s="532"/>
      <c r="H230" s="532"/>
      <c r="I230" s="532"/>
      <c r="J230" s="532"/>
      <c r="K230" s="532"/>
      <c r="L230" s="532"/>
      <c r="M230" s="532"/>
      <c r="N230" s="532"/>
      <c r="O230" s="532"/>
      <c r="P230" s="532"/>
      <c r="Q230" s="552">
        <v>3</v>
      </c>
      <c r="R230" s="553">
        <v>409</v>
      </c>
      <c r="S230" s="419"/>
      <c r="T230" s="475"/>
      <c r="U230" s="479"/>
      <c r="V230" s="405"/>
    </row>
    <row r="231" spans="1:23" x14ac:dyDescent="0.3">
      <c r="A231" s="482"/>
      <c r="B231" s="532" t="s">
        <v>259</v>
      </c>
      <c r="C231" s="550"/>
      <c r="D231" s="550"/>
      <c r="E231" s="550"/>
      <c r="F231" s="551"/>
      <c r="G231" s="532"/>
      <c r="H231" s="532"/>
      <c r="I231" s="532"/>
      <c r="J231" s="532"/>
      <c r="K231" s="532"/>
      <c r="L231" s="532"/>
      <c r="M231" s="532"/>
      <c r="N231" s="532"/>
      <c r="O231" s="532"/>
      <c r="P231" s="532"/>
      <c r="Q231" s="532"/>
      <c r="R231" s="554">
        <v>1.01</v>
      </c>
      <c r="S231" s="419"/>
      <c r="T231" s="475"/>
      <c r="U231" s="479"/>
      <c r="V231" s="405"/>
    </row>
    <row r="232" spans="1:23" x14ac:dyDescent="0.3">
      <c r="A232" s="471"/>
      <c r="B232" s="477"/>
      <c r="C232" s="483"/>
      <c r="D232" s="483"/>
      <c r="E232" s="483"/>
      <c r="F232" s="484"/>
      <c r="G232" s="448"/>
      <c r="H232" s="448"/>
      <c r="I232" s="448"/>
      <c r="J232" s="448"/>
      <c r="K232" s="448"/>
      <c r="L232" s="448"/>
      <c r="M232" s="448"/>
      <c r="N232" s="448"/>
      <c r="O232" s="448"/>
      <c r="P232" s="448"/>
      <c r="Q232" s="448"/>
      <c r="R232" s="486"/>
      <c r="S232" s="448"/>
      <c r="T232" s="475"/>
      <c r="U232" s="479"/>
      <c r="V232" s="405"/>
    </row>
    <row r="233" spans="1:23" ht="18" x14ac:dyDescent="0.35">
      <c r="A233" s="471"/>
      <c r="B233" s="530" t="s">
        <v>208</v>
      </c>
      <c r="C233" s="483"/>
      <c r="D233" s="483"/>
      <c r="E233" s="483"/>
      <c r="F233" s="484"/>
      <c r="G233" s="448"/>
      <c r="H233" s="448"/>
      <c r="I233" s="448"/>
      <c r="J233" s="448"/>
      <c r="K233" s="448"/>
      <c r="L233" s="448"/>
      <c r="M233" s="448"/>
      <c r="N233" s="603" t="s">
        <v>347</v>
      </c>
      <c r="O233" s="448"/>
      <c r="P233" s="448"/>
      <c r="Q233" s="448"/>
      <c r="R233" s="486"/>
      <c r="S233" s="448"/>
      <c r="T233" s="475"/>
      <c r="U233" s="479"/>
      <c r="V233" s="405"/>
    </row>
    <row r="234" spans="1:23" x14ac:dyDescent="0.3">
      <c r="A234" s="487"/>
      <c r="B234" s="488"/>
      <c r="C234" s="489"/>
      <c r="D234" s="489"/>
      <c r="E234" s="489"/>
      <c r="F234" s="490"/>
      <c r="G234" s="444"/>
      <c r="H234" s="444"/>
      <c r="I234" s="444"/>
      <c r="J234" s="444"/>
      <c r="K234" s="444"/>
      <c r="L234" s="444"/>
      <c r="M234" s="444"/>
      <c r="N234" s="444"/>
      <c r="O234" s="444"/>
      <c r="P234" s="444"/>
      <c r="Q234" s="444"/>
      <c r="R234" s="491"/>
      <c r="S234" s="444"/>
      <c r="T234" s="492"/>
      <c r="U234" s="493"/>
      <c r="V234" s="405"/>
    </row>
    <row r="235" spans="1:23" x14ac:dyDescent="0.3">
      <c r="A235" s="503"/>
      <c r="B235" s="612" t="s">
        <v>302</v>
      </c>
      <c r="C235" s="613"/>
      <c r="D235" s="613"/>
      <c r="E235" s="613"/>
      <c r="F235" s="620"/>
      <c r="G235" s="613"/>
      <c r="H235" s="613"/>
      <c r="I235" s="613"/>
      <c r="J235" s="613"/>
      <c r="K235" s="613"/>
      <c r="L235" s="613"/>
      <c r="M235" s="613"/>
      <c r="N235" s="613"/>
      <c r="O235" s="613"/>
      <c r="P235" s="620" t="s">
        <v>108</v>
      </c>
      <c r="Q235" s="613" t="s">
        <v>109</v>
      </c>
      <c r="R235" s="620" t="s">
        <v>117</v>
      </c>
      <c r="S235" s="613" t="s">
        <v>109</v>
      </c>
      <c r="T235" s="608"/>
      <c r="U235" s="626"/>
      <c r="V235" s="405"/>
    </row>
    <row r="236" spans="1:23" x14ac:dyDescent="0.3">
      <c r="A236" s="430"/>
      <c r="B236" s="572" t="s">
        <v>94</v>
      </c>
      <c r="C236" s="621"/>
      <c r="D236" s="621"/>
      <c r="E236" s="621"/>
      <c r="F236" s="539"/>
      <c r="G236" s="621"/>
      <c r="H236" s="621"/>
      <c r="I236" s="621"/>
      <c r="J236" s="621"/>
      <c r="K236" s="621"/>
      <c r="L236" s="621"/>
      <c r="M236" s="621"/>
      <c r="N236" s="621"/>
      <c r="O236" s="621"/>
      <c r="P236" s="622">
        <f t="shared" ref="P236:P243" si="1">+P248+P260+P272</f>
        <v>1682</v>
      </c>
      <c r="Q236" s="623">
        <f t="shared" ref="Q236:Q243" si="2">P236/$P$245</f>
        <v>0.99233038348082592</v>
      </c>
      <c r="R236" s="624">
        <f t="shared" ref="R236:R243" si="3">+R248+R260+R272</f>
        <v>203379</v>
      </c>
      <c r="S236" s="623">
        <f t="shared" ref="S236:S243" si="4">R236/$R$245</f>
        <v>0.98930814244784193</v>
      </c>
      <c r="T236" s="470"/>
      <c r="U236" s="625"/>
      <c r="V236" s="405"/>
    </row>
    <row r="237" spans="1:23" x14ac:dyDescent="0.3">
      <c r="A237" s="428"/>
      <c r="B237" s="531" t="s">
        <v>95</v>
      </c>
      <c r="C237" s="549"/>
      <c r="D237" s="549"/>
      <c r="E237" s="549"/>
      <c r="F237" s="532"/>
      <c r="G237" s="534"/>
      <c r="H237" s="549"/>
      <c r="I237" s="549"/>
      <c r="J237" s="549"/>
      <c r="K237" s="549"/>
      <c r="L237" s="549"/>
      <c r="M237" s="549"/>
      <c r="N237" s="549"/>
      <c r="O237" s="549"/>
      <c r="P237" s="531">
        <f t="shared" si="1"/>
        <v>8</v>
      </c>
      <c r="Q237" s="534">
        <f t="shared" si="2"/>
        <v>4.71976401179941E-3</v>
      </c>
      <c r="R237" s="535">
        <f t="shared" si="3"/>
        <v>1140</v>
      </c>
      <c r="S237" s="534">
        <f t="shared" si="4"/>
        <v>5.5453674292357605E-3</v>
      </c>
      <c r="T237" s="472"/>
      <c r="U237" s="494"/>
      <c r="V237" s="405"/>
      <c r="W237" s="452"/>
    </row>
    <row r="238" spans="1:23" x14ac:dyDescent="0.3">
      <c r="A238" s="428"/>
      <c r="B238" s="531" t="s">
        <v>96</v>
      </c>
      <c r="C238" s="549"/>
      <c r="D238" s="549"/>
      <c r="E238" s="549"/>
      <c r="F238" s="532"/>
      <c r="G238" s="534"/>
      <c r="H238" s="549"/>
      <c r="I238" s="549"/>
      <c r="J238" s="549"/>
      <c r="K238" s="549"/>
      <c r="L238" s="549"/>
      <c r="M238" s="549"/>
      <c r="N238" s="549"/>
      <c r="O238" s="549"/>
      <c r="P238" s="531">
        <f t="shared" si="1"/>
        <v>2</v>
      </c>
      <c r="Q238" s="534">
        <f t="shared" si="2"/>
        <v>1.1799410029498525E-3</v>
      </c>
      <c r="R238" s="535">
        <f t="shared" si="3"/>
        <v>688</v>
      </c>
      <c r="S238" s="534">
        <f t="shared" si="4"/>
        <v>3.3466778871177223E-3</v>
      </c>
      <c r="T238" s="472"/>
      <c r="U238" s="494"/>
      <c r="V238" s="405"/>
    </row>
    <row r="239" spans="1:23" x14ac:dyDescent="0.3">
      <c r="A239" s="428"/>
      <c r="B239" s="531" t="s">
        <v>171</v>
      </c>
      <c r="C239" s="549"/>
      <c r="D239" s="549"/>
      <c r="E239" s="549"/>
      <c r="F239" s="532"/>
      <c r="G239" s="534"/>
      <c r="H239" s="549"/>
      <c r="I239" s="549"/>
      <c r="J239" s="549"/>
      <c r="K239" s="549"/>
      <c r="L239" s="549"/>
      <c r="M239" s="549"/>
      <c r="N239" s="549"/>
      <c r="O239" s="549"/>
      <c r="P239" s="531">
        <f t="shared" si="1"/>
        <v>1</v>
      </c>
      <c r="Q239" s="534">
        <f t="shared" si="2"/>
        <v>5.8997050147492625E-4</v>
      </c>
      <c r="R239" s="535">
        <f t="shared" si="3"/>
        <v>52</v>
      </c>
      <c r="S239" s="534">
        <f t="shared" si="4"/>
        <v>2.5294658449145576E-4</v>
      </c>
      <c r="T239" s="472"/>
      <c r="U239" s="494"/>
      <c r="V239" s="405"/>
      <c r="W239" s="452"/>
    </row>
    <row r="240" spans="1:23" x14ac:dyDescent="0.3">
      <c r="A240" s="428"/>
      <c r="B240" s="531" t="s">
        <v>172</v>
      </c>
      <c r="C240" s="549"/>
      <c r="D240" s="549"/>
      <c r="E240" s="549"/>
      <c r="F240" s="532"/>
      <c r="G240" s="534"/>
      <c r="H240" s="549"/>
      <c r="I240" s="549"/>
      <c r="J240" s="549"/>
      <c r="K240" s="549"/>
      <c r="L240" s="549"/>
      <c r="M240" s="549"/>
      <c r="N240" s="549"/>
      <c r="O240" s="549"/>
      <c r="P240" s="531">
        <f t="shared" si="1"/>
        <v>1</v>
      </c>
      <c r="Q240" s="534">
        <f t="shared" si="2"/>
        <v>5.8997050147492625E-4</v>
      </c>
      <c r="R240" s="535">
        <f t="shared" si="3"/>
        <v>236</v>
      </c>
      <c r="S240" s="534">
        <f t="shared" si="4"/>
        <v>1.1479883449996837E-3</v>
      </c>
      <c r="T240" s="472"/>
      <c r="U240" s="494"/>
      <c r="V240" s="405"/>
    </row>
    <row r="241" spans="1:23" x14ac:dyDescent="0.3">
      <c r="A241" s="428"/>
      <c r="B241" s="531" t="s">
        <v>173</v>
      </c>
      <c r="C241" s="549"/>
      <c r="D241" s="549"/>
      <c r="E241" s="549"/>
      <c r="F241" s="532"/>
      <c r="G241" s="534"/>
      <c r="H241" s="549"/>
      <c r="I241" s="549"/>
      <c r="J241" s="549"/>
      <c r="K241" s="549"/>
      <c r="L241" s="549"/>
      <c r="M241" s="549"/>
      <c r="N241" s="549"/>
      <c r="O241" s="549"/>
      <c r="P241" s="531">
        <f t="shared" si="1"/>
        <v>0</v>
      </c>
      <c r="Q241" s="534">
        <f t="shared" si="2"/>
        <v>0</v>
      </c>
      <c r="R241" s="535">
        <f t="shared" si="3"/>
        <v>0</v>
      </c>
      <c r="S241" s="534">
        <f t="shared" si="4"/>
        <v>0</v>
      </c>
      <c r="T241" s="472"/>
      <c r="U241" s="494"/>
      <c r="V241" s="405"/>
      <c r="W241" s="452"/>
    </row>
    <row r="242" spans="1:23" x14ac:dyDescent="0.3">
      <c r="A242" s="428"/>
      <c r="B242" s="531" t="s">
        <v>174</v>
      </c>
      <c r="C242" s="549"/>
      <c r="D242" s="549"/>
      <c r="E242" s="549"/>
      <c r="F242" s="532"/>
      <c r="G242" s="534"/>
      <c r="H242" s="549"/>
      <c r="I242" s="549"/>
      <c r="J242" s="549"/>
      <c r="K242" s="549"/>
      <c r="L242" s="549"/>
      <c r="M242" s="549"/>
      <c r="N242" s="549"/>
      <c r="O242" s="549"/>
      <c r="P242" s="531">
        <f t="shared" si="1"/>
        <v>1</v>
      </c>
      <c r="Q242" s="534">
        <f t="shared" si="2"/>
        <v>5.8997050147492625E-4</v>
      </c>
      <c r="R242" s="535">
        <f t="shared" si="3"/>
        <v>82</v>
      </c>
      <c r="S242" s="534">
        <f t="shared" si="4"/>
        <v>3.9887730631344944E-4</v>
      </c>
      <c r="T242" s="472"/>
      <c r="U242" s="494"/>
      <c r="V242" s="405"/>
    </row>
    <row r="243" spans="1:23" x14ac:dyDescent="0.3">
      <c r="A243" s="428"/>
      <c r="B243" s="531" t="s">
        <v>175</v>
      </c>
      <c r="C243" s="549"/>
      <c r="D243" s="549"/>
      <c r="E243" s="549"/>
      <c r="F243" s="532"/>
      <c r="G243" s="534"/>
      <c r="H243" s="549"/>
      <c r="I243" s="549"/>
      <c r="J243" s="549"/>
      <c r="K243" s="549"/>
      <c r="L243" s="549"/>
      <c r="M243" s="549"/>
      <c r="N243" s="549"/>
      <c r="O243" s="549"/>
      <c r="P243" s="531">
        <f t="shared" si="1"/>
        <v>0</v>
      </c>
      <c r="Q243" s="534">
        <f t="shared" si="2"/>
        <v>0</v>
      </c>
      <c r="R243" s="535">
        <f t="shared" si="3"/>
        <v>0</v>
      </c>
      <c r="S243" s="534">
        <f t="shared" si="4"/>
        <v>0</v>
      </c>
      <c r="T243" s="472"/>
      <c r="U243" s="494"/>
      <c r="V243" s="405"/>
      <c r="W243" s="452"/>
    </row>
    <row r="244" spans="1:23" x14ac:dyDescent="0.3">
      <c r="A244" s="428"/>
      <c r="B244" s="531"/>
      <c r="C244" s="549"/>
      <c r="D244" s="549"/>
      <c r="E244" s="549"/>
      <c r="F244" s="532"/>
      <c r="G244" s="534"/>
      <c r="H244" s="549"/>
      <c r="I244" s="549"/>
      <c r="J244" s="549"/>
      <c r="K244" s="549"/>
      <c r="L244" s="549"/>
      <c r="M244" s="549"/>
      <c r="N244" s="549"/>
      <c r="O244" s="549"/>
      <c r="P244" s="531"/>
      <c r="Q244" s="534"/>
      <c r="R244" s="535"/>
      <c r="S244" s="534"/>
      <c r="T244" s="472"/>
      <c r="U244" s="494"/>
      <c r="V244" s="405"/>
    </row>
    <row r="245" spans="1:23" x14ac:dyDescent="0.3">
      <c r="A245" s="428"/>
      <c r="B245" s="532"/>
      <c r="C245" s="532"/>
      <c r="D245" s="532"/>
      <c r="E245" s="532"/>
      <c r="F245" s="532"/>
      <c r="G245" s="532"/>
      <c r="H245" s="533"/>
      <c r="I245" s="533"/>
      <c r="J245" s="533"/>
      <c r="K245" s="533"/>
      <c r="L245" s="533"/>
      <c r="M245" s="533"/>
      <c r="N245" s="533"/>
      <c r="O245" s="533"/>
      <c r="P245" s="531">
        <f>SUM(P236:P244)</f>
        <v>1695</v>
      </c>
      <c r="Q245" s="534">
        <f>SUM(Q236:Q244)</f>
        <v>0.99999999999999989</v>
      </c>
      <c r="R245" s="535">
        <f>SUM(R236:R244)</f>
        <v>205577</v>
      </c>
      <c r="S245" s="534">
        <f>SUM(S236:S244)</f>
        <v>1</v>
      </c>
      <c r="T245" s="419"/>
      <c r="U245" s="420"/>
      <c r="V245" s="405"/>
    </row>
    <row r="246" spans="1:23" x14ac:dyDescent="0.3">
      <c r="A246" s="487"/>
      <c r="B246" s="488"/>
      <c r="C246" s="489"/>
      <c r="D246" s="489"/>
      <c r="E246" s="489"/>
      <c r="F246" s="490"/>
      <c r="G246" s="444"/>
      <c r="H246" s="444"/>
      <c r="I246" s="444"/>
      <c r="J246" s="444"/>
      <c r="K246" s="444"/>
      <c r="L246" s="444"/>
      <c r="M246" s="444"/>
      <c r="N246" s="444"/>
      <c r="O246" s="444"/>
      <c r="P246" s="444"/>
      <c r="Q246" s="444"/>
      <c r="R246" s="491"/>
      <c r="S246" s="444"/>
      <c r="T246" s="492"/>
      <c r="U246" s="493"/>
      <c r="V246" s="405"/>
    </row>
    <row r="247" spans="1:23" x14ac:dyDescent="0.3">
      <c r="A247" s="503"/>
      <c r="B247" s="612" t="s">
        <v>177</v>
      </c>
      <c r="C247" s="613"/>
      <c r="D247" s="613"/>
      <c r="E247" s="613"/>
      <c r="F247" s="620"/>
      <c r="G247" s="613"/>
      <c r="H247" s="613"/>
      <c r="I247" s="613"/>
      <c r="J247" s="613"/>
      <c r="K247" s="613"/>
      <c r="L247" s="613"/>
      <c r="M247" s="613"/>
      <c r="N247" s="613"/>
      <c r="O247" s="613"/>
      <c r="P247" s="620" t="s">
        <v>108</v>
      </c>
      <c r="Q247" s="613" t="s">
        <v>109</v>
      </c>
      <c r="R247" s="620" t="s">
        <v>117</v>
      </c>
      <c r="S247" s="613" t="s">
        <v>109</v>
      </c>
      <c r="T247" s="608"/>
      <c r="U247" s="626"/>
      <c r="V247" s="405"/>
    </row>
    <row r="248" spans="1:23" x14ac:dyDescent="0.3">
      <c r="A248" s="430"/>
      <c r="B248" s="572" t="s">
        <v>94</v>
      </c>
      <c r="C248" s="621"/>
      <c r="D248" s="621"/>
      <c r="E248" s="621"/>
      <c r="F248" s="539"/>
      <c r="G248" s="621"/>
      <c r="H248" s="621"/>
      <c r="I248" s="621"/>
      <c r="J248" s="621"/>
      <c r="K248" s="621"/>
      <c r="L248" s="621"/>
      <c r="M248" s="621"/>
      <c r="N248" s="621"/>
      <c r="O248" s="621"/>
      <c r="P248" s="572">
        <v>1659</v>
      </c>
      <c r="Q248" s="627">
        <f t="shared" ref="Q248:Q255" si="5">P248/$P$257</f>
        <v>0.99460431654676262</v>
      </c>
      <c r="R248" s="541">
        <v>200272</v>
      </c>
      <c r="S248" s="627">
        <f t="shared" ref="S248:S255" si="6">R248/$R$257</f>
        <v>0.99062166119267148</v>
      </c>
      <c r="T248" s="470"/>
      <c r="U248" s="625"/>
      <c r="V248" s="405"/>
    </row>
    <row r="249" spans="1:23" x14ac:dyDescent="0.3">
      <c r="A249" s="428"/>
      <c r="B249" s="531" t="s">
        <v>95</v>
      </c>
      <c r="C249" s="549"/>
      <c r="D249" s="549"/>
      <c r="E249" s="549"/>
      <c r="F249" s="532"/>
      <c r="G249" s="534"/>
      <c r="H249" s="549"/>
      <c r="I249" s="549"/>
      <c r="J249" s="549"/>
      <c r="K249" s="549"/>
      <c r="L249" s="549"/>
      <c r="M249" s="549"/>
      <c r="N249" s="549"/>
      <c r="O249" s="549"/>
      <c r="P249" s="531">
        <v>6</v>
      </c>
      <c r="Q249" s="534">
        <f t="shared" si="5"/>
        <v>3.5971223021582736E-3</v>
      </c>
      <c r="R249" s="535">
        <v>972</v>
      </c>
      <c r="S249" s="534">
        <f t="shared" si="6"/>
        <v>4.8078825531241345E-3</v>
      </c>
      <c r="T249" s="472"/>
      <c r="U249" s="494"/>
      <c r="V249" s="405"/>
      <c r="W249" s="452"/>
    </row>
    <row r="250" spans="1:23" x14ac:dyDescent="0.3">
      <c r="A250" s="428"/>
      <c r="B250" s="531" t="s">
        <v>96</v>
      </c>
      <c r="C250" s="549"/>
      <c r="D250" s="549"/>
      <c r="E250" s="549"/>
      <c r="F250" s="532"/>
      <c r="G250" s="534"/>
      <c r="H250" s="549"/>
      <c r="I250" s="549"/>
      <c r="J250" s="549"/>
      <c r="K250" s="549"/>
      <c r="L250" s="549"/>
      <c r="M250" s="549"/>
      <c r="N250" s="549"/>
      <c r="O250" s="549"/>
      <c r="P250" s="531">
        <v>2</v>
      </c>
      <c r="Q250" s="534">
        <f t="shared" si="5"/>
        <v>1.199040767386091E-3</v>
      </c>
      <c r="R250" s="535">
        <v>688</v>
      </c>
      <c r="S250" s="534">
        <f t="shared" si="6"/>
        <v>3.4031102845158484E-3</v>
      </c>
      <c r="T250" s="472"/>
      <c r="U250" s="494"/>
      <c r="V250" s="405"/>
    </row>
    <row r="251" spans="1:23" x14ac:dyDescent="0.3">
      <c r="A251" s="428"/>
      <c r="B251" s="531" t="s">
        <v>171</v>
      </c>
      <c r="C251" s="549"/>
      <c r="D251" s="549"/>
      <c r="E251" s="549"/>
      <c r="F251" s="532"/>
      <c r="G251" s="534"/>
      <c r="H251" s="549"/>
      <c r="I251" s="549"/>
      <c r="J251" s="549"/>
      <c r="K251" s="549"/>
      <c r="L251" s="549"/>
      <c r="M251" s="549"/>
      <c r="N251" s="549"/>
      <c r="O251" s="549"/>
      <c r="P251" s="531">
        <v>0</v>
      </c>
      <c r="Q251" s="534">
        <f t="shared" si="5"/>
        <v>0</v>
      </c>
      <c r="R251" s="535">
        <v>0</v>
      </c>
      <c r="S251" s="534">
        <f t="shared" si="6"/>
        <v>0</v>
      </c>
      <c r="T251" s="472"/>
      <c r="U251" s="494"/>
      <c r="V251" s="405"/>
      <c r="W251" s="452"/>
    </row>
    <row r="252" spans="1:23" x14ac:dyDescent="0.3">
      <c r="A252" s="428"/>
      <c r="B252" s="531" t="s">
        <v>172</v>
      </c>
      <c r="C252" s="549"/>
      <c r="D252" s="549"/>
      <c r="E252" s="549"/>
      <c r="F252" s="532"/>
      <c r="G252" s="534"/>
      <c r="H252" s="549"/>
      <c r="I252" s="549"/>
      <c r="J252" s="549"/>
      <c r="K252" s="549"/>
      <c r="L252" s="549"/>
      <c r="M252" s="549"/>
      <c r="N252" s="549"/>
      <c r="O252" s="549"/>
      <c r="P252" s="531">
        <v>1</v>
      </c>
      <c r="Q252" s="534">
        <f t="shared" si="5"/>
        <v>5.9952038369304552E-4</v>
      </c>
      <c r="R252" s="535">
        <v>236</v>
      </c>
      <c r="S252" s="534">
        <f t="shared" si="6"/>
        <v>1.1673459696885759E-3</v>
      </c>
      <c r="T252" s="472"/>
      <c r="U252" s="494"/>
      <c r="V252" s="405"/>
    </row>
    <row r="253" spans="1:23" x14ac:dyDescent="0.3">
      <c r="A253" s="428"/>
      <c r="B253" s="531" t="s">
        <v>173</v>
      </c>
      <c r="C253" s="549"/>
      <c r="D253" s="549"/>
      <c r="E253" s="549"/>
      <c r="F253" s="532"/>
      <c r="G253" s="534"/>
      <c r="H253" s="549"/>
      <c r="I253" s="549"/>
      <c r="J253" s="549"/>
      <c r="K253" s="549"/>
      <c r="L253" s="549"/>
      <c r="M253" s="549"/>
      <c r="N253" s="549"/>
      <c r="O253" s="549"/>
      <c r="P253" s="531">
        <v>0</v>
      </c>
      <c r="Q253" s="534">
        <f t="shared" si="5"/>
        <v>0</v>
      </c>
      <c r="R253" s="535">
        <v>0</v>
      </c>
      <c r="S253" s="534">
        <f t="shared" si="6"/>
        <v>0</v>
      </c>
      <c r="T253" s="472"/>
      <c r="U253" s="494"/>
      <c r="V253" s="405"/>
      <c r="W253" s="452"/>
    </row>
    <row r="254" spans="1:23" x14ac:dyDescent="0.3">
      <c r="A254" s="428"/>
      <c r="B254" s="531" t="s">
        <v>174</v>
      </c>
      <c r="C254" s="549"/>
      <c r="D254" s="549"/>
      <c r="E254" s="549"/>
      <c r="F254" s="532"/>
      <c r="G254" s="534"/>
      <c r="H254" s="549"/>
      <c r="I254" s="549"/>
      <c r="J254" s="549"/>
      <c r="K254" s="549"/>
      <c r="L254" s="549"/>
      <c r="M254" s="549"/>
      <c r="N254" s="549"/>
      <c r="O254" s="549"/>
      <c r="P254" s="531">
        <v>0</v>
      </c>
      <c r="Q254" s="534">
        <f t="shared" si="5"/>
        <v>0</v>
      </c>
      <c r="R254" s="535">
        <v>0</v>
      </c>
      <c r="S254" s="534">
        <f t="shared" si="6"/>
        <v>0</v>
      </c>
      <c r="T254" s="472"/>
      <c r="U254" s="494"/>
      <c r="V254" s="405"/>
    </row>
    <row r="255" spans="1:23" x14ac:dyDescent="0.3">
      <c r="A255" s="428"/>
      <c r="B255" s="531" t="s">
        <v>175</v>
      </c>
      <c r="C255" s="549"/>
      <c r="D255" s="549"/>
      <c r="E255" s="549"/>
      <c r="F255" s="532"/>
      <c r="G255" s="534"/>
      <c r="H255" s="549"/>
      <c r="I255" s="549"/>
      <c r="J255" s="549"/>
      <c r="K255" s="549"/>
      <c r="L255" s="549"/>
      <c r="M255" s="549"/>
      <c r="N255" s="549"/>
      <c r="O255" s="549"/>
      <c r="P255" s="531">
        <v>0</v>
      </c>
      <c r="Q255" s="534">
        <f t="shared" si="5"/>
        <v>0</v>
      </c>
      <c r="R255" s="535">
        <v>0</v>
      </c>
      <c r="S255" s="534">
        <f t="shared" si="6"/>
        <v>0</v>
      </c>
      <c r="T255" s="472"/>
      <c r="U255" s="494"/>
      <c r="V255" s="405"/>
      <c r="W255" s="452"/>
    </row>
    <row r="256" spans="1:23" x14ac:dyDescent="0.3">
      <c r="A256" s="428"/>
      <c r="B256" s="531"/>
      <c r="C256" s="549"/>
      <c r="D256" s="549"/>
      <c r="E256" s="549"/>
      <c r="F256" s="532"/>
      <c r="G256" s="534"/>
      <c r="H256" s="549"/>
      <c r="I256" s="549"/>
      <c r="J256" s="549"/>
      <c r="K256" s="549"/>
      <c r="L256" s="549"/>
      <c r="M256" s="549"/>
      <c r="N256" s="549"/>
      <c r="O256" s="549"/>
      <c r="P256" s="531"/>
      <c r="Q256" s="534"/>
      <c r="R256" s="535"/>
      <c r="S256" s="534"/>
      <c r="T256" s="472"/>
      <c r="U256" s="494"/>
      <c r="V256" s="405"/>
    </row>
    <row r="257" spans="1:22" x14ac:dyDescent="0.3">
      <c r="A257" s="428"/>
      <c r="B257" s="532"/>
      <c r="C257" s="532"/>
      <c r="D257" s="532"/>
      <c r="E257" s="532"/>
      <c r="F257" s="532"/>
      <c r="G257" s="532"/>
      <c r="H257" s="533"/>
      <c r="I257" s="533"/>
      <c r="J257" s="533"/>
      <c r="K257" s="533"/>
      <c r="L257" s="533"/>
      <c r="M257" s="533"/>
      <c r="N257" s="533"/>
      <c r="O257" s="533"/>
      <c r="P257" s="531">
        <f>SUM(P248:P256)</f>
        <v>1668</v>
      </c>
      <c r="Q257" s="534">
        <f>SUM(Q248:Q256)</f>
        <v>1</v>
      </c>
      <c r="R257" s="535">
        <f>SUM(R248:R256)</f>
        <v>202168</v>
      </c>
      <c r="S257" s="534">
        <f>SUM(S248:S256)</f>
        <v>1</v>
      </c>
      <c r="T257" s="419"/>
      <c r="U257" s="420"/>
      <c r="V257" s="405"/>
    </row>
    <row r="258" spans="1:22" x14ac:dyDescent="0.3">
      <c r="A258" s="407"/>
      <c r="B258" s="444"/>
      <c r="C258" s="444"/>
      <c r="D258" s="444"/>
      <c r="E258" s="444"/>
      <c r="F258" s="444"/>
      <c r="G258" s="444"/>
      <c r="H258" s="495"/>
      <c r="I258" s="495"/>
      <c r="J258" s="495"/>
      <c r="K258" s="495"/>
      <c r="L258" s="495"/>
      <c r="M258" s="495"/>
      <c r="N258" s="495"/>
      <c r="O258" s="495"/>
      <c r="P258" s="445"/>
      <c r="Q258" s="496"/>
      <c r="R258" s="497"/>
      <c r="S258" s="496"/>
      <c r="T258" s="444"/>
      <c r="U258" s="444"/>
      <c r="V258" s="405"/>
    </row>
    <row r="259" spans="1:22" x14ac:dyDescent="0.3">
      <c r="A259" s="503"/>
      <c r="B259" s="612" t="s">
        <v>279</v>
      </c>
      <c r="C259" s="613"/>
      <c r="D259" s="613"/>
      <c r="E259" s="613"/>
      <c r="F259" s="620"/>
      <c r="G259" s="613"/>
      <c r="H259" s="613"/>
      <c r="I259" s="613"/>
      <c r="J259" s="613"/>
      <c r="K259" s="613"/>
      <c r="L259" s="613"/>
      <c r="M259" s="613"/>
      <c r="N259" s="613"/>
      <c r="O259" s="613"/>
      <c r="P259" s="620" t="s">
        <v>108</v>
      </c>
      <c r="Q259" s="613" t="s">
        <v>109</v>
      </c>
      <c r="R259" s="620" t="s">
        <v>117</v>
      </c>
      <c r="S259" s="613" t="s">
        <v>109</v>
      </c>
      <c r="T259" s="608"/>
      <c r="U259" s="611"/>
      <c r="V259" s="405"/>
    </row>
    <row r="260" spans="1:22" x14ac:dyDescent="0.3">
      <c r="A260" s="430"/>
      <c r="B260" s="572" t="s">
        <v>94</v>
      </c>
      <c r="C260" s="621"/>
      <c r="D260" s="621"/>
      <c r="E260" s="621"/>
      <c r="F260" s="539"/>
      <c r="G260" s="621"/>
      <c r="H260" s="621"/>
      <c r="I260" s="621"/>
      <c r="J260" s="621"/>
      <c r="K260" s="621"/>
      <c r="L260" s="621"/>
      <c r="M260" s="621"/>
      <c r="N260" s="621"/>
      <c r="O260" s="621"/>
      <c r="P260" s="572">
        <v>23</v>
      </c>
      <c r="Q260" s="627">
        <f t="shared" ref="Q260:Q267" si="7">P260/$P$269</f>
        <v>0.85185185185185186</v>
      </c>
      <c r="R260" s="541">
        <v>3107</v>
      </c>
      <c r="S260" s="627">
        <f t="shared" ref="S260:S267" si="8">R260/$R$269</f>
        <v>0.91141097095922563</v>
      </c>
      <c r="T260" s="431"/>
      <c r="U260" s="444"/>
      <c r="V260" s="405"/>
    </row>
    <row r="261" spans="1:22" x14ac:dyDescent="0.3">
      <c r="A261" s="428"/>
      <c r="B261" s="531" t="s">
        <v>95</v>
      </c>
      <c r="C261" s="549"/>
      <c r="D261" s="549"/>
      <c r="E261" s="549"/>
      <c r="F261" s="532"/>
      <c r="G261" s="534"/>
      <c r="H261" s="549"/>
      <c r="I261" s="549"/>
      <c r="J261" s="549"/>
      <c r="K261" s="549"/>
      <c r="L261" s="549"/>
      <c r="M261" s="549"/>
      <c r="N261" s="549"/>
      <c r="O261" s="549"/>
      <c r="P261" s="531">
        <v>2</v>
      </c>
      <c r="Q261" s="534">
        <f t="shared" si="7"/>
        <v>7.407407407407407E-2</v>
      </c>
      <c r="R261" s="535">
        <v>168</v>
      </c>
      <c r="S261" s="534">
        <f t="shared" si="8"/>
        <v>4.9281314168377825E-2</v>
      </c>
      <c r="T261" s="419"/>
      <c r="U261" s="451"/>
      <c r="V261" s="405"/>
    </row>
    <row r="262" spans="1:22" x14ac:dyDescent="0.3">
      <c r="A262" s="428"/>
      <c r="B262" s="531" t="s">
        <v>96</v>
      </c>
      <c r="C262" s="549"/>
      <c r="D262" s="549"/>
      <c r="E262" s="549"/>
      <c r="F262" s="532"/>
      <c r="G262" s="534"/>
      <c r="H262" s="549"/>
      <c r="I262" s="549"/>
      <c r="J262" s="549"/>
      <c r="K262" s="549"/>
      <c r="L262" s="549"/>
      <c r="M262" s="549"/>
      <c r="N262" s="549"/>
      <c r="O262" s="549"/>
      <c r="P262" s="531">
        <v>0</v>
      </c>
      <c r="Q262" s="534">
        <f t="shared" si="7"/>
        <v>0</v>
      </c>
      <c r="R262" s="535">
        <v>0</v>
      </c>
      <c r="S262" s="534">
        <f t="shared" si="8"/>
        <v>0</v>
      </c>
      <c r="T262" s="419"/>
      <c r="U262" s="451"/>
      <c r="V262" s="405"/>
    </row>
    <row r="263" spans="1:22" x14ac:dyDescent="0.3">
      <c r="A263" s="428"/>
      <c r="B263" s="531" t="s">
        <v>171</v>
      </c>
      <c r="C263" s="549"/>
      <c r="D263" s="549"/>
      <c r="E263" s="549"/>
      <c r="F263" s="532"/>
      <c r="G263" s="534"/>
      <c r="H263" s="549"/>
      <c r="I263" s="549"/>
      <c r="J263" s="549"/>
      <c r="K263" s="549"/>
      <c r="L263" s="549"/>
      <c r="M263" s="549"/>
      <c r="N263" s="549"/>
      <c r="O263" s="549"/>
      <c r="P263" s="531">
        <v>1</v>
      </c>
      <c r="Q263" s="534">
        <f t="shared" si="7"/>
        <v>3.7037037037037035E-2</v>
      </c>
      <c r="R263" s="535">
        <v>52</v>
      </c>
      <c r="S263" s="534">
        <f t="shared" si="8"/>
        <v>1.5253740099735994E-2</v>
      </c>
      <c r="T263" s="419"/>
      <c r="U263" s="451"/>
      <c r="V263" s="405"/>
    </row>
    <row r="264" spans="1:22" x14ac:dyDescent="0.3">
      <c r="A264" s="428"/>
      <c r="B264" s="531" t="s">
        <v>172</v>
      </c>
      <c r="C264" s="549"/>
      <c r="D264" s="549"/>
      <c r="E264" s="549"/>
      <c r="F264" s="532"/>
      <c r="G264" s="534"/>
      <c r="H264" s="549"/>
      <c r="I264" s="549"/>
      <c r="J264" s="549"/>
      <c r="K264" s="549"/>
      <c r="L264" s="549"/>
      <c r="M264" s="549"/>
      <c r="N264" s="549"/>
      <c r="O264" s="549"/>
      <c r="P264" s="531">
        <v>0</v>
      </c>
      <c r="Q264" s="534">
        <f t="shared" si="7"/>
        <v>0</v>
      </c>
      <c r="R264" s="535">
        <v>0</v>
      </c>
      <c r="S264" s="534">
        <f t="shared" si="8"/>
        <v>0</v>
      </c>
      <c r="T264" s="419"/>
      <c r="U264" s="451"/>
      <c r="V264" s="405"/>
    </row>
    <row r="265" spans="1:22" x14ac:dyDescent="0.3">
      <c r="A265" s="428"/>
      <c r="B265" s="531" t="s">
        <v>173</v>
      </c>
      <c r="C265" s="549"/>
      <c r="D265" s="549"/>
      <c r="E265" s="549"/>
      <c r="F265" s="532"/>
      <c r="G265" s="534"/>
      <c r="H265" s="549"/>
      <c r="I265" s="549"/>
      <c r="J265" s="549"/>
      <c r="K265" s="549"/>
      <c r="L265" s="549"/>
      <c r="M265" s="549"/>
      <c r="N265" s="549"/>
      <c r="O265" s="549"/>
      <c r="P265" s="531">
        <v>0</v>
      </c>
      <c r="Q265" s="534">
        <f t="shared" si="7"/>
        <v>0</v>
      </c>
      <c r="R265" s="535">
        <v>0</v>
      </c>
      <c r="S265" s="534">
        <f t="shared" si="8"/>
        <v>0</v>
      </c>
      <c r="T265" s="419"/>
      <c r="U265" s="451"/>
      <c r="V265" s="405"/>
    </row>
    <row r="266" spans="1:22" x14ac:dyDescent="0.3">
      <c r="A266" s="428"/>
      <c r="B266" s="531" t="s">
        <v>174</v>
      </c>
      <c r="C266" s="549"/>
      <c r="D266" s="549"/>
      <c r="E266" s="549"/>
      <c r="F266" s="532"/>
      <c r="G266" s="534"/>
      <c r="H266" s="549"/>
      <c r="I266" s="549"/>
      <c r="J266" s="549"/>
      <c r="K266" s="549"/>
      <c r="L266" s="549"/>
      <c r="M266" s="549"/>
      <c r="N266" s="549"/>
      <c r="O266" s="549"/>
      <c r="P266" s="531">
        <v>1</v>
      </c>
      <c r="Q266" s="534">
        <f t="shared" si="7"/>
        <v>3.7037037037037035E-2</v>
      </c>
      <c r="R266" s="535">
        <v>82</v>
      </c>
      <c r="S266" s="534">
        <f t="shared" si="8"/>
        <v>2.4053974772660604E-2</v>
      </c>
      <c r="T266" s="419"/>
      <c r="U266" s="451"/>
      <c r="V266" s="405"/>
    </row>
    <row r="267" spans="1:22" x14ac:dyDescent="0.3">
      <c r="A267" s="428"/>
      <c r="B267" s="531" t="s">
        <v>175</v>
      </c>
      <c r="C267" s="549"/>
      <c r="D267" s="549"/>
      <c r="E267" s="549"/>
      <c r="F267" s="532"/>
      <c r="G267" s="534"/>
      <c r="H267" s="549"/>
      <c r="I267" s="549"/>
      <c r="J267" s="549"/>
      <c r="K267" s="549"/>
      <c r="L267" s="549"/>
      <c r="M267" s="549"/>
      <c r="N267" s="549"/>
      <c r="O267" s="549"/>
      <c r="P267" s="531">
        <v>0</v>
      </c>
      <c r="Q267" s="534">
        <f t="shared" si="7"/>
        <v>0</v>
      </c>
      <c r="R267" s="535">
        <v>0</v>
      </c>
      <c r="S267" s="534">
        <f t="shared" si="8"/>
        <v>0</v>
      </c>
      <c r="T267" s="419"/>
      <c r="U267" s="451"/>
      <c r="V267" s="405"/>
    </row>
    <row r="268" spans="1:22" x14ac:dyDescent="0.3">
      <c r="A268" s="428"/>
      <c r="B268" s="531"/>
      <c r="C268" s="549"/>
      <c r="D268" s="549"/>
      <c r="E268" s="549"/>
      <c r="F268" s="532"/>
      <c r="G268" s="534"/>
      <c r="H268" s="549"/>
      <c r="I268" s="549"/>
      <c r="J268" s="549"/>
      <c r="K268" s="549"/>
      <c r="L268" s="549"/>
      <c r="M268" s="549"/>
      <c r="N268" s="549"/>
      <c r="O268" s="549"/>
      <c r="P268" s="531"/>
      <c r="Q268" s="534"/>
      <c r="R268" s="535"/>
      <c r="S268" s="534"/>
      <c r="T268" s="419"/>
      <c r="U268" s="451"/>
      <c r="V268" s="405"/>
    </row>
    <row r="269" spans="1:22" x14ac:dyDescent="0.3">
      <c r="A269" s="428"/>
      <c r="B269" s="532"/>
      <c r="C269" s="532"/>
      <c r="D269" s="532"/>
      <c r="E269" s="532"/>
      <c r="F269" s="532"/>
      <c r="G269" s="532"/>
      <c r="H269" s="533"/>
      <c r="I269" s="533"/>
      <c r="J269" s="533"/>
      <c r="K269" s="533"/>
      <c r="L269" s="533"/>
      <c r="M269" s="533"/>
      <c r="N269" s="533"/>
      <c r="O269" s="533"/>
      <c r="P269" s="531">
        <f>SUM(P260:P268)</f>
        <v>27</v>
      </c>
      <c r="Q269" s="534">
        <f>SUM(Q260:Q268)</f>
        <v>1</v>
      </c>
      <c r="R269" s="535">
        <f>SUM(R260:R268)</f>
        <v>3409</v>
      </c>
      <c r="S269" s="534">
        <f>SUM(S260:S268)</f>
        <v>1</v>
      </c>
      <c r="T269" s="419"/>
      <c r="U269" s="451"/>
      <c r="V269" s="405"/>
    </row>
    <row r="270" spans="1:22" x14ac:dyDescent="0.3">
      <c r="A270" s="430"/>
      <c r="B270" s="431"/>
      <c r="C270" s="431"/>
      <c r="D270" s="431"/>
      <c r="E270" s="431"/>
      <c r="F270" s="431"/>
      <c r="G270" s="431"/>
      <c r="H270" s="498"/>
      <c r="I270" s="498"/>
      <c r="J270" s="498"/>
      <c r="K270" s="498"/>
      <c r="L270" s="498"/>
      <c r="M270" s="498"/>
      <c r="N270" s="498"/>
      <c r="O270" s="498"/>
      <c r="P270" s="455"/>
      <c r="Q270" s="499"/>
      <c r="R270" s="500"/>
      <c r="S270" s="499"/>
      <c r="T270" s="431"/>
      <c r="U270" s="444"/>
      <c r="V270" s="405"/>
    </row>
    <row r="271" spans="1:22" x14ac:dyDescent="0.3">
      <c r="A271" s="503"/>
      <c r="B271" s="612" t="s">
        <v>179</v>
      </c>
      <c r="C271" s="608"/>
      <c r="D271" s="608"/>
      <c r="E271" s="608"/>
      <c r="F271" s="608"/>
      <c r="G271" s="608"/>
      <c r="H271" s="628"/>
      <c r="I271" s="628"/>
      <c r="J271" s="628"/>
      <c r="K271" s="628"/>
      <c r="L271" s="628"/>
      <c r="M271" s="628"/>
      <c r="N271" s="628"/>
      <c r="O271" s="628"/>
      <c r="P271" s="620" t="s">
        <v>108</v>
      </c>
      <c r="Q271" s="613" t="s">
        <v>109</v>
      </c>
      <c r="R271" s="620" t="s">
        <v>117</v>
      </c>
      <c r="S271" s="613" t="s">
        <v>109</v>
      </c>
      <c r="T271" s="608"/>
      <c r="U271" s="611"/>
      <c r="V271" s="405"/>
    </row>
    <row r="272" spans="1:22" x14ac:dyDescent="0.3">
      <c r="A272" s="430"/>
      <c r="B272" s="572" t="s">
        <v>94</v>
      </c>
      <c r="C272" s="539"/>
      <c r="D272" s="539"/>
      <c r="E272" s="539"/>
      <c r="F272" s="539"/>
      <c r="G272" s="539"/>
      <c r="H272" s="540"/>
      <c r="I272" s="540"/>
      <c r="J272" s="540"/>
      <c r="K272" s="540"/>
      <c r="L272" s="540"/>
      <c r="M272" s="540"/>
      <c r="N272" s="540"/>
      <c r="O272" s="540"/>
      <c r="P272" s="572">
        <v>0</v>
      </c>
      <c r="Q272" s="627">
        <v>0</v>
      </c>
      <c r="R272" s="541">
        <v>0</v>
      </c>
      <c r="S272" s="627">
        <v>0</v>
      </c>
      <c r="T272" s="431"/>
      <c r="U272" s="444"/>
      <c r="V272" s="405"/>
    </row>
    <row r="273" spans="1:22" x14ac:dyDescent="0.3">
      <c r="A273" s="428"/>
      <c r="B273" s="531" t="s">
        <v>95</v>
      </c>
      <c r="C273" s="532"/>
      <c r="D273" s="532"/>
      <c r="E273" s="532"/>
      <c r="F273" s="532"/>
      <c r="G273" s="532"/>
      <c r="H273" s="533"/>
      <c r="I273" s="533"/>
      <c r="J273" s="533"/>
      <c r="K273" s="533"/>
      <c r="L273" s="533"/>
      <c r="M273" s="533"/>
      <c r="N273" s="533"/>
      <c r="O273" s="533"/>
      <c r="P273" s="531">
        <v>0</v>
      </c>
      <c r="Q273" s="534">
        <v>0</v>
      </c>
      <c r="R273" s="535">
        <v>0</v>
      </c>
      <c r="S273" s="534">
        <v>0</v>
      </c>
      <c r="T273" s="419"/>
      <c r="U273" s="451"/>
      <c r="V273" s="405"/>
    </row>
    <row r="274" spans="1:22" x14ac:dyDescent="0.3">
      <c r="A274" s="428"/>
      <c r="B274" s="531" t="s">
        <v>96</v>
      </c>
      <c r="C274" s="532"/>
      <c r="D274" s="532"/>
      <c r="E274" s="532"/>
      <c r="F274" s="532"/>
      <c r="G274" s="532"/>
      <c r="H274" s="533"/>
      <c r="I274" s="533"/>
      <c r="J274" s="533"/>
      <c r="K274" s="533"/>
      <c r="L274" s="533"/>
      <c r="M274" s="533"/>
      <c r="N274" s="533"/>
      <c r="O274" s="533"/>
      <c r="P274" s="531">
        <v>0</v>
      </c>
      <c r="Q274" s="534">
        <v>0</v>
      </c>
      <c r="R274" s="535">
        <v>0</v>
      </c>
      <c r="S274" s="534">
        <v>0</v>
      </c>
      <c r="T274" s="419"/>
      <c r="U274" s="451"/>
      <c r="V274" s="405"/>
    </row>
    <row r="275" spans="1:22" x14ac:dyDescent="0.3">
      <c r="A275" s="428"/>
      <c r="B275" s="531" t="s">
        <v>171</v>
      </c>
      <c r="C275" s="532"/>
      <c r="D275" s="532"/>
      <c r="E275" s="532"/>
      <c r="F275" s="532"/>
      <c r="G275" s="532"/>
      <c r="H275" s="533"/>
      <c r="I275" s="533"/>
      <c r="J275" s="533"/>
      <c r="K275" s="533"/>
      <c r="L275" s="533"/>
      <c r="M275" s="533"/>
      <c r="N275" s="533"/>
      <c r="O275" s="533"/>
      <c r="P275" s="531">
        <v>0</v>
      </c>
      <c r="Q275" s="534">
        <v>0</v>
      </c>
      <c r="R275" s="535">
        <v>0</v>
      </c>
      <c r="S275" s="534">
        <v>0</v>
      </c>
      <c r="T275" s="419"/>
      <c r="U275" s="451"/>
      <c r="V275" s="405"/>
    </row>
    <row r="276" spans="1:22" x14ac:dyDescent="0.3">
      <c r="A276" s="428"/>
      <c r="B276" s="531" t="s">
        <v>172</v>
      </c>
      <c r="C276" s="532"/>
      <c r="D276" s="532"/>
      <c r="E276" s="532"/>
      <c r="F276" s="532"/>
      <c r="G276" s="532"/>
      <c r="H276" s="533"/>
      <c r="I276" s="533"/>
      <c r="J276" s="533"/>
      <c r="K276" s="533"/>
      <c r="L276" s="533"/>
      <c r="M276" s="533"/>
      <c r="N276" s="533"/>
      <c r="O276" s="533"/>
      <c r="P276" s="531">
        <v>0</v>
      </c>
      <c r="Q276" s="534">
        <v>0</v>
      </c>
      <c r="R276" s="535">
        <v>0</v>
      </c>
      <c r="S276" s="534">
        <v>0</v>
      </c>
      <c r="T276" s="419"/>
      <c r="U276" s="451"/>
      <c r="V276" s="405"/>
    </row>
    <row r="277" spans="1:22" x14ac:dyDescent="0.3">
      <c r="A277" s="428"/>
      <c r="B277" s="531" t="s">
        <v>173</v>
      </c>
      <c r="C277" s="532"/>
      <c r="D277" s="532"/>
      <c r="E277" s="532"/>
      <c r="F277" s="532"/>
      <c r="G277" s="532"/>
      <c r="H277" s="533"/>
      <c r="I277" s="533"/>
      <c r="J277" s="533"/>
      <c r="K277" s="533"/>
      <c r="L277" s="533"/>
      <c r="M277" s="533"/>
      <c r="N277" s="533"/>
      <c r="O277" s="533"/>
      <c r="P277" s="531">
        <v>0</v>
      </c>
      <c r="Q277" s="534">
        <v>0</v>
      </c>
      <c r="R277" s="535">
        <v>0</v>
      </c>
      <c r="S277" s="534">
        <v>0</v>
      </c>
      <c r="T277" s="419"/>
      <c r="U277" s="451"/>
      <c r="V277" s="405"/>
    </row>
    <row r="278" spans="1:22" x14ac:dyDescent="0.3">
      <c r="A278" s="428"/>
      <c r="B278" s="531" t="s">
        <v>174</v>
      </c>
      <c r="C278" s="532"/>
      <c r="D278" s="532"/>
      <c r="E278" s="532"/>
      <c r="F278" s="532"/>
      <c r="G278" s="532"/>
      <c r="H278" s="533"/>
      <c r="I278" s="533"/>
      <c r="J278" s="533"/>
      <c r="K278" s="533"/>
      <c r="L278" s="533"/>
      <c r="M278" s="533"/>
      <c r="N278" s="533"/>
      <c r="O278" s="533"/>
      <c r="P278" s="531">
        <v>0</v>
      </c>
      <c r="Q278" s="534">
        <v>0</v>
      </c>
      <c r="R278" s="535">
        <v>0</v>
      </c>
      <c r="S278" s="534">
        <v>0</v>
      </c>
      <c r="T278" s="419"/>
      <c r="U278" s="451"/>
      <c r="V278" s="405"/>
    </row>
    <row r="279" spans="1:22" x14ac:dyDescent="0.3">
      <c r="A279" s="428"/>
      <c r="B279" s="531" t="s">
        <v>175</v>
      </c>
      <c r="C279" s="532"/>
      <c r="D279" s="532"/>
      <c r="E279" s="532"/>
      <c r="F279" s="532"/>
      <c r="G279" s="532"/>
      <c r="H279" s="533"/>
      <c r="I279" s="533"/>
      <c r="J279" s="533"/>
      <c r="K279" s="533"/>
      <c r="L279" s="533"/>
      <c r="M279" s="533"/>
      <c r="N279" s="533"/>
      <c r="O279" s="533"/>
      <c r="P279" s="531">
        <v>0</v>
      </c>
      <c r="Q279" s="534">
        <v>0</v>
      </c>
      <c r="R279" s="535">
        <v>0</v>
      </c>
      <c r="S279" s="534">
        <v>0</v>
      </c>
      <c r="T279" s="419"/>
      <c r="U279" s="451"/>
      <c r="V279" s="405"/>
    </row>
    <row r="280" spans="1:22" x14ac:dyDescent="0.3">
      <c r="A280" s="428"/>
      <c r="B280" s="531"/>
      <c r="C280" s="532"/>
      <c r="D280" s="532"/>
      <c r="E280" s="532"/>
      <c r="F280" s="532"/>
      <c r="G280" s="532"/>
      <c r="H280" s="533"/>
      <c r="I280" s="533"/>
      <c r="J280" s="533"/>
      <c r="K280" s="533"/>
      <c r="L280" s="533"/>
      <c r="M280" s="533"/>
      <c r="N280" s="533"/>
      <c r="O280" s="533"/>
      <c r="P280" s="531"/>
      <c r="Q280" s="534"/>
      <c r="R280" s="535"/>
      <c r="S280" s="534"/>
      <c r="T280" s="419"/>
      <c r="U280" s="451"/>
      <c r="V280" s="405"/>
    </row>
    <row r="281" spans="1:22" x14ac:dyDescent="0.3">
      <c r="A281" s="428"/>
      <c r="B281" s="532" t="s">
        <v>123</v>
      </c>
      <c r="C281" s="532"/>
      <c r="D281" s="532"/>
      <c r="E281" s="532"/>
      <c r="F281" s="532"/>
      <c r="G281" s="532"/>
      <c r="H281" s="533"/>
      <c r="I281" s="533"/>
      <c r="J281" s="533"/>
      <c r="K281" s="533"/>
      <c r="L281" s="533"/>
      <c r="M281" s="533"/>
      <c r="N281" s="533"/>
      <c r="O281" s="533"/>
      <c r="P281" s="531">
        <f>SUM(P272:P279)</f>
        <v>0</v>
      </c>
      <c r="Q281" s="534">
        <f>SUM(Q272:Q279)</f>
        <v>0</v>
      </c>
      <c r="R281" s="535">
        <f>SUM(R272:R279)</f>
        <v>0</v>
      </c>
      <c r="S281" s="534">
        <f>SUM(S272:S279)</f>
        <v>0</v>
      </c>
      <c r="T281" s="419"/>
      <c r="U281" s="451"/>
      <c r="V281" s="405"/>
    </row>
    <row r="282" spans="1:22" x14ac:dyDescent="0.3">
      <c r="A282" s="428"/>
      <c r="B282" s="532"/>
      <c r="C282" s="532"/>
      <c r="D282" s="532"/>
      <c r="E282" s="532"/>
      <c r="F282" s="532"/>
      <c r="G282" s="532"/>
      <c r="H282" s="533"/>
      <c r="I282" s="533"/>
      <c r="J282" s="533"/>
      <c r="K282" s="533"/>
      <c r="L282" s="533"/>
      <c r="M282" s="533"/>
      <c r="N282" s="533"/>
      <c r="O282" s="533"/>
      <c r="P282" s="531"/>
      <c r="Q282" s="534"/>
      <c r="R282" s="535"/>
      <c r="S282" s="534"/>
      <c r="T282" s="419"/>
      <c r="U282" s="451"/>
      <c r="V282" s="405"/>
    </row>
    <row r="283" spans="1:22" x14ac:dyDescent="0.3">
      <c r="A283" s="428"/>
      <c r="B283" s="536" t="s">
        <v>180</v>
      </c>
      <c r="C283" s="532"/>
      <c r="D283" s="532"/>
      <c r="E283" s="532"/>
      <c r="F283" s="532"/>
      <c r="G283" s="532"/>
      <c r="H283" s="533"/>
      <c r="I283" s="533"/>
      <c r="J283" s="533"/>
      <c r="K283" s="533"/>
      <c r="L283" s="533"/>
      <c r="M283" s="533"/>
      <c r="N283" s="533"/>
      <c r="O283" s="533"/>
      <c r="P283" s="537">
        <f>+P257+P269+P281</f>
        <v>1695</v>
      </c>
      <c r="Q283" s="534"/>
      <c r="R283" s="538">
        <f>+R281+R269+R257</f>
        <v>205577</v>
      </c>
      <c r="S283" s="534"/>
      <c r="T283" s="419"/>
      <c r="U283" s="451"/>
      <c r="V283" s="405"/>
    </row>
    <row r="284" spans="1:22" x14ac:dyDescent="0.3">
      <c r="A284" s="430"/>
      <c r="B284" s="539"/>
      <c r="C284" s="539"/>
      <c r="D284" s="539"/>
      <c r="E284" s="539"/>
      <c r="F284" s="539"/>
      <c r="G284" s="539"/>
      <c r="H284" s="540"/>
      <c r="I284" s="540"/>
      <c r="J284" s="540"/>
      <c r="K284" s="540"/>
      <c r="L284" s="540"/>
      <c r="M284" s="540"/>
      <c r="N284" s="540"/>
      <c r="O284" s="540"/>
      <c r="P284" s="540"/>
      <c r="Q284" s="540"/>
      <c r="R284" s="541"/>
      <c r="S284" s="540"/>
      <c r="T284" s="431"/>
      <c r="U284" s="444"/>
      <c r="V284" s="405"/>
    </row>
    <row r="285" spans="1:22" x14ac:dyDescent="0.3">
      <c r="A285" s="430"/>
      <c r="B285" s="542"/>
      <c r="C285" s="542"/>
      <c r="D285" s="542"/>
      <c r="E285" s="542"/>
      <c r="F285" s="542"/>
      <c r="G285" s="542"/>
      <c r="H285" s="543"/>
      <c r="I285" s="543"/>
      <c r="J285" s="543"/>
      <c r="K285" s="543"/>
      <c r="L285" s="543"/>
      <c r="M285" s="543"/>
      <c r="N285" s="543"/>
      <c r="O285" s="543"/>
      <c r="P285" s="543"/>
      <c r="Q285" s="543"/>
      <c r="R285" s="544"/>
      <c r="S285" s="543"/>
      <c r="T285" s="434"/>
      <c r="U285" s="409"/>
      <c r="V285" s="405"/>
    </row>
    <row r="286" spans="1:22" x14ac:dyDescent="0.3">
      <c r="A286" s="430"/>
      <c r="B286" s="545" t="s">
        <v>97</v>
      </c>
      <c r="C286" s="542"/>
      <c r="D286" s="542"/>
      <c r="E286" s="542"/>
      <c r="F286" s="546" t="s">
        <v>103</v>
      </c>
      <c r="G286" s="542"/>
      <c r="H286" s="545" t="s">
        <v>105</v>
      </c>
      <c r="I286" s="542"/>
      <c r="J286" s="542"/>
      <c r="K286" s="542"/>
      <c r="L286" s="542"/>
      <c r="M286" s="542"/>
      <c r="N286" s="542"/>
      <c r="O286" s="542"/>
      <c r="P286" s="542"/>
      <c r="Q286" s="542"/>
      <c r="R286" s="542"/>
      <c r="S286" s="542"/>
      <c r="T286" s="434"/>
      <c r="U286" s="409"/>
      <c r="V286" s="405"/>
    </row>
    <row r="287" spans="1:22" x14ac:dyDescent="0.3">
      <c r="A287" s="430"/>
      <c r="B287" s="542"/>
      <c r="C287" s="542"/>
      <c r="D287" s="542"/>
      <c r="E287" s="542"/>
      <c r="F287" s="542"/>
      <c r="G287" s="542"/>
      <c r="H287" s="542"/>
      <c r="I287" s="542"/>
      <c r="J287" s="542"/>
      <c r="K287" s="542"/>
      <c r="L287" s="542"/>
      <c r="M287" s="542"/>
      <c r="N287" s="542"/>
      <c r="O287" s="542"/>
      <c r="P287" s="542"/>
      <c r="Q287" s="542"/>
      <c r="R287" s="542"/>
      <c r="S287" s="542"/>
      <c r="T287" s="434"/>
      <c r="U287" s="409"/>
      <c r="V287" s="405"/>
    </row>
    <row r="288" spans="1:22" x14ac:dyDescent="0.3">
      <c r="A288" s="430"/>
      <c r="B288" s="545" t="s">
        <v>323</v>
      </c>
      <c r="C288" s="545"/>
      <c r="D288" s="545"/>
      <c r="E288" s="545"/>
      <c r="F288" s="547" t="s">
        <v>274</v>
      </c>
      <c r="G288" s="545"/>
      <c r="H288" s="501" t="s">
        <v>348</v>
      </c>
      <c r="I288" s="542"/>
      <c r="J288" s="542"/>
      <c r="K288" s="542"/>
      <c r="L288" s="542"/>
      <c r="M288" s="542"/>
      <c r="N288" s="542"/>
      <c r="O288" s="542"/>
      <c r="P288" s="542"/>
      <c r="Q288" s="542"/>
      <c r="R288" s="542"/>
      <c r="S288" s="542"/>
      <c r="T288" s="434"/>
      <c r="U288" s="409"/>
      <c r="V288" s="405"/>
    </row>
    <row r="289" spans="1:22" x14ac:dyDescent="0.3">
      <c r="A289" s="430"/>
      <c r="B289" s="545" t="s">
        <v>324</v>
      </c>
      <c r="C289" s="545"/>
      <c r="D289" s="545"/>
      <c r="E289" s="545"/>
      <c r="F289" s="547" t="s">
        <v>158</v>
      </c>
      <c r="G289" s="545"/>
      <c r="H289" s="501" t="s">
        <v>349</v>
      </c>
      <c r="I289" s="542"/>
      <c r="J289" s="542"/>
      <c r="K289" s="542"/>
      <c r="L289" s="542"/>
      <c r="M289" s="542"/>
      <c r="N289" s="542"/>
      <c r="O289" s="542"/>
      <c r="P289" s="542"/>
      <c r="Q289" s="542"/>
      <c r="R289" s="542"/>
      <c r="S289" s="542"/>
      <c r="T289" s="434"/>
      <c r="U289" s="409"/>
      <c r="V289" s="405"/>
    </row>
    <row r="290" spans="1:22" x14ac:dyDescent="0.3">
      <c r="A290" s="430"/>
      <c r="B290" s="545"/>
      <c r="C290" s="545"/>
      <c r="D290" s="545"/>
      <c r="E290" s="545"/>
      <c r="F290" s="545"/>
      <c r="G290" s="545"/>
      <c r="H290" s="542"/>
      <c r="I290" s="542"/>
      <c r="J290" s="542"/>
      <c r="K290" s="542"/>
      <c r="L290" s="542"/>
      <c r="M290" s="542"/>
      <c r="N290" s="542"/>
      <c r="O290" s="542"/>
      <c r="P290" s="542"/>
      <c r="Q290" s="542"/>
      <c r="R290" s="542"/>
      <c r="S290" s="542"/>
      <c r="T290" s="434"/>
      <c r="U290" s="409"/>
      <c r="V290" s="405"/>
    </row>
    <row r="291" spans="1:22" x14ac:dyDescent="0.3">
      <c r="A291" s="407"/>
      <c r="B291" s="545"/>
      <c r="C291" s="545"/>
      <c r="D291" s="545"/>
      <c r="E291" s="545"/>
      <c r="F291" s="545"/>
      <c r="G291" s="545"/>
      <c r="H291" s="542"/>
      <c r="I291" s="542"/>
      <c r="J291" s="542"/>
      <c r="K291" s="542"/>
      <c r="L291" s="542"/>
      <c r="M291" s="542"/>
      <c r="N291" s="542"/>
      <c r="O291" s="542"/>
      <c r="P291" s="542"/>
      <c r="Q291" s="542"/>
      <c r="R291" s="542"/>
      <c r="S291" s="542"/>
      <c r="T291" s="409"/>
      <c r="U291" s="409"/>
      <c r="V291" s="405"/>
    </row>
    <row r="292" spans="1:22" ht="18.600000000000001" thickBot="1" x14ac:dyDescent="0.4">
      <c r="A292" s="407"/>
      <c r="B292" s="548" t="str">
        <f>B198</f>
        <v>PM9 INVESTOR REPORT QUARTER ENDING JULY 2019</v>
      </c>
      <c r="C292" s="545"/>
      <c r="D292" s="545"/>
      <c r="E292" s="545"/>
      <c r="F292" s="545"/>
      <c r="G292" s="545"/>
      <c r="H292" s="542"/>
      <c r="I292" s="542"/>
      <c r="J292" s="542"/>
      <c r="K292" s="542"/>
      <c r="L292" s="542"/>
      <c r="M292" s="542"/>
      <c r="N292" s="542"/>
      <c r="O292" s="542"/>
      <c r="P292" s="542"/>
      <c r="Q292" s="542"/>
      <c r="R292" s="542"/>
      <c r="S292" s="542"/>
      <c r="T292" s="409"/>
      <c r="U292" s="409"/>
      <c r="V292" s="405"/>
    </row>
    <row r="293" spans="1:22" x14ac:dyDescent="0.3">
      <c r="A293" s="502"/>
      <c r="B293" s="502"/>
      <c r="C293" s="502"/>
      <c r="D293" s="502"/>
      <c r="E293" s="502"/>
      <c r="F293" s="502"/>
      <c r="G293" s="502"/>
      <c r="H293" s="502"/>
      <c r="I293" s="502"/>
      <c r="J293" s="502"/>
      <c r="K293" s="502"/>
      <c r="L293" s="502"/>
      <c r="M293" s="502"/>
      <c r="N293" s="502"/>
      <c r="O293" s="502"/>
      <c r="P293" s="502"/>
      <c r="Q293" s="502"/>
      <c r="R293" s="502"/>
      <c r="S293" s="502"/>
      <c r="T293" s="502"/>
      <c r="U293" s="502"/>
    </row>
  </sheetData>
  <hyperlinks>
    <hyperlink ref="J9" r:id="rId1" xr:uid="{1640E780-58D2-46B6-9366-9829B1D8E1C5}"/>
    <hyperlink ref="N233" r:id="rId2" xr:uid="{201A7D1D-960D-4CD9-B7BF-50E2E68C9C39}"/>
  </hyperlinks>
  <printOptions horizontalCentered="1" verticalCentered="1"/>
  <pageMargins left="0.19685039370078741" right="0.19685039370078741" top="0.27559055118110237" bottom="0.27559055118110237" header="0" footer="0"/>
  <pageSetup scale="40" orientation="landscape" r:id="rId3"/>
  <headerFooter alignWithMargins="0"/>
  <rowBreaks count="3" manualBreakCount="3">
    <brk id="61" max="20" man="1"/>
    <brk id="137" max="20" man="1"/>
    <brk id="198" max="20" man="1"/>
  </rowBreaks>
  <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C214A-732E-49AC-B43F-F1197051B169}">
  <sheetPr>
    <tabColor rgb="FF89CB31"/>
  </sheetPr>
  <dimension ref="A1:W293"/>
  <sheetViews>
    <sheetView showGridLines="0" showOutlineSymbols="0" zoomScale="70" zoomScaleNormal="70" workbookViewId="0"/>
  </sheetViews>
  <sheetFormatPr defaultColWidth="9.6328125" defaultRowHeight="15.6" x14ac:dyDescent="0.3"/>
  <cols>
    <col min="1" max="1" width="4" style="406" customWidth="1"/>
    <col min="2" max="2" width="71.1796875" style="406" customWidth="1"/>
    <col min="3" max="3" width="2.1796875" style="406" customWidth="1"/>
    <col min="4" max="4" width="19.36328125" style="406" customWidth="1"/>
    <col min="5" max="5" width="2.1796875" style="406" customWidth="1"/>
    <col min="6" max="6" width="25.08984375" style="406" customWidth="1"/>
    <col min="7" max="7" width="2.1796875" style="406" customWidth="1"/>
    <col min="8" max="8" width="16.1796875" style="406" customWidth="1"/>
    <col min="9" max="9" width="2.1796875" style="406" customWidth="1"/>
    <col min="10" max="10" width="17.90625" style="406" customWidth="1"/>
    <col min="11" max="11" width="2.36328125" style="406" customWidth="1"/>
    <col min="12" max="12" width="14.90625" style="406" customWidth="1"/>
    <col min="13" max="13" width="2.36328125" style="406" customWidth="1"/>
    <col min="14" max="14" width="15.54296875" style="406" customWidth="1"/>
    <col min="15" max="15" width="2.1796875" style="406" customWidth="1"/>
    <col min="16" max="16" width="15.54296875" style="406" customWidth="1"/>
    <col min="17" max="18" width="12.6328125" style="406" customWidth="1"/>
    <col min="19" max="19" width="9.6328125" style="406" customWidth="1"/>
    <col min="20" max="20" width="14.6328125" style="406" customWidth="1"/>
    <col min="21" max="21" width="11.81640625" style="406" customWidth="1"/>
    <col min="22" max="16384" width="9.6328125" style="406"/>
  </cols>
  <sheetData>
    <row r="1" spans="1:22" ht="21" x14ac:dyDescent="0.4">
      <c r="A1" s="403"/>
      <c r="B1" s="602" t="s">
        <v>181</v>
      </c>
      <c r="C1" s="404" t="s">
        <v>263</v>
      </c>
      <c r="D1" s="404"/>
      <c r="E1" s="404"/>
      <c r="F1" s="404"/>
      <c r="G1" s="404"/>
      <c r="H1" s="404"/>
      <c r="I1" s="404"/>
      <c r="J1" s="404"/>
      <c r="K1" s="404"/>
      <c r="L1" s="404"/>
      <c r="M1" s="404"/>
      <c r="N1" s="404"/>
      <c r="O1" s="404"/>
      <c r="P1" s="404"/>
      <c r="Q1" s="404"/>
      <c r="R1" s="404"/>
      <c r="S1" s="404"/>
      <c r="T1" s="404"/>
      <c r="U1" s="404"/>
      <c r="V1" s="405"/>
    </row>
    <row r="2" spans="1:22" x14ac:dyDescent="0.3">
      <c r="A2" s="407"/>
      <c r="B2" s="408"/>
      <c r="C2" s="409"/>
      <c r="D2" s="409"/>
      <c r="E2" s="409"/>
      <c r="F2" s="409"/>
      <c r="G2" s="409"/>
      <c r="H2" s="409"/>
      <c r="I2" s="409"/>
      <c r="J2" s="409"/>
      <c r="K2" s="409"/>
      <c r="L2" s="409"/>
      <c r="M2" s="409"/>
      <c r="N2" s="409"/>
      <c r="O2" s="409"/>
      <c r="P2" s="409"/>
      <c r="Q2" s="409"/>
      <c r="R2" s="409"/>
      <c r="S2" s="409"/>
      <c r="T2" s="409"/>
      <c r="U2" s="409"/>
      <c r="V2" s="405"/>
    </row>
    <row r="3" spans="1:22" x14ac:dyDescent="0.3">
      <c r="A3" s="410"/>
      <c r="B3" s="411" t="s">
        <v>182</v>
      </c>
      <c r="C3" s="409"/>
      <c r="D3" s="409"/>
      <c r="E3" s="409"/>
      <c r="F3" s="409"/>
      <c r="G3" s="409"/>
      <c r="H3" s="409"/>
      <c r="I3" s="409"/>
      <c r="J3" s="409"/>
      <c r="K3" s="409"/>
      <c r="L3" s="409"/>
      <c r="M3" s="409"/>
      <c r="N3" s="409"/>
      <c r="O3" s="409"/>
      <c r="P3" s="409"/>
      <c r="Q3" s="409"/>
      <c r="R3" s="409"/>
      <c r="S3" s="409"/>
      <c r="T3" s="409"/>
      <c r="U3" s="409"/>
      <c r="V3" s="405"/>
    </row>
    <row r="4" spans="1:22" x14ac:dyDescent="0.3">
      <c r="A4" s="407"/>
      <c r="B4" s="408"/>
      <c r="C4" s="409"/>
      <c r="D4" s="409"/>
      <c r="E4" s="409"/>
      <c r="F4" s="409"/>
      <c r="G4" s="409"/>
      <c r="H4" s="409"/>
      <c r="I4" s="409"/>
      <c r="J4" s="409"/>
      <c r="K4" s="409"/>
      <c r="L4" s="409"/>
      <c r="M4" s="409"/>
      <c r="N4" s="409"/>
      <c r="O4" s="409"/>
      <c r="P4" s="409"/>
      <c r="Q4" s="409"/>
      <c r="R4" s="409"/>
      <c r="S4" s="409"/>
      <c r="T4" s="409"/>
      <c r="U4" s="409"/>
      <c r="V4" s="405"/>
    </row>
    <row r="5" spans="1:22" x14ac:dyDescent="0.3">
      <c r="A5" s="407"/>
      <c r="B5" s="601" t="s">
        <v>146</v>
      </c>
      <c r="C5" s="409"/>
      <c r="D5" s="409"/>
      <c r="E5" s="409"/>
      <c r="F5" s="409"/>
      <c r="G5" s="409"/>
      <c r="H5" s="409"/>
      <c r="I5" s="409"/>
      <c r="J5" s="409"/>
      <c r="K5" s="409"/>
      <c r="L5" s="409"/>
      <c r="M5" s="409"/>
      <c r="N5" s="409"/>
      <c r="O5" s="409"/>
      <c r="P5" s="409"/>
      <c r="Q5" s="409"/>
      <c r="R5" s="409"/>
      <c r="S5" s="409"/>
      <c r="T5" s="409"/>
      <c r="U5" s="409"/>
      <c r="V5" s="405"/>
    </row>
    <row r="6" spans="1:22" x14ac:dyDescent="0.3">
      <c r="A6" s="407"/>
      <c r="B6" s="601" t="s">
        <v>148</v>
      </c>
      <c r="C6" s="409"/>
      <c r="D6" s="409"/>
      <c r="E6" s="409"/>
      <c r="F6" s="409"/>
      <c r="G6" s="409"/>
      <c r="H6" s="409"/>
      <c r="I6" s="409"/>
      <c r="J6" s="409"/>
      <c r="K6" s="409"/>
      <c r="L6" s="409"/>
      <c r="M6" s="409"/>
      <c r="N6" s="409"/>
      <c r="O6" s="409"/>
      <c r="P6" s="409"/>
      <c r="Q6" s="409"/>
      <c r="R6" s="409"/>
      <c r="S6" s="409"/>
      <c r="T6" s="409"/>
      <c r="U6" s="409"/>
      <c r="V6" s="405"/>
    </row>
    <row r="7" spans="1:22" x14ac:dyDescent="0.3">
      <c r="A7" s="407"/>
      <c r="B7" s="601" t="s">
        <v>147</v>
      </c>
      <c r="C7" s="409"/>
      <c r="D7" s="409"/>
      <c r="E7" s="409"/>
      <c r="F7" s="409"/>
      <c r="G7" s="409"/>
      <c r="H7" s="409"/>
      <c r="I7" s="409"/>
      <c r="J7" s="409"/>
      <c r="K7" s="409"/>
      <c r="L7" s="409"/>
      <c r="M7" s="409"/>
      <c r="N7" s="409"/>
      <c r="O7" s="409"/>
      <c r="P7" s="409"/>
      <c r="Q7" s="409"/>
      <c r="R7" s="409"/>
      <c r="S7" s="409"/>
      <c r="T7" s="409"/>
      <c r="U7" s="409"/>
      <c r="V7" s="405"/>
    </row>
    <row r="8" spans="1:22" x14ac:dyDescent="0.3">
      <c r="A8" s="407"/>
      <c r="B8" s="412"/>
      <c r="C8" s="409"/>
      <c r="D8" s="409"/>
      <c r="E8" s="409"/>
      <c r="F8" s="409"/>
      <c r="G8" s="409"/>
      <c r="H8" s="409"/>
      <c r="I8" s="409"/>
      <c r="J8" s="409"/>
      <c r="K8" s="409"/>
      <c r="L8" s="409"/>
      <c r="M8" s="409"/>
      <c r="N8" s="409"/>
      <c r="O8" s="409"/>
      <c r="P8" s="409"/>
      <c r="Q8" s="409"/>
      <c r="R8" s="409"/>
      <c r="S8" s="409"/>
      <c r="T8" s="409"/>
      <c r="U8" s="409"/>
      <c r="V8" s="405"/>
    </row>
    <row r="9" spans="1:22" ht="18" x14ac:dyDescent="0.35">
      <c r="A9" s="407"/>
      <c r="B9" s="413" t="s">
        <v>206</v>
      </c>
      <c r="C9" s="409"/>
      <c r="D9" s="409"/>
      <c r="E9" s="409"/>
      <c r="F9" s="409"/>
      <c r="G9" s="409"/>
      <c r="H9" s="409"/>
      <c r="I9" s="409"/>
      <c r="J9" s="414" t="s">
        <v>347</v>
      </c>
      <c r="K9" s="409"/>
      <c r="L9" s="409"/>
      <c r="M9" s="409"/>
      <c r="N9" s="409"/>
      <c r="O9" s="409"/>
      <c r="P9" s="409"/>
      <c r="Q9" s="409"/>
      <c r="R9" s="409"/>
      <c r="S9" s="409"/>
      <c r="T9" s="409"/>
      <c r="U9" s="409"/>
      <c r="V9" s="405"/>
    </row>
    <row r="10" spans="1:22" x14ac:dyDescent="0.3">
      <c r="A10" s="407"/>
      <c r="B10" s="412"/>
      <c r="C10" s="415"/>
      <c r="D10" s="415"/>
      <c r="E10" s="415"/>
      <c r="F10" s="409"/>
      <c r="G10" s="409"/>
      <c r="H10" s="409"/>
      <c r="I10" s="409"/>
      <c r="J10" s="409"/>
      <c r="K10" s="409"/>
      <c r="L10" s="409"/>
      <c r="M10" s="409"/>
      <c r="N10" s="409"/>
      <c r="O10" s="409"/>
      <c r="P10" s="409"/>
      <c r="Q10" s="409"/>
      <c r="R10" s="409"/>
      <c r="S10" s="409"/>
      <c r="T10" s="409"/>
      <c r="U10" s="409"/>
      <c r="V10" s="405"/>
    </row>
    <row r="11" spans="1:22" x14ac:dyDescent="0.3">
      <c r="A11" s="407"/>
      <c r="B11" s="545" t="s">
        <v>0</v>
      </c>
      <c r="C11" s="542"/>
      <c r="D11" s="542"/>
      <c r="E11" s="542"/>
      <c r="F11" s="542"/>
      <c r="G11" s="542"/>
      <c r="H11" s="542"/>
      <c r="I11" s="542"/>
      <c r="J11" s="542"/>
      <c r="K11" s="542"/>
      <c r="L11" s="542"/>
      <c r="M11" s="542"/>
      <c r="N11" s="542"/>
      <c r="O11" s="542"/>
      <c r="P11" s="542"/>
      <c r="Q11" s="542"/>
      <c r="R11" s="542"/>
      <c r="S11" s="542"/>
      <c r="T11" s="542"/>
      <c r="U11" s="409"/>
      <c r="V11" s="405"/>
    </row>
    <row r="12" spans="1:22" ht="16.2" thickBot="1" x14ac:dyDescent="0.35">
      <c r="A12" s="407"/>
      <c r="B12" s="545"/>
      <c r="C12" s="542"/>
      <c r="D12" s="542"/>
      <c r="E12" s="542"/>
      <c r="F12" s="542"/>
      <c r="G12" s="542"/>
      <c r="H12" s="542"/>
      <c r="I12" s="542"/>
      <c r="J12" s="542"/>
      <c r="K12" s="542"/>
      <c r="L12" s="542"/>
      <c r="M12" s="542"/>
      <c r="N12" s="542"/>
      <c r="O12" s="542"/>
      <c r="P12" s="542"/>
      <c r="Q12" s="542"/>
      <c r="R12" s="542"/>
      <c r="S12" s="542"/>
      <c r="T12" s="542"/>
      <c r="U12" s="409"/>
      <c r="V12" s="405"/>
    </row>
    <row r="13" spans="1:22" x14ac:dyDescent="0.3">
      <c r="A13" s="403"/>
      <c r="B13" s="593"/>
      <c r="C13" s="593"/>
      <c r="D13" s="593"/>
      <c r="E13" s="593"/>
      <c r="F13" s="593"/>
      <c r="G13" s="593"/>
      <c r="H13" s="593"/>
      <c r="I13" s="593"/>
      <c r="J13" s="593"/>
      <c r="K13" s="593"/>
      <c r="L13" s="593"/>
      <c r="M13" s="593"/>
      <c r="N13" s="593"/>
      <c r="O13" s="593"/>
      <c r="P13" s="593"/>
      <c r="Q13" s="593"/>
      <c r="R13" s="593"/>
      <c r="S13" s="593"/>
      <c r="T13" s="593"/>
      <c r="U13" s="404"/>
      <c r="V13" s="405"/>
    </row>
    <row r="14" spans="1:22" x14ac:dyDescent="0.3">
      <c r="A14" s="407"/>
      <c r="B14" s="545" t="s">
        <v>1</v>
      </c>
      <c r="C14" s="542"/>
      <c r="D14" s="542"/>
      <c r="E14" s="542"/>
      <c r="F14" s="542"/>
      <c r="G14" s="542"/>
      <c r="H14" s="542"/>
      <c r="I14" s="542"/>
      <c r="J14" s="542"/>
      <c r="K14" s="542"/>
      <c r="L14" s="542"/>
      <c r="M14" s="542"/>
      <c r="N14" s="542"/>
      <c r="O14" s="542"/>
      <c r="P14" s="542"/>
      <c r="Q14" s="542"/>
      <c r="R14" s="542"/>
      <c r="S14" s="542"/>
      <c r="T14" s="594" t="s">
        <v>183</v>
      </c>
      <c r="U14" s="416"/>
      <c r="V14" s="405"/>
    </row>
    <row r="15" spans="1:22" x14ac:dyDescent="0.3">
      <c r="A15" s="407"/>
      <c r="B15" s="545" t="s">
        <v>2</v>
      </c>
      <c r="C15" s="542"/>
      <c r="D15" s="542"/>
      <c r="E15" s="542"/>
      <c r="F15" s="542"/>
      <c r="G15" s="542"/>
      <c r="H15" s="595"/>
      <c r="I15" s="595"/>
      <c r="J15" s="595"/>
      <c r="K15" s="595"/>
      <c r="L15" s="595"/>
      <c r="M15" s="595"/>
      <c r="N15" s="595"/>
      <c r="O15" s="595"/>
      <c r="P15" s="595" t="s">
        <v>110</v>
      </c>
      <c r="Q15" s="596">
        <v>0.59430000000000005</v>
      </c>
      <c r="R15" s="546" t="s">
        <v>149</v>
      </c>
      <c r="S15" s="596">
        <v>0.40570000000000001</v>
      </c>
      <c r="T15" s="594"/>
      <c r="U15" s="416"/>
      <c r="V15" s="405"/>
    </row>
    <row r="16" spans="1:22" x14ac:dyDescent="0.3">
      <c r="A16" s="407"/>
      <c r="B16" s="545" t="s">
        <v>3</v>
      </c>
      <c r="C16" s="542"/>
      <c r="D16" s="542"/>
      <c r="E16" s="542"/>
      <c r="F16" s="542"/>
      <c r="G16" s="542"/>
      <c r="H16" s="595"/>
      <c r="I16" s="595"/>
      <c r="J16" s="595"/>
      <c r="K16" s="595"/>
      <c r="L16" s="595"/>
      <c r="M16" s="595"/>
      <c r="N16" s="595"/>
      <c r="O16" s="595"/>
      <c r="P16" s="595" t="s">
        <v>110</v>
      </c>
      <c r="Q16" s="596">
        <v>0.73699999999999999</v>
      </c>
      <c r="R16" s="546" t="s">
        <v>149</v>
      </c>
      <c r="S16" s="596">
        <v>0.26300000000000001</v>
      </c>
      <c r="T16" s="594"/>
      <c r="U16" s="416"/>
      <c r="V16" s="405"/>
    </row>
    <row r="17" spans="1:22" x14ac:dyDescent="0.3">
      <c r="A17" s="407"/>
      <c r="B17" s="545" t="s">
        <v>4</v>
      </c>
      <c r="C17" s="542"/>
      <c r="D17" s="542"/>
      <c r="E17" s="542"/>
      <c r="F17" s="542"/>
      <c r="G17" s="542"/>
      <c r="H17" s="542"/>
      <c r="I17" s="542"/>
      <c r="J17" s="542"/>
      <c r="K17" s="542"/>
      <c r="L17" s="542"/>
      <c r="M17" s="542"/>
      <c r="N17" s="542"/>
      <c r="O17" s="542"/>
      <c r="P17" s="542"/>
      <c r="Q17" s="597"/>
      <c r="R17" s="542"/>
      <c r="S17" s="542"/>
      <c r="T17" s="598">
        <v>38552</v>
      </c>
      <c r="U17" s="416"/>
      <c r="V17" s="405"/>
    </row>
    <row r="18" spans="1:22" x14ac:dyDescent="0.3">
      <c r="A18" s="407"/>
      <c r="B18" s="545" t="s">
        <v>5</v>
      </c>
      <c r="C18" s="542"/>
      <c r="D18" s="542"/>
      <c r="E18" s="542"/>
      <c r="F18" s="542"/>
      <c r="G18" s="542"/>
      <c r="H18" s="542"/>
      <c r="I18" s="542"/>
      <c r="J18" s="542"/>
      <c r="K18" s="542"/>
      <c r="L18" s="542"/>
      <c r="M18" s="542"/>
      <c r="N18" s="542"/>
      <c r="O18" s="542"/>
      <c r="P18" s="542"/>
      <c r="Q18" s="542"/>
      <c r="R18" s="542"/>
      <c r="S18" s="542"/>
      <c r="T18" s="598">
        <v>43791</v>
      </c>
      <c r="U18" s="416"/>
      <c r="V18" s="405"/>
    </row>
    <row r="19" spans="1:22" x14ac:dyDescent="0.3">
      <c r="A19" s="407"/>
      <c r="B19" s="542"/>
      <c r="C19" s="542"/>
      <c r="D19" s="542"/>
      <c r="E19" s="542"/>
      <c r="F19" s="542"/>
      <c r="G19" s="542"/>
      <c r="H19" s="542"/>
      <c r="I19" s="542"/>
      <c r="J19" s="542"/>
      <c r="K19" s="542"/>
      <c r="L19" s="542"/>
      <c r="M19" s="542"/>
      <c r="N19" s="542"/>
      <c r="O19" s="542"/>
      <c r="P19" s="542"/>
      <c r="Q19" s="542"/>
      <c r="R19" s="542"/>
      <c r="S19" s="542"/>
      <c r="T19" s="599"/>
      <c r="U19" s="409"/>
      <c r="V19" s="405"/>
    </row>
    <row r="20" spans="1:22" x14ac:dyDescent="0.3">
      <c r="A20" s="407"/>
      <c r="B20" s="600" t="s">
        <v>6</v>
      </c>
      <c r="C20" s="542"/>
      <c r="D20" s="542"/>
      <c r="E20" s="542"/>
      <c r="F20" s="542"/>
      <c r="G20" s="542"/>
      <c r="H20" s="542"/>
      <c r="I20" s="542"/>
      <c r="J20" s="542"/>
      <c r="K20" s="542"/>
      <c r="L20" s="542"/>
      <c r="M20" s="542"/>
      <c r="N20" s="542"/>
      <c r="O20" s="542"/>
      <c r="P20" s="542"/>
      <c r="Q20" s="542"/>
      <c r="R20" s="599" t="s">
        <v>111</v>
      </c>
      <c r="S20" s="542"/>
      <c r="T20" s="542"/>
      <c r="U20" s="409"/>
      <c r="V20" s="405"/>
    </row>
    <row r="21" spans="1:22" x14ac:dyDescent="0.3">
      <c r="A21" s="407"/>
      <c r="B21" s="409"/>
      <c r="C21" s="409"/>
      <c r="D21" s="409"/>
      <c r="E21" s="409"/>
      <c r="F21" s="409"/>
      <c r="G21" s="409"/>
      <c r="H21" s="409"/>
      <c r="I21" s="409"/>
      <c r="J21" s="409"/>
      <c r="K21" s="409"/>
      <c r="L21" s="409"/>
      <c r="M21" s="409"/>
      <c r="N21" s="409"/>
      <c r="O21" s="409"/>
      <c r="P21" s="409"/>
      <c r="Q21" s="409"/>
      <c r="R21" s="409"/>
      <c r="S21" s="409"/>
      <c r="T21" s="417"/>
      <c r="U21" s="409"/>
      <c r="V21" s="405"/>
    </row>
    <row r="22" spans="1:22" x14ac:dyDescent="0.3">
      <c r="A22" s="503"/>
      <c r="B22" s="608"/>
      <c r="C22" s="609"/>
      <c r="D22" s="609" t="s">
        <v>185</v>
      </c>
      <c r="E22" s="609"/>
      <c r="F22" s="609" t="s">
        <v>186</v>
      </c>
      <c r="G22" s="609"/>
      <c r="H22" s="609" t="s">
        <v>187</v>
      </c>
      <c r="I22" s="609"/>
      <c r="J22" s="609" t="s">
        <v>188</v>
      </c>
      <c r="K22" s="609"/>
      <c r="L22" s="609" t="s">
        <v>189</v>
      </c>
      <c r="M22" s="609"/>
      <c r="N22" s="609" t="s">
        <v>190</v>
      </c>
      <c r="O22" s="609"/>
      <c r="P22" s="609" t="s">
        <v>191</v>
      </c>
      <c r="Q22" s="610"/>
      <c r="R22" s="610"/>
      <c r="S22" s="608"/>
      <c r="T22" s="608"/>
      <c r="U22" s="611"/>
      <c r="V22" s="405"/>
    </row>
    <row r="23" spans="1:22" x14ac:dyDescent="0.3">
      <c r="A23" s="604"/>
      <c r="B23" s="605" t="s">
        <v>7</v>
      </c>
      <c r="C23" s="606"/>
      <c r="D23" s="606" t="s">
        <v>150</v>
      </c>
      <c r="E23" s="606"/>
      <c r="F23" s="606" t="s">
        <v>150</v>
      </c>
      <c r="G23" s="606"/>
      <c r="H23" s="606" t="s">
        <v>150</v>
      </c>
      <c r="I23" s="606"/>
      <c r="J23" s="606" t="s">
        <v>192</v>
      </c>
      <c r="K23" s="606"/>
      <c r="L23" s="606" t="s">
        <v>192</v>
      </c>
      <c r="M23" s="606"/>
      <c r="N23" s="606" t="s">
        <v>151</v>
      </c>
      <c r="O23" s="606"/>
      <c r="P23" s="606" t="s">
        <v>151</v>
      </c>
      <c r="Q23" s="606"/>
      <c r="R23" s="606"/>
      <c r="S23" s="605"/>
      <c r="T23" s="605"/>
      <c r="U23" s="607"/>
      <c r="V23" s="405"/>
    </row>
    <row r="24" spans="1:22" x14ac:dyDescent="0.3">
      <c r="A24" s="418"/>
      <c r="B24" s="532" t="s">
        <v>8</v>
      </c>
      <c r="C24" s="582"/>
      <c r="D24" s="582" t="s">
        <v>152</v>
      </c>
      <c r="E24" s="582"/>
      <c r="F24" s="582" t="s">
        <v>152</v>
      </c>
      <c r="G24" s="582"/>
      <c r="H24" s="582" t="s">
        <v>152</v>
      </c>
      <c r="I24" s="582"/>
      <c r="J24" s="582" t="s">
        <v>193</v>
      </c>
      <c r="K24" s="582"/>
      <c r="L24" s="582" t="s">
        <v>193</v>
      </c>
      <c r="M24" s="582"/>
      <c r="N24" s="582" t="s">
        <v>153</v>
      </c>
      <c r="O24" s="582"/>
      <c r="P24" s="582" t="s">
        <v>153</v>
      </c>
      <c r="Q24" s="582"/>
      <c r="R24" s="582"/>
      <c r="S24" s="532"/>
      <c r="T24" s="532"/>
      <c r="U24" s="420"/>
      <c r="V24" s="405"/>
    </row>
    <row r="25" spans="1:22" x14ac:dyDescent="0.3">
      <c r="A25" s="421"/>
      <c r="B25" s="536" t="s">
        <v>9</v>
      </c>
      <c r="C25" s="583"/>
      <c r="D25" s="583" t="s">
        <v>329</v>
      </c>
      <c r="E25" s="583"/>
      <c r="F25" s="583" t="s">
        <v>329</v>
      </c>
      <c r="G25" s="583"/>
      <c r="H25" s="583" t="s">
        <v>329</v>
      </c>
      <c r="I25" s="583"/>
      <c r="J25" s="583" t="s">
        <v>334</v>
      </c>
      <c r="K25" s="583"/>
      <c r="L25" s="583" t="s">
        <v>334</v>
      </c>
      <c r="M25" s="583"/>
      <c r="N25" s="583" t="s">
        <v>330</v>
      </c>
      <c r="O25" s="583"/>
      <c r="P25" s="583" t="s">
        <v>330</v>
      </c>
      <c r="Q25" s="583"/>
      <c r="R25" s="582"/>
      <c r="S25" s="532"/>
      <c r="T25" s="532"/>
      <c r="U25" s="420"/>
      <c r="V25" s="405"/>
    </row>
    <row r="26" spans="1:22" x14ac:dyDescent="0.3">
      <c r="A26" s="421"/>
      <c r="B26" s="536" t="s">
        <v>10</v>
      </c>
      <c r="C26" s="583"/>
      <c r="D26" s="583" t="s">
        <v>153</v>
      </c>
      <c r="E26" s="583"/>
      <c r="F26" s="583" t="s">
        <v>153</v>
      </c>
      <c r="G26" s="583"/>
      <c r="H26" s="583" t="s">
        <v>153</v>
      </c>
      <c r="I26" s="583"/>
      <c r="J26" s="583" t="s">
        <v>153</v>
      </c>
      <c r="K26" s="583"/>
      <c r="L26" s="583" t="s">
        <v>153</v>
      </c>
      <c r="M26" s="583"/>
      <c r="N26" s="583" t="s">
        <v>153</v>
      </c>
      <c r="O26" s="583"/>
      <c r="P26" s="583" t="s">
        <v>153</v>
      </c>
      <c r="Q26" s="583"/>
      <c r="R26" s="582"/>
      <c r="S26" s="532"/>
      <c r="T26" s="532"/>
      <c r="U26" s="420"/>
      <c r="V26" s="405"/>
    </row>
    <row r="27" spans="1:22" x14ac:dyDescent="0.3">
      <c r="A27" s="418"/>
      <c r="B27" s="532" t="s">
        <v>11</v>
      </c>
      <c r="C27" s="582"/>
      <c r="D27" s="582" t="s">
        <v>194</v>
      </c>
      <c r="E27" s="582"/>
      <c r="F27" s="552" t="s">
        <v>195</v>
      </c>
      <c r="G27" s="582"/>
      <c r="H27" s="582" t="s">
        <v>196</v>
      </c>
      <c r="I27" s="582"/>
      <c r="J27" s="582" t="s">
        <v>198</v>
      </c>
      <c r="K27" s="582"/>
      <c r="L27" s="582" t="s">
        <v>199</v>
      </c>
      <c r="M27" s="582"/>
      <c r="N27" s="582" t="s">
        <v>200</v>
      </c>
      <c r="O27" s="582"/>
      <c r="P27" s="582" t="s">
        <v>201</v>
      </c>
      <c r="Q27" s="582"/>
      <c r="R27" s="552"/>
      <c r="S27" s="532"/>
      <c r="T27" s="532"/>
      <c r="U27" s="420"/>
      <c r="V27" s="405"/>
    </row>
    <row r="28" spans="1:22" x14ac:dyDescent="0.3">
      <c r="A28" s="418"/>
      <c r="B28" s="532" t="s">
        <v>11</v>
      </c>
      <c r="C28" s="582"/>
      <c r="D28" s="582" t="s">
        <v>127</v>
      </c>
      <c r="E28" s="582"/>
      <c r="F28" s="552" t="s">
        <v>127</v>
      </c>
      <c r="G28" s="582"/>
      <c r="H28" s="582" t="s">
        <v>197</v>
      </c>
      <c r="I28" s="582"/>
      <c r="J28" s="582" t="s">
        <v>127</v>
      </c>
      <c r="K28" s="582"/>
      <c r="L28" s="582" t="s">
        <v>127</v>
      </c>
      <c r="M28" s="582"/>
      <c r="N28" s="582" t="s">
        <v>127</v>
      </c>
      <c r="O28" s="582"/>
      <c r="P28" s="582" t="s">
        <v>127</v>
      </c>
      <c r="Q28" s="582"/>
      <c r="R28" s="552"/>
      <c r="S28" s="532"/>
      <c r="T28" s="532"/>
      <c r="U28" s="420"/>
      <c r="V28" s="405"/>
    </row>
    <row r="29" spans="1:22" x14ac:dyDescent="0.3">
      <c r="A29" s="418"/>
      <c r="B29" s="532" t="s">
        <v>142</v>
      </c>
      <c r="C29" s="584"/>
      <c r="D29" s="577">
        <v>346000</v>
      </c>
      <c r="E29" s="584"/>
      <c r="F29" s="585">
        <v>355000</v>
      </c>
      <c r="G29" s="577"/>
      <c r="H29" s="586">
        <v>60000</v>
      </c>
      <c r="I29" s="577"/>
      <c r="J29" s="577">
        <v>7000</v>
      </c>
      <c r="K29" s="577"/>
      <c r="L29" s="585">
        <v>29500</v>
      </c>
      <c r="M29" s="577"/>
      <c r="N29" s="587">
        <v>3000</v>
      </c>
      <c r="O29" s="577"/>
      <c r="P29" s="585">
        <v>66000</v>
      </c>
      <c r="Q29" s="577"/>
      <c r="R29" s="577"/>
      <c r="S29" s="584"/>
      <c r="T29" s="577"/>
      <c r="U29" s="423"/>
      <c r="V29" s="405"/>
    </row>
    <row r="30" spans="1:22" x14ac:dyDescent="0.3">
      <c r="A30" s="418"/>
      <c r="B30" s="532" t="s">
        <v>141</v>
      </c>
      <c r="C30" s="584"/>
      <c r="D30" s="577">
        <f>D29*D36</f>
        <v>89311.042399999991</v>
      </c>
      <c r="E30" s="584"/>
      <c r="F30" s="585">
        <f>F29*F36</f>
        <v>91634.161999999997</v>
      </c>
      <c r="G30" s="577"/>
      <c r="H30" s="586">
        <f>H29*H36</f>
        <v>15487.320000000002</v>
      </c>
      <c r="I30" s="577"/>
      <c r="J30" s="577">
        <f>J29*J36</f>
        <v>4111.5199999999995</v>
      </c>
      <c r="K30" s="577"/>
      <c r="L30" s="585">
        <f>L29*L36</f>
        <v>17327.12</v>
      </c>
      <c r="M30" s="577"/>
      <c r="N30" s="587">
        <f>N29*N36</f>
        <v>1762.08</v>
      </c>
      <c r="O30" s="577"/>
      <c r="P30" s="585">
        <f>P29*P36</f>
        <v>38765.760000000002</v>
      </c>
      <c r="Q30" s="577"/>
      <c r="R30" s="577"/>
      <c r="S30" s="584"/>
      <c r="T30" s="577"/>
      <c r="U30" s="423"/>
      <c r="V30" s="405"/>
    </row>
    <row r="31" spans="1:22" x14ac:dyDescent="0.3">
      <c r="A31" s="421"/>
      <c r="B31" s="536" t="s">
        <v>143</v>
      </c>
      <c r="C31" s="588"/>
      <c r="D31" s="589">
        <f>D35*D29</f>
        <v>87529.419200000004</v>
      </c>
      <c r="E31" s="588"/>
      <c r="F31" s="590">
        <f>F35*F29</f>
        <v>89806.196000000011</v>
      </c>
      <c r="G31" s="589"/>
      <c r="H31" s="591">
        <f>H35*H29</f>
        <v>15178.361999999999</v>
      </c>
      <c r="I31" s="589"/>
      <c r="J31" s="589">
        <f>J35*J29</f>
        <v>4029.4996000000001</v>
      </c>
      <c r="K31" s="589"/>
      <c r="L31" s="590">
        <f>L35*L29</f>
        <v>16981.462599999999</v>
      </c>
      <c r="M31" s="589"/>
      <c r="N31" s="592">
        <f>N35*N29</f>
        <v>1726.9284</v>
      </c>
      <c r="O31" s="589"/>
      <c r="P31" s="590">
        <f>P35*P29</f>
        <v>37992.424800000001</v>
      </c>
      <c r="Q31" s="589"/>
      <c r="R31" s="589"/>
      <c r="S31" s="588"/>
      <c r="T31" s="589"/>
      <c r="U31" s="423"/>
      <c r="V31" s="405"/>
    </row>
    <row r="32" spans="1:22" x14ac:dyDescent="0.3">
      <c r="A32" s="418"/>
      <c r="B32" s="532" t="s">
        <v>289</v>
      </c>
      <c r="C32" s="584"/>
      <c r="D32" s="577">
        <v>346000</v>
      </c>
      <c r="E32" s="584"/>
      <c r="F32" s="577">
        <v>244500</v>
      </c>
      <c r="G32" s="577"/>
      <c r="H32" s="577">
        <v>33900</v>
      </c>
      <c r="I32" s="577"/>
      <c r="J32" s="577">
        <v>7000</v>
      </c>
      <c r="K32" s="577"/>
      <c r="L32" s="577">
        <v>20300</v>
      </c>
      <c r="M32" s="577"/>
      <c r="N32" s="577">
        <v>3000</v>
      </c>
      <c r="O32" s="577"/>
      <c r="P32" s="577">
        <v>45300</v>
      </c>
      <c r="Q32" s="577"/>
      <c r="R32" s="577"/>
      <c r="S32" s="584"/>
      <c r="T32" s="577">
        <f>SUM(C32:P32)</f>
        <v>700000</v>
      </c>
      <c r="U32" s="423"/>
      <c r="V32" s="405"/>
    </row>
    <row r="33" spans="1:22" x14ac:dyDescent="0.3">
      <c r="A33" s="418"/>
      <c r="B33" s="532" t="s">
        <v>290</v>
      </c>
      <c r="C33" s="584"/>
      <c r="D33" s="577">
        <f>D32*D36</f>
        <v>89311.042399999991</v>
      </c>
      <c r="E33" s="584"/>
      <c r="F33" s="577">
        <f>F32*F36</f>
        <v>63111.415799999995</v>
      </c>
      <c r="G33" s="577"/>
      <c r="H33" s="577">
        <f>H32*H36</f>
        <v>8750.3358000000007</v>
      </c>
      <c r="I33" s="577"/>
      <c r="J33" s="577">
        <f>J32*J36</f>
        <v>4111.5199999999995</v>
      </c>
      <c r="K33" s="577"/>
      <c r="L33" s="577">
        <f>L32*L36</f>
        <v>11923.407999999999</v>
      </c>
      <c r="M33" s="577"/>
      <c r="N33" s="577">
        <f>N32*N36</f>
        <v>1762.08</v>
      </c>
      <c r="O33" s="577"/>
      <c r="P33" s="577">
        <f>P32*P36</f>
        <v>26607.407999999999</v>
      </c>
      <c r="Q33" s="577"/>
      <c r="R33" s="577"/>
      <c r="S33" s="584"/>
      <c r="T33" s="577">
        <f>SUM(C33:P33)</f>
        <v>205577.20999999996</v>
      </c>
      <c r="U33" s="423"/>
      <c r="V33" s="405"/>
    </row>
    <row r="34" spans="1:22" x14ac:dyDescent="0.3">
      <c r="A34" s="421"/>
      <c r="B34" s="536" t="s">
        <v>291</v>
      </c>
      <c r="C34" s="588"/>
      <c r="D34" s="589">
        <f>D35*D32</f>
        <v>87529.419200000004</v>
      </c>
      <c r="E34" s="588"/>
      <c r="F34" s="589">
        <f>F35*F32</f>
        <v>61852.436400000006</v>
      </c>
      <c r="G34" s="589"/>
      <c r="H34" s="589">
        <f>H35*H32</f>
        <v>8575.7745300000006</v>
      </c>
      <c r="I34" s="589"/>
      <c r="J34" s="589">
        <f>J35*J32</f>
        <v>4029.4996000000001</v>
      </c>
      <c r="K34" s="589"/>
      <c r="L34" s="589">
        <f>L35*L32</f>
        <v>11685.548839999999</v>
      </c>
      <c r="M34" s="589"/>
      <c r="N34" s="589">
        <f>N35*N32</f>
        <v>1726.9284</v>
      </c>
      <c r="O34" s="589"/>
      <c r="P34" s="589">
        <f>P35*P32</f>
        <v>26076.618839999999</v>
      </c>
      <c r="Q34" s="589"/>
      <c r="R34" s="589"/>
      <c r="S34" s="588"/>
      <c r="T34" s="589">
        <f>SUM(C34:P34)</f>
        <v>201476.22581000003</v>
      </c>
      <c r="U34" s="423"/>
      <c r="V34" s="405"/>
    </row>
    <row r="35" spans="1:22" x14ac:dyDescent="0.3">
      <c r="A35" s="421"/>
      <c r="B35" s="514" t="s">
        <v>139</v>
      </c>
      <c r="C35" s="515"/>
      <c r="D35" s="516">
        <v>0.25297520000000001</v>
      </c>
      <c r="E35" s="517"/>
      <c r="F35" s="516">
        <v>0.25297520000000001</v>
      </c>
      <c r="G35" s="516"/>
      <c r="H35" s="516">
        <v>0.25297269999999999</v>
      </c>
      <c r="I35" s="518"/>
      <c r="J35" s="516">
        <v>0.57564280000000001</v>
      </c>
      <c r="K35" s="516"/>
      <c r="L35" s="516">
        <v>0.57564280000000001</v>
      </c>
      <c r="M35" s="518"/>
      <c r="N35" s="516">
        <v>0.57564280000000001</v>
      </c>
      <c r="O35" s="516"/>
      <c r="P35" s="516">
        <v>0.57564280000000001</v>
      </c>
      <c r="Q35" s="424"/>
      <c r="R35" s="424"/>
      <c r="S35" s="425"/>
      <c r="T35" s="424"/>
      <c r="U35" s="426"/>
      <c r="V35" s="405"/>
    </row>
    <row r="36" spans="1:22" x14ac:dyDescent="0.3">
      <c r="A36" s="421"/>
      <c r="B36" s="514" t="s">
        <v>140</v>
      </c>
      <c r="C36" s="515"/>
      <c r="D36" s="516">
        <v>0.25812439999999998</v>
      </c>
      <c r="E36" s="517"/>
      <c r="F36" s="516">
        <v>0.25812439999999998</v>
      </c>
      <c r="G36" s="516"/>
      <c r="H36" s="516">
        <v>0.25812200000000002</v>
      </c>
      <c r="I36" s="518"/>
      <c r="J36" s="516">
        <v>0.58735999999999999</v>
      </c>
      <c r="K36" s="516"/>
      <c r="L36" s="516">
        <v>0.58735999999999999</v>
      </c>
      <c r="M36" s="518"/>
      <c r="N36" s="516">
        <v>0.58735999999999999</v>
      </c>
      <c r="O36" s="516"/>
      <c r="P36" s="516">
        <v>0.58735999999999999</v>
      </c>
      <c r="Q36" s="427"/>
      <c r="R36" s="427"/>
      <c r="S36" s="425"/>
      <c r="T36" s="424"/>
      <c r="U36" s="426"/>
      <c r="V36" s="405"/>
    </row>
    <row r="37" spans="1:22" x14ac:dyDescent="0.3">
      <c r="A37" s="428"/>
      <c r="B37" s="532" t="s">
        <v>12</v>
      </c>
      <c r="C37" s="532"/>
      <c r="D37" s="552" t="s">
        <v>166</v>
      </c>
      <c r="E37" s="532"/>
      <c r="F37" s="552" t="s">
        <v>166</v>
      </c>
      <c r="G37" s="552"/>
      <c r="H37" s="552" t="s">
        <v>166</v>
      </c>
      <c r="I37" s="552"/>
      <c r="J37" s="552" t="s">
        <v>204</v>
      </c>
      <c r="K37" s="552"/>
      <c r="L37" s="552" t="s">
        <v>204</v>
      </c>
      <c r="M37" s="552"/>
      <c r="N37" s="552" t="s">
        <v>205</v>
      </c>
      <c r="O37" s="552"/>
      <c r="P37" s="552" t="s">
        <v>205</v>
      </c>
      <c r="Q37" s="552"/>
      <c r="R37" s="552"/>
      <c r="S37" s="532"/>
      <c r="T37" s="532"/>
      <c r="U37" s="562"/>
      <c r="V37" s="405"/>
    </row>
    <row r="38" spans="1:22" x14ac:dyDescent="0.3">
      <c r="A38" s="428"/>
      <c r="B38" s="532" t="s">
        <v>13</v>
      </c>
      <c r="C38" s="532"/>
      <c r="D38" s="574">
        <v>1.1281299999999999E-2</v>
      </c>
      <c r="E38" s="532"/>
      <c r="F38" s="574">
        <v>0</v>
      </c>
      <c r="G38" s="558"/>
      <c r="H38" s="574">
        <v>2.51813E-2</v>
      </c>
      <c r="I38" s="558"/>
      <c r="J38" s="574">
        <v>1.34813E-2</v>
      </c>
      <c r="K38" s="558"/>
      <c r="L38" s="574">
        <v>1.7799999999999999E-3</v>
      </c>
      <c r="M38" s="558"/>
      <c r="N38" s="574">
        <v>1.8081300000000002E-2</v>
      </c>
      <c r="O38" s="558"/>
      <c r="P38" s="574">
        <v>6.3800000000000003E-3</v>
      </c>
      <c r="Q38" s="558"/>
      <c r="R38" s="574"/>
      <c r="S38" s="532"/>
      <c r="T38" s="558"/>
      <c r="U38" s="562"/>
      <c r="V38" s="405"/>
    </row>
    <row r="39" spans="1:22" x14ac:dyDescent="0.3">
      <c r="A39" s="428"/>
      <c r="B39" s="532" t="s">
        <v>14</v>
      </c>
      <c r="C39" s="532"/>
      <c r="D39" s="574">
        <v>1.16638E-2</v>
      </c>
      <c r="E39" s="532"/>
      <c r="F39" s="574">
        <v>4.8999999999999998E-4</v>
      </c>
      <c r="G39" s="558"/>
      <c r="H39" s="574">
        <v>2.878E-2</v>
      </c>
      <c r="I39" s="558"/>
      <c r="J39" s="574">
        <v>1.3863800000000001E-2</v>
      </c>
      <c r="K39" s="558"/>
      <c r="L39" s="574">
        <v>2.6900000000000001E-3</v>
      </c>
      <c r="M39" s="558"/>
      <c r="N39" s="574">
        <v>1.8463799999999999E-2</v>
      </c>
      <c r="O39" s="558"/>
      <c r="P39" s="574">
        <v>7.2899999999999996E-3</v>
      </c>
      <c r="Q39" s="558"/>
      <c r="R39" s="574"/>
      <c r="S39" s="532"/>
      <c r="T39" s="532"/>
      <c r="U39" s="562"/>
      <c r="V39" s="405"/>
    </row>
    <row r="40" spans="1:22" x14ac:dyDescent="0.3">
      <c r="A40" s="428"/>
      <c r="B40" s="532" t="s">
        <v>292</v>
      </c>
      <c r="C40" s="532"/>
      <c r="D40" s="552" t="s">
        <v>166</v>
      </c>
      <c r="E40" s="532"/>
      <c r="F40" s="552" t="s">
        <v>209</v>
      </c>
      <c r="G40" s="552"/>
      <c r="H40" s="552" t="s">
        <v>210</v>
      </c>
      <c r="I40" s="552"/>
      <c r="J40" s="552" t="s">
        <v>204</v>
      </c>
      <c r="K40" s="552"/>
      <c r="L40" s="552" t="s">
        <v>211</v>
      </c>
      <c r="M40" s="552"/>
      <c r="N40" s="552" t="s">
        <v>205</v>
      </c>
      <c r="O40" s="552"/>
      <c r="P40" s="552" t="s">
        <v>212</v>
      </c>
      <c r="Q40" s="558"/>
      <c r="R40" s="574"/>
      <c r="S40" s="532"/>
      <c r="T40" s="558"/>
      <c r="U40" s="562"/>
      <c r="V40" s="405"/>
    </row>
    <row r="41" spans="1:22" x14ac:dyDescent="0.3">
      <c r="A41" s="428"/>
      <c r="B41" s="532" t="s">
        <v>293</v>
      </c>
      <c r="C41" s="532"/>
      <c r="D41" s="574">
        <f>+D38</f>
        <v>1.1281299999999999E-2</v>
      </c>
      <c r="E41" s="532"/>
      <c r="F41" s="574">
        <v>1.14813E-2</v>
      </c>
      <c r="G41" s="558"/>
      <c r="H41" s="574">
        <v>1.17413E-2</v>
      </c>
      <c r="I41" s="558"/>
      <c r="J41" s="574">
        <f>+J38</f>
        <v>1.34813E-2</v>
      </c>
      <c r="K41" s="558"/>
      <c r="L41" s="574">
        <v>1.40713E-2</v>
      </c>
      <c r="M41" s="558"/>
      <c r="N41" s="574">
        <f>+N38</f>
        <v>1.8081300000000002E-2</v>
      </c>
      <c r="O41" s="558"/>
      <c r="P41" s="574">
        <v>1.89613E-2</v>
      </c>
      <c r="Q41" s="558"/>
      <c r="R41" s="574"/>
      <c r="S41" s="532"/>
      <c r="T41" s="558">
        <f>SUMPRODUCT(D41:P41,D33:P33)/T33</f>
        <v>1.2620388741344432E-2</v>
      </c>
      <c r="U41" s="562"/>
      <c r="V41" s="405"/>
    </row>
    <row r="42" spans="1:22" x14ac:dyDescent="0.3">
      <c r="A42" s="428"/>
      <c r="B42" s="532" t="s">
        <v>294</v>
      </c>
      <c r="C42" s="532"/>
      <c r="D42" s="574">
        <f>+D39</f>
        <v>1.16638E-2</v>
      </c>
      <c r="E42" s="532"/>
      <c r="F42" s="574">
        <v>1.1863800000000001E-2</v>
      </c>
      <c r="G42" s="558"/>
      <c r="H42" s="574">
        <v>1.2123800000000001E-2</v>
      </c>
      <c r="I42" s="558"/>
      <c r="J42" s="574">
        <f>+J39</f>
        <v>1.3863800000000001E-2</v>
      </c>
      <c r="K42" s="558"/>
      <c r="L42" s="574">
        <v>1.4453799999999999E-2</v>
      </c>
      <c r="M42" s="558"/>
      <c r="N42" s="574">
        <f>+N39</f>
        <v>1.8463799999999999E-2</v>
      </c>
      <c r="O42" s="558"/>
      <c r="P42" s="574">
        <v>1.9343800000000001E-2</v>
      </c>
      <c r="Q42" s="558"/>
      <c r="R42" s="574"/>
      <c r="S42" s="532"/>
      <c r="T42" s="532"/>
      <c r="U42" s="562"/>
      <c r="V42" s="405"/>
    </row>
    <row r="43" spans="1:22" x14ac:dyDescent="0.3">
      <c r="A43" s="428"/>
      <c r="B43" s="532" t="s">
        <v>15</v>
      </c>
      <c r="C43" s="575"/>
      <c r="D43" s="575">
        <v>39948</v>
      </c>
      <c r="E43" s="575"/>
      <c r="F43" s="575">
        <v>39948</v>
      </c>
      <c r="G43" s="575"/>
      <c r="H43" s="575">
        <v>39948</v>
      </c>
      <c r="I43" s="575"/>
      <c r="J43" s="575">
        <v>39948</v>
      </c>
      <c r="K43" s="575"/>
      <c r="L43" s="575">
        <v>39948</v>
      </c>
      <c r="M43" s="575"/>
      <c r="N43" s="575">
        <v>39948</v>
      </c>
      <c r="O43" s="575"/>
      <c r="P43" s="575">
        <v>39948</v>
      </c>
      <c r="Q43" s="552"/>
      <c r="R43" s="552"/>
      <c r="S43" s="532"/>
      <c r="T43" s="532"/>
      <c r="U43" s="562"/>
      <c r="V43" s="405"/>
    </row>
    <row r="44" spans="1:22" x14ac:dyDescent="0.3">
      <c r="A44" s="428"/>
      <c r="B44" s="532" t="s">
        <v>16</v>
      </c>
      <c r="C44" s="575"/>
      <c r="D44" s="575">
        <v>40313</v>
      </c>
      <c r="E44" s="575"/>
      <c r="F44" s="575">
        <v>40313</v>
      </c>
      <c r="G44" s="575"/>
      <c r="H44" s="575">
        <v>40313</v>
      </c>
      <c r="I44" s="552"/>
      <c r="J44" s="575">
        <v>40313</v>
      </c>
      <c r="K44" s="552"/>
      <c r="L44" s="575">
        <v>40313</v>
      </c>
      <c r="M44" s="552"/>
      <c r="N44" s="575">
        <v>40313</v>
      </c>
      <c r="O44" s="552"/>
      <c r="P44" s="575">
        <v>40313</v>
      </c>
      <c r="Q44" s="552"/>
      <c r="R44" s="552"/>
      <c r="S44" s="532"/>
      <c r="T44" s="532"/>
      <c r="U44" s="562"/>
      <c r="V44" s="405"/>
    </row>
    <row r="45" spans="1:22" x14ac:dyDescent="0.3">
      <c r="A45" s="428"/>
      <c r="B45" s="532" t="s">
        <v>128</v>
      </c>
      <c r="C45" s="532"/>
      <c r="D45" s="552" t="s">
        <v>166</v>
      </c>
      <c r="E45" s="532"/>
      <c r="F45" s="552" t="s">
        <v>166</v>
      </c>
      <c r="G45" s="552"/>
      <c r="H45" s="552" t="s">
        <v>166</v>
      </c>
      <c r="I45" s="552"/>
      <c r="J45" s="552" t="s">
        <v>204</v>
      </c>
      <c r="K45" s="552"/>
      <c r="L45" s="552" t="s">
        <v>204</v>
      </c>
      <c r="M45" s="552"/>
      <c r="N45" s="552" t="s">
        <v>205</v>
      </c>
      <c r="O45" s="552"/>
      <c r="P45" s="552" t="s">
        <v>205</v>
      </c>
      <c r="Q45" s="552"/>
      <c r="R45" s="552"/>
      <c r="S45" s="532"/>
      <c r="T45" s="532"/>
      <c r="U45" s="562"/>
      <c r="V45" s="405"/>
    </row>
    <row r="46" spans="1:22" x14ac:dyDescent="0.3">
      <c r="A46" s="428"/>
      <c r="B46" s="532" t="s">
        <v>295</v>
      </c>
      <c r="C46" s="532"/>
      <c r="D46" s="552" t="s">
        <v>166</v>
      </c>
      <c r="E46" s="532"/>
      <c r="F46" s="552" t="s">
        <v>209</v>
      </c>
      <c r="G46" s="552"/>
      <c r="H46" s="552" t="s">
        <v>210</v>
      </c>
      <c r="I46" s="552"/>
      <c r="J46" s="552" t="s">
        <v>204</v>
      </c>
      <c r="K46" s="552"/>
      <c r="L46" s="552" t="s">
        <v>211</v>
      </c>
      <c r="M46" s="552"/>
      <c r="N46" s="552" t="s">
        <v>205</v>
      </c>
      <c r="O46" s="552"/>
      <c r="P46" s="552" t="s">
        <v>212</v>
      </c>
      <c r="Q46" s="552"/>
      <c r="R46" s="552"/>
      <c r="S46" s="532"/>
      <c r="T46" s="532"/>
      <c r="U46" s="562"/>
      <c r="V46" s="405"/>
    </row>
    <row r="47" spans="1:22" x14ac:dyDescent="0.3">
      <c r="A47" s="428"/>
      <c r="B47" s="532"/>
      <c r="C47" s="532"/>
      <c r="D47" s="532"/>
      <c r="E47" s="532"/>
      <c r="F47" s="552"/>
      <c r="G47" s="552"/>
      <c r="H47" s="550"/>
      <c r="I47" s="550"/>
      <c r="J47" s="550"/>
      <c r="K47" s="550"/>
      <c r="L47" s="550"/>
      <c r="M47" s="550"/>
      <c r="N47" s="550"/>
      <c r="O47" s="550"/>
      <c r="P47" s="550"/>
      <c r="Q47" s="550"/>
      <c r="R47" s="550"/>
      <c r="S47" s="550"/>
      <c r="T47" s="550"/>
      <c r="U47" s="562"/>
      <c r="V47" s="405"/>
    </row>
    <row r="48" spans="1:22" x14ac:dyDescent="0.3">
      <c r="A48" s="428"/>
      <c r="B48" s="532" t="s">
        <v>224</v>
      </c>
      <c r="C48" s="532"/>
      <c r="D48" s="532"/>
      <c r="E48" s="532"/>
      <c r="F48" s="576"/>
      <c r="G48" s="532"/>
      <c r="H48" s="532"/>
      <c r="I48" s="532"/>
      <c r="J48" s="532"/>
      <c r="K48" s="532"/>
      <c r="L48" s="532"/>
      <c r="M48" s="532"/>
      <c r="N48" s="532"/>
      <c r="O48" s="532"/>
      <c r="P48" s="532"/>
      <c r="Q48" s="532"/>
      <c r="R48" s="532"/>
      <c r="S48" s="532"/>
      <c r="T48" s="558">
        <f>SUM(J32:P32)/SUM(D32:H32)</f>
        <v>0.1210762331838565</v>
      </c>
      <c r="U48" s="562"/>
      <c r="V48" s="405"/>
    </row>
    <row r="49" spans="1:23" x14ac:dyDescent="0.3">
      <c r="A49" s="428"/>
      <c r="B49" s="532" t="s">
        <v>225</v>
      </c>
      <c r="C49" s="532"/>
      <c r="D49" s="532"/>
      <c r="E49" s="532"/>
      <c r="F49" s="576"/>
      <c r="G49" s="532"/>
      <c r="H49" s="532"/>
      <c r="I49" s="532"/>
      <c r="J49" s="532"/>
      <c r="K49" s="532"/>
      <c r="L49" s="532"/>
      <c r="M49" s="532"/>
      <c r="N49" s="532"/>
      <c r="O49" s="532"/>
      <c r="P49" s="532"/>
      <c r="Q49" s="532"/>
      <c r="R49" s="532"/>
      <c r="S49" s="532"/>
      <c r="T49" s="558">
        <f>SUM(J34:P34)/SUM(D34:H34)</f>
        <v>0.27550803113584288</v>
      </c>
      <c r="U49" s="562"/>
      <c r="V49" s="405"/>
    </row>
    <row r="50" spans="1:23" x14ac:dyDescent="0.3">
      <c r="A50" s="428"/>
      <c r="B50" s="532" t="s">
        <v>226</v>
      </c>
      <c r="C50" s="532"/>
      <c r="D50" s="532"/>
      <c r="E50" s="532"/>
      <c r="F50" s="532"/>
      <c r="G50" s="532"/>
      <c r="H50" s="532"/>
      <c r="I50" s="532"/>
      <c r="J50" s="532"/>
      <c r="K50" s="532"/>
      <c r="L50" s="532"/>
      <c r="M50" s="532"/>
      <c r="N50" s="532"/>
      <c r="O50" s="532"/>
      <c r="P50" s="532"/>
      <c r="Q50" s="532"/>
      <c r="R50" s="552" t="s">
        <v>112</v>
      </c>
      <c r="S50" s="552" t="s">
        <v>118</v>
      </c>
      <c r="T50" s="577">
        <f>+T32/2-SUM(J32:P32)</f>
        <v>274400</v>
      </c>
      <c r="U50" s="562"/>
      <c r="V50" s="405"/>
    </row>
    <row r="51" spans="1:23" x14ac:dyDescent="0.3">
      <c r="A51" s="428"/>
      <c r="B51" s="532"/>
      <c r="C51" s="532"/>
      <c r="D51" s="532"/>
      <c r="E51" s="532"/>
      <c r="F51" s="532"/>
      <c r="G51" s="532"/>
      <c r="H51" s="532"/>
      <c r="I51" s="532"/>
      <c r="J51" s="532"/>
      <c r="K51" s="532"/>
      <c r="L51" s="532"/>
      <c r="M51" s="532"/>
      <c r="N51" s="532"/>
      <c r="O51" s="532"/>
      <c r="P51" s="532"/>
      <c r="Q51" s="532"/>
      <c r="R51" s="532" t="s">
        <v>284</v>
      </c>
      <c r="S51" s="532"/>
      <c r="T51" s="560"/>
      <c r="U51" s="562"/>
      <c r="V51" s="405"/>
    </row>
    <row r="52" spans="1:23" x14ac:dyDescent="0.3">
      <c r="A52" s="428"/>
      <c r="B52" s="532" t="s">
        <v>154</v>
      </c>
      <c r="C52" s="532"/>
      <c r="D52" s="532"/>
      <c r="E52" s="532"/>
      <c r="F52" s="532"/>
      <c r="G52" s="532"/>
      <c r="H52" s="532"/>
      <c r="I52" s="532"/>
      <c r="J52" s="532"/>
      <c r="K52" s="532"/>
      <c r="L52" s="532"/>
      <c r="M52" s="532"/>
      <c r="N52" s="532"/>
      <c r="O52" s="532"/>
      <c r="P52" s="532"/>
      <c r="Q52" s="532"/>
      <c r="R52" s="552"/>
      <c r="S52" s="552"/>
      <c r="T52" s="552" t="s">
        <v>120</v>
      </c>
      <c r="U52" s="562"/>
      <c r="V52" s="405"/>
    </row>
    <row r="53" spans="1:23" x14ac:dyDescent="0.3">
      <c r="A53" s="428"/>
      <c r="B53" s="536" t="s">
        <v>155</v>
      </c>
      <c r="C53" s="536"/>
      <c r="D53" s="536"/>
      <c r="E53" s="536"/>
      <c r="F53" s="536"/>
      <c r="G53" s="536"/>
      <c r="H53" s="536"/>
      <c r="I53" s="536"/>
      <c r="J53" s="536"/>
      <c r="K53" s="536"/>
      <c r="L53" s="536"/>
      <c r="M53" s="536"/>
      <c r="N53" s="536"/>
      <c r="O53" s="536"/>
      <c r="P53" s="536"/>
      <c r="Q53" s="536"/>
      <c r="R53" s="557"/>
      <c r="S53" s="557"/>
      <c r="T53" s="578">
        <v>43784</v>
      </c>
      <c r="U53" s="562"/>
      <c r="V53" s="405"/>
    </row>
    <row r="54" spans="1:23" x14ac:dyDescent="0.3">
      <c r="A54" s="428"/>
      <c r="B54" s="532" t="s">
        <v>130</v>
      </c>
      <c r="C54" s="532"/>
      <c r="D54" s="532"/>
      <c r="E54" s="532"/>
      <c r="F54" s="532"/>
      <c r="G54" s="532"/>
      <c r="H54" s="579"/>
      <c r="I54" s="579"/>
      <c r="J54" s="579"/>
      <c r="K54" s="579"/>
      <c r="L54" s="579"/>
      <c r="M54" s="579"/>
      <c r="N54" s="579"/>
      <c r="O54" s="579"/>
      <c r="P54" s="532">
        <f>+T54-R54+1</f>
        <v>92</v>
      </c>
      <c r="Q54" s="532"/>
      <c r="R54" s="580">
        <v>43600</v>
      </c>
      <c r="S54" s="581"/>
      <c r="T54" s="580">
        <v>43691</v>
      </c>
      <c r="U54" s="562"/>
      <c r="V54" s="405"/>
    </row>
    <row r="55" spans="1:23" x14ac:dyDescent="0.3">
      <c r="A55" s="428"/>
      <c r="B55" s="532" t="s">
        <v>131</v>
      </c>
      <c r="C55" s="532"/>
      <c r="D55" s="532"/>
      <c r="E55" s="532"/>
      <c r="F55" s="532"/>
      <c r="G55" s="532"/>
      <c r="H55" s="532"/>
      <c r="I55" s="532"/>
      <c r="J55" s="532"/>
      <c r="K55" s="532"/>
      <c r="L55" s="532"/>
      <c r="M55" s="532"/>
      <c r="N55" s="532"/>
      <c r="O55" s="532"/>
      <c r="P55" s="532">
        <f>+T55-R55+1</f>
        <v>92</v>
      </c>
      <c r="Q55" s="532"/>
      <c r="R55" s="580">
        <v>43692</v>
      </c>
      <c r="S55" s="581"/>
      <c r="T55" s="580">
        <v>43783</v>
      </c>
      <c r="U55" s="562"/>
      <c r="V55" s="405"/>
    </row>
    <row r="56" spans="1:23" x14ac:dyDescent="0.3">
      <c r="A56" s="428"/>
      <c r="B56" s="532" t="s">
        <v>213</v>
      </c>
      <c r="C56" s="532"/>
      <c r="D56" s="532"/>
      <c r="E56" s="532"/>
      <c r="F56" s="532"/>
      <c r="G56" s="532"/>
      <c r="H56" s="532"/>
      <c r="I56" s="532"/>
      <c r="J56" s="532"/>
      <c r="K56" s="532"/>
      <c r="L56" s="532"/>
      <c r="M56" s="532"/>
      <c r="N56" s="532"/>
      <c r="O56" s="532"/>
      <c r="P56" s="532"/>
      <c r="Q56" s="532"/>
      <c r="R56" s="580"/>
      <c r="S56" s="581"/>
      <c r="T56" s="580" t="s">
        <v>129</v>
      </c>
      <c r="U56" s="562"/>
      <c r="V56" s="405"/>
    </row>
    <row r="57" spans="1:23" x14ac:dyDescent="0.3">
      <c r="A57" s="428"/>
      <c r="B57" s="532" t="s">
        <v>227</v>
      </c>
      <c r="C57" s="532"/>
      <c r="D57" s="532"/>
      <c r="E57" s="532"/>
      <c r="F57" s="532"/>
      <c r="G57" s="532"/>
      <c r="H57" s="532"/>
      <c r="I57" s="532"/>
      <c r="J57" s="532"/>
      <c r="K57" s="532"/>
      <c r="L57" s="532"/>
      <c r="M57" s="532"/>
      <c r="N57" s="532"/>
      <c r="O57" s="532"/>
      <c r="P57" s="532"/>
      <c r="Q57" s="532"/>
      <c r="R57" s="580"/>
      <c r="S57" s="581"/>
      <c r="T57" s="580" t="s">
        <v>169</v>
      </c>
      <c r="U57" s="562"/>
      <c r="V57" s="405"/>
      <c r="W57" s="429"/>
    </row>
    <row r="58" spans="1:23" x14ac:dyDescent="0.3">
      <c r="A58" s="428"/>
      <c r="B58" s="532" t="s">
        <v>17</v>
      </c>
      <c r="C58" s="532"/>
      <c r="D58" s="532"/>
      <c r="E58" s="532"/>
      <c r="F58" s="532"/>
      <c r="G58" s="532"/>
      <c r="H58" s="532"/>
      <c r="I58" s="532"/>
      <c r="J58" s="532"/>
      <c r="K58" s="532"/>
      <c r="L58" s="532"/>
      <c r="M58" s="532"/>
      <c r="N58" s="532"/>
      <c r="O58" s="532"/>
      <c r="P58" s="532"/>
      <c r="Q58" s="532"/>
      <c r="R58" s="580"/>
      <c r="S58" s="581"/>
      <c r="T58" s="580">
        <v>43770</v>
      </c>
      <c r="U58" s="562"/>
      <c r="V58" s="405"/>
    </row>
    <row r="59" spans="1:23" x14ac:dyDescent="0.3">
      <c r="A59" s="430"/>
      <c r="B59" s="431"/>
      <c r="C59" s="431"/>
      <c r="D59" s="431"/>
      <c r="E59" s="431"/>
      <c r="F59" s="431"/>
      <c r="G59" s="431"/>
      <c r="H59" s="431"/>
      <c r="I59" s="431"/>
      <c r="J59" s="431"/>
      <c r="K59" s="431"/>
      <c r="L59" s="431"/>
      <c r="M59" s="431"/>
      <c r="N59" s="431"/>
      <c r="O59" s="431"/>
      <c r="P59" s="431"/>
      <c r="Q59" s="431"/>
      <c r="R59" s="432"/>
      <c r="S59" s="433"/>
      <c r="T59" s="432"/>
      <c r="U59" s="431"/>
      <c r="V59" s="405"/>
    </row>
    <row r="60" spans="1:23" x14ac:dyDescent="0.3">
      <c r="A60" s="430"/>
      <c r="B60" s="434"/>
      <c r="C60" s="434"/>
      <c r="D60" s="434"/>
      <c r="E60" s="434"/>
      <c r="F60" s="434"/>
      <c r="G60" s="434"/>
      <c r="H60" s="434"/>
      <c r="I60" s="434"/>
      <c r="J60" s="434"/>
      <c r="K60" s="434"/>
      <c r="L60" s="434"/>
      <c r="M60" s="434"/>
      <c r="N60" s="434"/>
      <c r="O60" s="434"/>
      <c r="P60" s="434"/>
      <c r="Q60" s="434"/>
      <c r="R60" s="435"/>
      <c r="S60" s="436"/>
      <c r="T60" s="435"/>
      <c r="U60" s="434"/>
      <c r="V60" s="405"/>
    </row>
    <row r="61" spans="1:23" ht="18.600000000000001" thickBot="1" x14ac:dyDescent="0.4">
      <c r="A61" s="437"/>
      <c r="B61" s="565" t="s">
        <v>362</v>
      </c>
      <c r="C61" s="438"/>
      <c r="D61" s="438"/>
      <c r="E61" s="438"/>
      <c r="F61" s="438"/>
      <c r="G61" s="438"/>
      <c r="H61" s="438"/>
      <c r="I61" s="438"/>
      <c r="J61" s="438"/>
      <c r="K61" s="438"/>
      <c r="L61" s="438"/>
      <c r="M61" s="438"/>
      <c r="N61" s="438"/>
      <c r="O61" s="438"/>
      <c r="P61" s="438"/>
      <c r="Q61" s="438"/>
      <c r="R61" s="438"/>
      <c r="S61" s="438"/>
      <c r="T61" s="439"/>
      <c r="U61" s="440"/>
      <c r="V61" s="405"/>
    </row>
    <row r="62" spans="1:23" x14ac:dyDescent="0.3">
      <c r="A62" s="503"/>
      <c r="B62" s="505" t="s">
        <v>18</v>
      </c>
      <c r="C62" s="504"/>
      <c r="D62" s="504"/>
      <c r="E62" s="504"/>
      <c r="F62" s="504"/>
      <c r="G62" s="504"/>
      <c r="H62" s="504"/>
      <c r="I62" s="504"/>
      <c r="J62" s="504"/>
      <c r="K62" s="504"/>
      <c r="L62" s="504"/>
      <c r="M62" s="504"/>
      <c r="N62" s="504"/>
      <c r="O62" s="504"/>
      <c r="P62" s="504"/>
      <c r="Q62" s="504"/>
      <c r="R62" s="504"/>
      <c r="S62" s="504"/>
      <c r="T62" s="506"/>
      <c r="U62" s="504"/>
      <c r="V62" s="405"/>
    </row>
    <row r="63" spans="1:23" x14ac:dyDescent="0.3">
      <c r="A63" s="407"/>
      <c r="B63" s="415"/>
      <c r="C63" s="409"/>
      <c r="D63" s="409"/>
      <c r="E63" s="409"/>
      <c r="F63" s="409"/>
      <c r="G63" s="409"/>
      <c r="H63" s="409"/>
      <c r="I63" s="409"/>
      <c r="J63" s="409"/>
      <c r="K63" s="409"/>
      <c r="L63" s="409"/>
      <c r="M63" s="409"/>
      <c r="N63" s="409"/>
      <c r="O63" s="409"/>
      <c r="P63" s="409"/>
      <c r="Q63" s="409"/>
      <c r="R63" s="409"/>
      <c r="S63" s="409"/>
      <c r="T63" s="441"/>
      <c r="U63" s="409"/>
      <c r="V63" s="405"/>
    </row>
    <row r="64" spans="1:23" ht="46.8" x14ac:dyDescent="0.3">
      <c r="A64" s="407"/>
      <c r="B64" s="519" t="s">
        <v>19</v>
      </c>
      <c r="C64" s="520"/>
      <c r="D64" s="520"/>
      <c r="E64" s="520"/>
      <c r="F64" s="520"/>
      <c r="G64" s="520"/>
      <c r="H64" s="520"/>
      <c r="I64" s="520"/>
      <c r="J64" s="520" t="s">
        <v>100</v>
      </c>
      <c r="K64" s="520"/>
      <c r="L64" s="520" t="s">
        <v>102</v>
      </c>
      <c r="M64" s="520"/>
      <c r="N64" s="520" t="s">
        <v>104</v>
      </c>
      <c r="O64" s="520"/>
      <c r="P64" s="520" t="s">
        <v>106</v>
      </c>
      <c r="Q64" s="520"/>
      <c r="R64" s="520" t="s">
        <v>113</v>
      </c>
      <c r="S64" s="520"/>
      <c r="T64" s="521" t="s">
        <v>121</v>
      </c>
      <c r="U64" s="442"/>
      <c r="V64" s="405"/>
    </row>
    <row r="65" spans="1:22" x14ac:dyDescent="0.3">
      <c r="A65" s="418"/>
      <c r="B65" s="532" t="s">
        <v>20</v>
      </c>
      <c r="C65" s="531"/>
      <c r="D65" s="531"/>
      <c r="E65" s="531"/>
      <c r="F65" s="531"/>
      <c r="G65" s="531"/>
      <c r="H65" s="531"/>
      <c r="I65" s="531"/>
      <c r="J65" s="531">
        <v>699958</v>
      </c>
      <c r="K65" s="531"/>
      <c r="L65" s="535">
        <v>205577</v>
      </c>
      <c r="M65" s="531"/>
      <c r="N65" s="531">
        <v>4101</v>
      </c>
      <c r="O65" s="531"/>
      <c r="P65" s="531">
        <v>0</v>
      </c>
      <c r="Q65" s="531"/>
      <c r="R65" s="531">
        <v>0</v>
      </c>
      <c r="S65" s="531"/>
      <c r="T65" s="535">
        <f>+L65-N65+P65-R65</f>
        <v>201476</v>
      </c>
      <c r="U65" s="420"/>
      <c r="V65" s="405"/>
    </row>
    <row r="66" spans="1:22" x14ac:dyDescent="0.3">
      <c r="A66" s="418"/>
      <c r="B66" s="532" t="s">
        <v>21</v>
      </c>
      <c r="C66" s="531"/>
      <c r="D66" s="531"/>
      <c r="E66" s="531"/>
      <c r="F66" s="531"/>
      <c r="G66" s="531"/>
      <c r="H66" s="531"/>
      <c r="I66" s="531"/>
      <c r="J66" s="531">
        <v>42</v>
      </c>
      <c r="K66" s="531"/>
      <c r="L66" s="535">
        <v>0</v>
      </c>
      <c r="M66" s="531"/>
      <c r="N66" s="531">
        <v>0</v>
      </c>
      <c r="O66" s="531"/>
      <c r="P66" s="531">
        <v>0</v>
      </c>
      <c r="Q66" s="531"/>
      <c r="R66" s="531">
        <v>0</v>
      </c>
      <c r="S66" s="531"/>
      <c r="T66" s="535">
        <f>+L66-N66</f>
        <v>0</v>
      </c>
      <c r="U66" s="420"/>
      <c r="V66" s="405"/>
    </row>
    <row r="67" spans="1:22" x14ac:dyDescent="0.3">
      <c r="A67" s="418"/>
      <c r="B67" s="532"/>
      <c r="C67" s="531"/>
      <c r="D67" s="531"/>
      <c r="E67" s="531"/>
      <c r="F67" s="531"/>
      <c r="G67" s="531"/>
      <c r="H67" s="531"/>
      <c r="I67" s="531"/>
      <c r="J67" s="531"/>
      <c r="K67" s="531"/>
      <c r="L67" s="535"/>
      <c r="M67" s="531"/>
      <c r="N67" s="531"/>
      <c r="O67" s="531"/>
      <c r="P67" s="531"/>
      <c r="Q67" s="531"/>
      <c r="R67" s="531"/>
      <c r="S67" s="531"/>
      <c r="T67" s="535"/>
      <c r="U67" s="420"/>
      <c r="V67" s="405"/>
    </row>
    <row r="68" spans="1:22" x14ac:dyDescent="0.3">
      <c r="A68" s="418"/>
      <c r="B68" s="532" t="s">
        <v>22</v>
      </c>
      <c r="C68" s="531"/>
      <c r="D68" s="531"/>
      <c r="E68" s="531"/>
      <c r="F68" s="531"/>
      <c r="G68" s="531"/>
      <c r="H68" s="531"/>
      <c r="I68" s="531"/>
      <c r="J68" s="531">
        <f>SUM(J65:J67)</f>
        <v>700000</v>
      </c>
      <c r="K68" s="531"/>
      <c r="L68" s="531">
        <f>L65+L66</f>
        <v>205577</v>
      </c>
      <c r="M68" s="531"/>
      <c r="N68" s="531">
        <f>SUM(N65:N67)</f>
        <v>4101</v>
      </c>
      <c r="O68" s="531"/>
      <c r="P68" s="531">
        <f>SUM(P65:P67)</f>
        <v>0</v>
      </c>
      <c r="Q68" s="531"/>
      <c r="R68" s="531">
        <f>SUM(R65:R67)</f>
        <v>0</v>
      </c>
      <c r="S68" s="531"/>
      <c r="T68" s="531">
        <f>SUM(T65:T67)</f>
        <v>201476</v>
      </c>
      <c r="U68" s="420"/>
      <c r="V68" s="405"/>
    </row>
    <row r="69" spans="1:22" x14ac:dyDescent="0.3">
      <c r="A69" s="407"/>
      <c r="B69" s="539"/>
      <c r="C69" s="572"/>
      <c r="D69" s="572"/>
      <c r="E69" s="572"/>
      <c r="F69" s="572"/>
      <c r="G69" s="572"/>
      <c r="H69" s="572"/>
      <c r="I69" s="572"/>
      <c r="J69" s="572"/>
      <c r="K69" s="572"/>
      <c r="L69" s="572"/>
      <c r="M69" s="572"/>
      <c r="N69" s="572"/>
      <c r="O69" s="572"/>
      <c r="P69" s="572"/>
      <c r="Q69" s="572"/>
      <c r="R69" s="572"/>
      <c r="S69" s="572"/>
      <c r="T69" s="572"/>
      <c r="U69" s="444"/>
      <c r="V69" s="405"/>
    </row>
    <row r="70" spans="1:22" x14ac:dyDescent="0.3">
      <c r="A70" s="407"/>
      <c r="B70" s="545" t="s">
        <v>23</v>
      </c>
      <c r="C70" s="573"/>
      <c r="D70" s="573"/>
      <c r="E70" s="573"/>
      <c r="F70" s="573"/>
      <c r="G70" s="573"/>
      <c r="H70" s="573"/>
      <c r="I70" s="573"/>
      <c r="J70" s="573"/>
      <c r="K70" s="573"/>
      <c r="L70" s="573"/>
      <c r="M70" s="573"/>
      <c r="N70" s="573"/>
      <c r="O70" s="573"/>
      <c r="P70" s="573"/>
      <c r="Q70" s="573"/>
      <c r="R70" s="573"/>
      <c r="S70" s="573"/>
      <c r="T70" s="573"/>
      <c r="U70" s="409"/>
      <c r="V70" s="405"/>
    </row>
    <row r="71" spans="1:22" x14ac:dyDescent="0.3">
      <c r="A71" s="407"/>
      <c r="B71" s="542"/>
      <c r="C71" s="573"/>
      <c r="D71" s="573"/>
      <c r="E71" s="573"/>
      <c r="F71" s="573"/>
      <c r="G71" s="573"/>
      <c r="H71" s="573"/>
      <c r="I71" s="573"/>
      <c r="J71" s="573"/>
      <c r="K71" s="573"/>
      <c r="L71" s="573"/>
      <c r="M71" s="573"/>
      <c r="N71" s="573"/>
      <c r="O71" s="573"/>
      <c r="P71" s="573"/>
      <c r="Q71" s="573"/>
      <c r="R71" s="573"/>
      <c r="S71" s="573"/>
      <c r="T71" s="573"/>
      <c r="U71" s="409"/>
      <c r="V71" s="405"/>
    </row>
    <row r="72" spans="1:22" x14ac:dyDescent="0.3">
      <c r="A72" s="418"/>
      <c r="B72" s="532" t="s">
        <v>20</v>
      </c>
      <c r="C72" s="531"/>
      <c r="D72" s="531"/>
      <c r="E72" s="531"/>
      <c r="F72" s="531"/>
      <c r="G72" s="531"/>
      <c r="H72" s="531"/>
      <c r="I72" s="531"/>
      <c r="J72" s="531"/>
      <c r="K72" s="531"/>
      <c r="L72" s="531"/>
      <c r="M72" s="531"/>
      <c r="N72" s="531"/>
      <c r="O72" s="531"/>
      <c r="P72" s="531"/>
      <c r="Q72" s="531"/>
      <c r="R72" s="531"/>
      <c r="S72" s="531"/>
      <c r="T72" s="531"/>
      <c r="U72" s="420"/>
      <c r="V72" s="405"/>
    </row>
    <row r="73" spans="1:22" x14ac:dyDescent="0.3">
      <c r="A73" s="418"/>
      <c r="B73" s="532" t="s">
        <v>21</v>
      </c>
      <c r="C73" s="531"/>
      <c r="D73" s="531"/>
      <c r="E73" s="531"/>
      <c r="F73" s="531"/>
      <c r="G73" s="531"/>
      <c r="H73" s="531"/>
      <c r="I73" s="531"/>
      <c r="J73" s="531"/>
      <c r="K73" s="531"/>
      <c r="L73" s="531"/>
      <c r="M73" s="531"/>
      <c r="N73" s="531"/>
      <c r="O73" s="531"/>
      <c r="P73" s="531"/>
      <c r="Q73" s="531"/>
      <c r="R73" s="531"/>
      <c r="S73" s="531"/>
      <c r="T73" s="531"/>
      <c r="U73" s="420"/>
      <c r="V73" s="405"/>
    </row>
    <row r="74" spans="1:22" x14ac:dyDescent="0.3">
      <c r="A74" s="418"/>
      <c r="B74" s="532"/>
      <c r="C74" s="531"/>
      <c r="D74" s="531"/>
      <c r="E74" s="531"/>
      <c r="F74" s="531"/>
      <c r="G74" s="531"/>
      <c r="H74" s="531"/>
      <c r="I74" s="531"/>
      <c r="J74" s="531"/>
      <c r="K74" s="531"/>
      <c r="L74" s="531"/>
      <c r="M74" s="531"/>
      <c r="N74" s="531"/>
      <c r="O74" s="531"/>
      <c r="P74" s="531"/>
      <c r="Q74" s="531"/>
      <c r="R74" s="531"/>
      <c r="S74" s="531"/>
      <c r="T74" s="531"/>
      <c r="U74" s="420"/>
      <c r="V74" s="405"/>
    </row>
    <row r="75" spans="1:22" x14ac:dyDescent="0.3">
      <c r="A75" s="418"/>
      <c r="B75" s="532" t="s">
        <v>22</v>
      </c>
      <c r="C75" s="531"/>
      <c r="D75" s="531"/>
      <c r="E75" s="531"/>
      <c r="F75" s="531"/>
      <c r="G75" s="531"/>
      <c r="H75" s="531"/>
      <c r="I75" s="531"/>
      <c r="J75" s="531"/>
      <c r="K75" s="531"/>
      <c r="L75" s="531"/>
      <c r="M75" s="531"/>
      <c r="N75" s="531"/>
      <c r="O75" s="531"/>
      <c r="P75" s="531"/>
      <c r="Q75" s="531"/>
      <c r="R75" s="531"/>
      <c r="S75" s="531"/>
      <c r="T75" s="531"/>
      <c r="U75" s="420"/>
      <c r="V75" s="405"/>
    </row>
    <row r="76" spans="1:22" x14ac:dyDescent="0.3">
      <c r="A76" s="418"/>
      <c r="B76" s="532"/>
      <c r="C76" s="531"/>
      <c r="D76" s="531"/>
      <c r="E76" s="531"/>
      <c r="F76" s="531"/>
      <c r="G76" s="531"/>
      <c r="H76" s="531"/>
      <c r="I76" s="531"/>
      <c r="J76" s="531"/>
      <c r="K76" s="531"/>
      <c r="L76" s="531"/>
      <c r="M76" s="531"/>
      <c r="N76" s="531"/>
      <c r="O76" s="531"/>
      <c r="P76" s="531"/>
      <c r="Q76" s="531"/>
      <c r="R76" s="531"/>
      <c r="S76" s="531"/>
      <c r="T76" s="531"/>
      <c r="U76" s="420"/>
      <c r="V76" s="405"/>
    </row>
    <row r="77" spans="1:22" x14ac:dyDescent="0.3">
      <c r="A77" s="418"/>
      <c r="B77" s="532" t="s">
        <v>24</v>
      </c>
      <c r="C77" s="531"/>
      <c r="D77" s="531"/>
      <c r="E77" s="531"/>
      <c r="F77" s="531"/>
      <c r="G77" s="531"/>
      <c r="H77" s="531"/>
      <c r="I77" s="531"/>
      <c r="J77" s="531">
        <v>0</v>
      </c>
      <c r="K77" s="531"/>
      <c r="L77" s="531">
        <v>0</v>
      </c>
      <c r="M77" s="531"/>
      <c r="N77" s="531"/>
      <c r="O77" s="531"/>
      <c r="P77" s="531"/>
      <c r="Q77" s="531"/>
      <c r="R77" s="531"/>
      <c r="S77" s="531"/>
      <c r="T77" s="535">
        <v>0</v>
      </c>
      <c r="U77" s="420"/>
      <c r="V77" s="405"/>
    </row>
    <row r="78" spans="1:22" x14ac:dyDescent="0.3">
      <c r="A78" s="418"/>
      <c r="B78" s="532" t="s">
        <v>126</v>
      </c>
      <c r="C78" s="531"/>
      <c r="D78" s="531"/>
      <c r="E78" s="531"/>
      <c r="F78" s="531"/>
      <c r="G78" s="531"/>
      <c r="H78" s="531"/>
      <c r="I78" s="531"/>
      <c r="J78" s="531">
        <v>0</v>
      </c>
      <c r="K78" s="531"/>
      <c r="L78" s="531">
        <v>0</v>
      </c>
      <c r="M78" s="531"/>
      <c r="N78" s="531"/>
      <c r="O78" s="531"/>
      <c r="P78" s="531"/>
      <c r="Q78" s="531"/>
      <c r="R78" s="531"/>
      <c r="S78" s="531"/>
      <c r="T78" s="531">
        <f>SUM(J78:P78)</f>
        <v>0</v>
      </c>
      <c r="U78" s="420"/>
      <c r="V78" s="405"/>
    </row>
    <row r="79" spans="1:22" x14ac:dyDescent="0.3">
      <c r="A79" s="418"/>
      <c r="B79" s="532" t="s">
        <v>157</v>
      </c>
      <c r="C79" s="531"/>
      <c r="D79" s="531"/>
      <c r="E79" s="531"/>
      <c r="F79" s="531"/>
      <c r="G79" s="531"/>
      <c r="H79" s="531"/>
      <c r="I79" s="531"/>
      <c r="J79" s="531">
        <v>0</v>
      </c>
      <c r="K79" s="531"/>
      <c r="L79" s="531">
        <v>0</v>
      </c>
      <c r="M79" s="531"/>
      <c r="N79" s="531"/>
      <c r="O79" s="531"/>
      <c r="P79" s="531"/>
      <c r="Q79" s="531"/>
      <c r="R79" s="531"/>
      <c r="S79" s="531"/>
      <c r="T79" s="531">
        <v>0</v>
      </c>
      <c r="U79" s="420"/>
      <c r="V79" s="405"/>
    </row>
    <row r="80" spans="1:22" x14ac:dyDescent="0.3">
      <c r="A80" s="418"/>
      <c r="B80" s="532" t="s">
        <v>26</v>
      </c>
      <c r="C80" s="531"/>
      <c r="D80" s="531"/>
      <c r="E80" s="531"/>
      <c r="F80" s="531"/>
      <c r="G80" s="531"/>
      <c r="H80" s="531"/>
      <c r="I80" s="531"/>
      <c r="J80" s="531">
        <v>0</v>
      </c>
      <c r="K80" s="531"/>
      <c r="L80" s="531">
        <v>0</v>
      </c>
      <c r="M80" s="531"/>
      <c r="N80" s="531"/>
      <c r="O80" s="531"/>
      <c r="P80" s="531"/>
      <c r="Q80" s="531"/>
      <c r="R80" s="531"/>
      <c r="S80" s="531"/>
      <c r="T80" s="531">
        <v>0</v>
      </c>
      <c r="U80" s="420"/>
      <c r="V80" s="405"/>
    </row>
    <row r="81" spans="1:22" x14ac:dyDescent="0.3">
      <c r="A81" s="418"/>
      <c r="B81" s="532" t="s">
        <v>27</v>
      </c>
      <c r="C81" s="531"/>
      <c r="D81" s="531"/>
      <c r="E81" s="531"/>
      <c r="F81" s="531"/>
      <c r="G81" s="531"/>
      <c r="H81" s="531"/>
      <c r="I81" s="531"/>
      <c r="J81" s="531">
        <f>SUM(J68:J80)</f>
        <v>700000</v>
      </c>
      <c r="K81" s="531"/>
      <c r="L81" s="531">
        <f>SUM(L68:L80)</f>
        <v>205577</v>
      </c>
      <c r="M81" s="531"/>
      <c r="N81" s="531"/>
      <c r="O81" s="531"/>
      <c r="P81" s="531"/>
      <c r="Q81" s="531"/>
      <c r="R81" s="531"/>
      <c r="S81" s="531"/>
      <c r="T81" s="531">
        <f>SUM(T68:T80)</f>
        <v>201476</v>
      </c>
      <c r="U81" s="420"/>
      <c r="V81" s="405"/>
    </row>
    <row r="82" spans="1:22" x14ac:dyDescent="0.3">
      <c r="A82" s="407"/>
      <c r="B82" s="444"/>
      <c r="C82" s="445"/>
      <c r="D82" s="445"/>
      <c r="E82" s="445"/>
      <c r="F82" s="445"/>
      <c r="G82" s="445"/>
      <c r="H82" s="445"/>
      <c r="I82" s="445"/>
      <c r="J82" s="445"/>
      <c r="K82" s="445"/>
      <c r="L82" s="445"/>
      <c r="M82" s="445"/>
      <c r="N82" s="445"/>
      <c r="O82" s="445"/>
      <c r="P82" s="445"/>
      <c r="Q82" s="445"/>
      <c r="R82" s="445"/>
      <c r="S82" s="445"/>
      <c r="T82" s="446"/>
      <c r="U82" s="444"/>
      <c r="V82" s="405"/>
    </row>
    <row r="83" spans="1:22" x14ac:dyDescent="0.3">
      <c r="A83" s="407"/>
      <c r="B83" s="409"/>
      <c r="C83" s="409"/>
      <c r="D83" s="409"/>
      <c r="E83" s="409"/>
      <c r="F83" s="409"/>
      <c r="G83" s="409"/>
      <c r="H83" s="409"/>
      <c r="I83" s="409"/>
      <c r="J83" s="409"/>
      <c r="K83" s="409"/>
      <c r="L83" s="409"/>
      <c r="M83" s="409"/>
      <c r="N83" s="409"/>
      <c r="O83" s="409"/>
      <c r="P83" s="409"/>
      <c r="Q83" s="409"/>
      <c r="R83" s="409"/>
      <c r="S83" s="409"/>
      <c r="T83" s="409"/>
      <c r="U83" s="409"/>
      <c r="V83" s="405"/>
    </row>
    <row r="84" spans="1:22" x14ac:dyDescent="0.3">
      <c r="A84" s="503"/>
      <c r="B84" s="612" t="s">
        <v>28</v>
      </c>
      <c r="C84" s="612"/>
      <c r="D84" s="612"/>
      <c r="E84" s="612"/>
      <c r="F84" s="612"/>
      <c r="G84" s="612"/>
      <c r="H84" s="613"/>
      <c r="I84" s="613"/>
      <c r="J84" s="614" t="s">
        <v>101</v>
      </c>
      <c r="K84" s="613"/>
      <c r="L84" s="615">
        <f>+R199</f>
        <v>43769</v>
      </c>
      <c r="M84" s="613"/>
      <c r="N84" s="613"/>
      <c r="O84" s="613"/>
      <c r="P84" s="613"/>
      <c r="Q84" s="613"/>
      <c r="R84" s="613" t="s">
        <v>114</v>
      </c>
      <c r="S84" s="613"/>
      <c r="T84" s="613" t="s">
        <v>122</v>
      </c>
      <c r="U84" s="611"/>
      <c r="V84" s="405"/>
    </row>
    <row r="85" spans="1:22" x14ac:dyDescent="0.3">
      <c r="A85" s="430"/>
      <c r="B85" s="539" t="s">
        <v>29</v>
      </c>
      <c r="C85" s="539"/>
      <c r="D85" s="539"/>
      <c r="E85" s="539"/>
      <c r="F85" s="539"/>
      <c r="G85" s="539"/>
      <c r="H85" s="539"/>
      <c r="I85" s="539"/>
      <c r="J85" s="539"/>
      <c r="K85" s="539"/>
      <c r="L85" s="539"/>
      <c r="M85" s="539"/>
      <c r="N85" s="539"/>
      <c r="O85" s="539"/>
      <c r="P85" s="539"/>
      <c r="Q85" s="539"/>
      <c r="R85" s="572">
        <v>0</v>
      </c>
      <c r="S85" s="539"/>
      <c r="T85" s="541">
        <v>0</v>
      </c>
      <c r="U85" s="539"/>
      <c r="V85" s="405"/>
    </row>
    <row r="86" spans="1:22" x14ac:dyDescent="0.3">
      <c r="A86" s="428"/>
      <c r="B86" s="532" t="s">
        <v>30</v>
      </c>
      <c r="C86" s="532"/>
      <c r="D86" s="532"/>
      <c r="E86" s="532"/>
      <c r="F86" s="532"/>
      <c r="G86" s="532"/>
      <c r="H86" s="550"/>
      <c r="I86" s="570"/>
      <c r="J86" s="550"/>
      <c r="K86" s="532"/>
      <c r="L86" s="571"/>
      <c r="M86" s="532"/>
      <c r="N86" s="532"/>
      <c r="O86" s="532"/>
      <c r="P86" s="532"/>
      <c r="Q86" s="532"/>
      <c r="R86" s="531">
        <f>4101-38</f>
        <v>4063</v>
      </c>
      <c r="S86" s="532"/>
      <c r="T86" s="535"/>
      <c r="U86" s="562"/>
      <c r="V86" s="405"/>
    </row>
    <row r="87" spans="1:22" x14ac:dyDescent="0.3">
      <c r="A87" s="428"/>
      <c r="B87" s="532" t="s">
        <v>254</v>
      </c>
      <c r="C87" s="532"/>
      <c r="D87" s="532"/>
      <c r="E87" s="532"/>
      <c r="F87" s="532"/>
      <c r="G87" s="532"/>
      <c r="H87" s="550"/>
      <c r="I87" s="570"/>
      <c r="J87" s="550"/>
      <c r="K87" s="532"/>
      <c r="L87" s="571"/>
      <c r="M87" s="532"/>
      <c r="N87" s="532"/>
      <c r="O87" s="532"/>
      <c r="P87" s="532"/>
      <c r="Q87" s="532"/>
      <c r="R87" s="531"/>
      <c r="S87" s="532"/>
      <c r="T87" s="535">
        <f>1598+498-554-141</f>
        <v>1401</v>
      </c>
      <c r="U87" s="562"/>
      <c r="V87" s="405"/>
    </row>
    <row r="88" spans="1:22" x14ac:dyDescent="0.3">
      <c r="A88" s="428"/>
      <c r="B88" s="532" t="s">
        <v>255</v>
      </c>
      <c r="C88" s="532"/>
      <c r="D88" s="532"/>
      <c r="E88" s="532"/>
      <c r="F88" s="532"/>
      <c r="G88" s="532"/>
      <c r="H88" s="550"/>
      <c r="I88" s="570"/>
      <c r="J88" s="550"/>
      <c r="K88" s="532"/>
      <c r="L88" s="571"/>
      <c r="M88" s="532"/>
      <c r="N88" s="532"/>
      <c r="O88" s="532"/>
      <c r="P88" s="532"/>
      <c r="Q88" s="532"/>
      <c r="R88" s="531"/>
      <c r="S88" s="532"/>
      <c r="T88" s="535">
        <f>15+24</f>
        <v>39</v>
      </c>
      <c r="U88" s="562"/>
      <c r="V88" s="405"/>
    </row>
    <row r="89" spans="1:22" x14ac:dyDescent="0.3">
      <c r="A89" s="428"/>
      <c r="B89" s="532" t="s">
        <v>256</v>
      </c>
      <c r="C89" s="532"/>
      <c r="D89" s="532"/>
      <c r="E89" s="532"/>
      <c r="F89" s="532"/>
      <c r="G89" s="532"/>
      <c r="H89" s="550"/>
      <c r="I89" s="570"/>
      <c r="J89" s="550"/>
      <c r="K89" s="532"/>
      <c r="L89" s="571"/>
      <c r="M89" s="532"/>
      <c r="N89" s="532"/>
      <c r="O89" s="532"/>
      <c r="P89" s="532"/>
      <c r="Q89" s="532"/>
      <c r="R89" s="531"/>
      <c r="S89" s="532"/>
      <c r="T89" s="535">
        <v>30</v>
      </c>
      <c r="U89" s="562"/>
      <c r="V89" s="405"/>
    </row>
    <row r="90" spans="1:22" x14ac:dyDescent="0.3">
      <c r="A90" s="428"/>
      <c r="B90" s="532" t="s">
        <v>270</v>
      </c>
      <c r="C90" s="532"/>
      <c r="D90" s="532"/>
      <c r="E90" s="532"/>
      <c r="F90" s="532"/>
      <c r="G90" s="532"/>
      <c r="H90" s="550"/>
      <c r="I90" s="570"/>
      <c r="J90" s="550"/>
      <c r="K90" s="532"/>
      <c r="L90" s="571"/>
      <c r="M90" s="532"/>
      <c r="N90" s="532"/>
      <c r="O90" s="532"/>
      <c r="P90" s="532"/>
      <c r="Q90" s="532"/>
      <c r="R90" s="531"/>
      <c r="S90" s="532"/>
      <c r="T90" s="535">
        <v>0</v>
      </c>
      <c r="U90" s="562"/>
      <c r="V90" s="405"/>
    </row>
    <row r="91" spans="1:22" x14ac:dyDescent="0.3">
      <c r="A91" s="428"/>
      <c r="B91" s="532" t="s">
        <v>144</v>
      </c>
      <c r="C91" s="532"/>
      <c r="D91" s="532"/>
      <c r="E91" s="532"/>
      <c r="F91" s="532"/>
      <c r="G91" s="532"/>
      <c r="H91" s="532"/>
      <c r="I91" s="532"/>
      <c r="J91" s="532"/>
      <c r="K91" s="532"/>
      <c r="L91" s="532"/>
      <c r="M91" s="532"/>
      <c r="N91" s="532"/>
      <c r="O91" s="532"/>
      <c r="P91" s="532"/>
      <c r="Q91" s="532"/>
      <c r="R91" s="531"/>
      <c r="S91" s="532"/>
      <c r="T91" s="535">
        <v>0</v>
      </c>
      <c r="U91" s="562"/>
      <c r="V91" s="405"/>
    </row>
    <row r="92" spans="1:22" x14ac:dyDescent="0.3">
      <c r="A92" s="428"/>
      <c r="B92" s="532" t="s">
        <v>233</v>
      </c>
      <c r="C92" s="532"/>
      <c r="D92" s="532"/>
      <c r="E92" s="532"/>
      <c r="F92" s="532"/>
      <c r="G92" s="532"/>
      <c r="H92" s="532"/>
      <c r="I92" s="532"/>
      <c r="J92" s="532"/>
      <c r="K92" s="532"/>
      <c r="L92" s="532"/>
      <c r="M92" s="532"/>
      <c r="N92" s="532"/>
      <c r="O92" s="532"/>
      <c r="P92" s="532"/>
      <c r="Q92" s="532"/>
      <c r="R92" s="531"/>
      <c r="S92" s="532"/>
      <c r="T92" s="535">
        <v>37</v>
      </c>
      <c r="U92" s="562"/>
      <c r="V92" s="405"/>
    </row>
    <row r="93" spans="1:22" x14ac:dyDescent="0.3">
      <c r="A93" s="428"/>
      <c r="B93" s="532" t="s">
        <v>32</v>
      </c>
      <c r="C93" s="532"/>
      <c r="D93" s="532"/>
      <c r="E93" s="532"/>
      <c r="F93" s="532"/>
      <c r="G93" s="532"/>
      <c r="H93" s="532"/>
      <c r="I93" s="532"/>
      <c r="J93" s="532"/>
      <c r="K93" s="532"/>
      <c r="L93" s="532"/>
      <c r="M93" s="532"/>
      <c r="N93" s="532"/>
      <c r="O93" s="532"/>
      <c r="P93" s="532"/>
      <c r="Q93" s="532"/>
      <c r="R93" s="531">
        <f>SUM(R85:R92)</f>
        <v>4063</v>
      </c>
      <c r="S93" s="532"/>
      <c r="T93" s="531">
        <f>SUM(T85:T92)</f>
        <v>1507</v>
      </c>
      <c r="U93" s="562"/>
      <c r="V93" s="405"/>
    </row>
    <row r="94" spans="1:22" x14ac:dyDescent="0.3">
      <c r="A94" s="428"/>
      <c r="B94" s="532" t="s">
        <v>176</v>
      </c>
      <c r="C94" s="532"/>
      <c r="D94" s="532"/>
      <c r="E94" s="532"/>
      <c r="F94" s="532"/>
      <c r="G94" s="532"/>
      <c r="H94" s="532"/>
      <c r="I94" s="532"/>
      <c r="J94" s="532"/>
      <c r="K94" s="532"/>
      <c r="L94" s="532"/>
      <c r="M94" s="532"/>
      <c r="N94" s="532"/>
      <c r="O94" s="532"/>
      <c r="P94" s="532"/>
      <c r="Q94" s="532"/>
      <c r="R94" s="531">
        <v>0</v>
      </c>
      <c r="S94" s="532"/>
      <c r="T94" s="531">
        <f>-R94</f>
        <v>0</v>
      </c>
      <c r="U94" s="562"/>
      <c r="V94" s="405"/>
    </row>
    <row r="95" spans="1:22" x14ac:dyDescent="0.3">
      <c r="A95" s="428"/>
      <c r="B95" s="532" t="s">
        <v>33</v>
      </c>
      <c r="C95" s="532"/>
      <c r="D95" s="532"/>
      <c r="E95" s="532"/>
      <c r="F95" s="532"/>
      <c r="G95" s="532"/>
      <c r="H95" s="532"/>
      <c r="I95" s="532"/>
      <c r="J95" s="532"/>
      <c r="K95" s="532"/>
      <c r="L95" s="532"/>
      <c r="M95" s="532"/>
      <c r="N95" s="532"/>
      <c r="O95" s="532"/>
      <c r="P95" s="532"/>
      <c r="Q95" s="532"/>
      <c r="R95" s="531">
        <f>-T95</f>
        <v>0</v>
      </c>
      <c r="S95" s="532"/>
      <c r="T95" s="535">
        <v>0</v>
      </c>
      <c r="U95" s="562"/>
      <c r="V95" s="405"/>
    </row>
    <row r="96" spans="1:22" x14ac:dyDescent="0.3">
      <c r="A96" s="428"/>
      <c r="B96" s="532" t="s">
        <v>278</v>
      </c>
      <c r="C96" s="532"/>
      <c r="D96" s="532"/>
      <c r="E96" s="532"/>
      <c r="F96" s="532"/>
      <c r="G96" s="532"/>
      <c r="H96" s="532"/>
      <c r="I96" s="532"/>
      <c r="J96" s="532"/>
      <c r="K96" s="532"/>
      <c r="L96" s="532"/>
      <c r="M96" s="532"/>
      <c r="N96" s="532"/>
      <c r="O96" s="532"/>
      <c r="P96" s="532"/>
      <c r="Q96" s="532"/>
      <c r="R96" s="531"/>
      <c r="S96" s="532"/>
      <c r="T96" s="535">
        <v>-102</v>
      </c>
      <c r="U96" s="562"/>
      <c r="V96" s="405"/>
    </row>
    <row r="97" spans="1:23" x14ac:dyDescent="0.3">
      <c r="A97" s="428"/>
      <c r="B97" s="532" t="s">
        <v>34</v>
      </c>
      <c r="C97" s="532"/>
      <c r="D97" s="532"/>
      <c r="E97" s="532"/>
      <c r="F97" s="532"/>
      <c r="G97" s="532"/>
      <c r="H97" s="532"/>
      <c r="I97" s="532"/>
      <c r="J97" s="532"/>
      <c r="K97" s="532"/>
      <c r="L97" s="532"/>
      <c r="M97" s="532"/>
      <c r="N97" s="532"/>
      <c r="O97" s="532"/>
      <c r="P97" s="532"/>
      <c r="Q97" s="532"/>
      <c r="R97" s="531">
        <f>R93+R95+R94</f>
        <v>4063</v>
      </c>
      <c r="S97" s="532"/>
      <c r="T97" s="531">
        <f>T93+T95+T94+T96</f>
        <v>1405</v>
      </c>
      <c r="U97" s="562"/>
      <c r="V97" s="405"/>
      <c r="W97" s="447"/>
    </row>
    <row r="98" spans="1:23" x14ac:dyDescent="0.3">
      <c r="A98" s="418"/>
      <c r="B98" s="522" t="s">
        <v>35</v>
      </c>
      <c r="C98" s="448"/>
      <c r="D98" s="448"/>
      <c r="E98" s="448"/>
      <c r="F98" s="448"/>
      <c r="G98" s="448"/>
      <c r="H98" s="448"/>
      <c r="I98" s="448"/>
      <c r="J98" s="448"/>
      <c r="K98" s="448"/>
      <c r="L98" s="448"/>
      <c r="M98" s="448"/>
      <c r="N98" s="448"/>
      <c r="O98" s="448"/>
      <c r="P98" s="448"/>
      <c r="Q98" s="448"/>
      <c r="R98" s="449"/>
      <c r="S98" s="448"/>
      <c r="T98" s="450"/>
      <c r="U98" s="451"/>
      <c r="V98" s="405"/>
    </row>
    <row r="99" spans="1:23" x14ac:dyDescent="0.3">
      <c r="A99" s="569">
        <v>1</v>
      </c>
      <c r="B99" s="532" t="s">
        <v>36</v>
      </c>
      <c r="C99" s="532"/>
      <c r="D99" s="532"/>
      <c r="E99" s="532"/>
      <c r="F99" s="532"/>
      <c r="G99" s="532"/>
      <c r="H99" s="532"/>
      <c r="I99" s="532"/>
      <c r="J99" s="532"/>
      <c r="K99" s="532"/>
      <c r="L99" s="532"/>
      <c r="M99" s="532"/>
      <c r="N99" s="532"/>
      <c r="O99" s="532"/>
      <c r="P99" s="532"/>
      <c r="Q99" s="532"/>
      <c r="R99" s="532"/>
      <c r="S99" s="532"/>
      <c r="T99" s="535">
        <v>0</v>
      </c>
      <c r="U99" s="451"/>
      <c r="V99" s="405"/>
    </row>
    <row r="100" spans="1:23" x14ac:dyDescent="0.3">
      <c r="A100" s="569">
        <f>+A99+1</f>
        <v>2</v>
      </c>
      <c r="B100" s="532" t="s">
        <v>317</v>
      </c>
      <c r="C100" s="532"/>
      <c r="D100" s="532"/>
      <c r="E100" s="532"/>
      <c r="F100" s="532"/>
      <c r="G100" s="532"/>
      <c r="H100" s="532"/>
      <c r="I100" s="532"/>
      <c r="J100" s="532"/>
      <c r="K100" s="532"/>
      <c r="L100" s="532"/>
      <c r="M100" s="532"/>
      <c r="N100" s="532"/>
      <c r="O100" s="532"/>
      <c r="P100" s="532"/>
      <c r="Q100" s="532"/>
      <c r="R100" s="532"/>
      <c r="S100" s="532"/>
      <c r="T100" s="535">
        <v>-2</v>
      </c>
      <c r="U100" s="451"/>
      <c r="V100" s="405"/>
    </row>
    <row r="101" spans="1:23" x14ac:dyDescent="0.3">
      <c r="A101" s="569">
        <f>+A100+1</f>
        <v>3</v>
      </c>
      <c r="B101" s="532" t="s">
        <v>319</v>
      </c>
      <c r="C101" s="532"/>
      <c r="D101" s="532"/>
      <c r="E101" s="532"/>
      <c r="F101" s="532"/>
      <c r="G101" s="532"/>
      <c r="H101" s="532"/>
      <c r="I101" s="532"/>
      <c r="J101" s="532"/>
      <c r="K101" s="532"/>
      <c r="L101" s="532"/>
      <c r="M101" s="532"/>
      <c r="N101" s="532"/>
      <c r="O101" s="532"/>
      <c r="P101" s="532"/>
      <c r="Q101" s="532"/>
      <c r="R101" s="532"/>
      <c r="S101" s="532"/>
      <c r="T101" s="535">
        <f>-80-40-3</f>
        <v>-123</v>
      </c>
      <c r="U101" s="451"/>
      <c r="V101" s="405"/>
    </row>
    <row r="102" spans="1:23" x14ac:dyDescent="0.3">
      <c r="A102" s="569" t="s">
        <v>136</v>
      </c>
      <c r="B102" s="532" t="s">
        <v>125</v>
      </c>
      <c r="C102" s="532"/>
      <c r="D102" s="532"/>
      <c r="E102" s="532"/>
      <c r="F102" s="532"/>
      <c r="G102" s="532"/>
      <c r="H102" s="532"/>
      <c r="I102" s="532"/>
      <c r="J102" s="532"/>
      <c r="K102" s="532"/>
      <c r="L102" s="532"/>
      <c r="M102" s="532"/>
      <c r="N102" s="532"/>
      <c r="O102" s="532"/>
      <c r="P102" s="532"/>
      <c r="Q102" s="532"/>
      <c r="R102" s="532"/>
      <c r="S102" s="532"/>
      <c r="T102" s="535">
        <v>0</v>
      </c>
      <c r="U102" s="451"/>
      <c r="V102" s="405"/>
    </row>
    <row r="103" spans="1:23" x14ac:dyDescent="0.3">
      <c r="A103" s="569" t="s">
        <v>137</v>
      </c>
      <c r="B103" s="532" t="s">
        <v>267</v>
      </c>
      <c r="C103" s="532"/>
      <c r="D103" s="532"/>
      <c r="E103" s="532"/>
      <c r="F103" s="532"/>
      <c r="G103" s="532"/>
      <c r="H103" s="532"/>
      <c r="I103" s="532"/>
      <c r="J103" s="532"/>
      <c r="K103" s="532"/>
      <c r="L103" s="532"/>
      <c r="M103" s="532"/>
      <c r="N103" s="532"/>
      <c r="O103" s="532"/>
      <c r="P103" s="532"/>
      <c r="Q103" s="532"/>
      <c r="R103" s="532"/>
      <c r="S103" s="532"/>
      <c r="T103" s="535">
        <v>0</v>
      </c>
      <c r="U103" s="451"/>
      <c r="V103" s="405"/>
    </row>
    <row r="104" spans="1:23" x14ac:dyDescent="0.3">
      <c r="A104" s="569" t="s">
        <v>162</v>
      </c>
      <c r="B104" s="532" t="s">
        <v>218</v>
      </c>
      <c r="C104" s="532"/>
      <c r="D104" s="532"/>
      <c r="E104" s="532"/>
      <c r="F104" s="532"/>
      <c r="G104" s="532"/>
      <c r="H104" s="532"/>
      <c r="I104" s="532"/>
      <c r="J104" s="532"/>
      <c r="K104" s="532"/>
      <c r="L104" s="532"/>
      <c r="M104" s="532"/>
      <c r="N104" s="532"/>
      <c r="O104" s="532"/>
      <c r="P104" s="532"/>
      <c r="Q104" s="532"/>
      <c r="R104" s="532"/>
      <c r="S104" s="532"/>
      <c r="T104" s="535">
        <v>-254</v>
      </c>
      <c r="U104" s="451"/>
      <c r="V104" s="405"/>
      <c r="W104" s="452"/>
    </row>
    <row r="105" spans="1:23" x14ac:dyDescent="0.3">
      <c r="A105" s="569" t="s">
        <v>163</v>
      </c>
      <c r="B105" s="532" t="s">
        <v>219</v>
      </c>
      <c r="C105" s="532"/>
      <c r="D105" s="532"/>
      <c r="E105" s="532"/>
      <c r="F105" s="532"/>
      <c r="G105" s="532"/>
      <c r="H105" s="532"/>
      <c r="I105" s="532"/>
      <c r="J105" s="532"/>
      <c r="K105" s="532"/>
      <c r="L105" s="532"/>
      <c r="M105" s="532"/>
      <c r="N105" s="532"/>
      <c r="O105" s="532"/>
      <c r="P105" s="532"/>
      <c r="Q105" s="532"/>
      <c r="R105" s="532"/>
      <c r="S105" s="532"/>
      <c r="T105" s="535">
        <v>-183</v>
      </c>
      <c r="U105" s="451"/>
      <c r="V105" s="405"/>
      <c r="W105" s="452"/>
    </row>
    <row r="106" spans="1:23" x14ac:dyDescent="0.3">
      <c r="A106" s="569" t="s">
        <v>252</v>
      </c>
      <c r="B106" s="532" t="s">
        <v>242</v>
      </c>
      <c r="C106" s="532"/>
      <c r="D106" s="532"/>
      <c r="E106" s="532"/>
      <c r="F106" s="532"/>
      <c r="G106" s="532"/>
      <c r="H106" s="532"/>
      <c r="I106" s="532"/>
      <c r="J106" s="532"/>
      <c r="K106" s="532"/>
      <c r="L106" s="532"/>
      <c r="M106" s="532"/>
      <c r="N106" s="532"/>
      <c r="O106" s="532"/>
      <c r="P106" s="532"/>
      <c r="Q106" s="532"/>
      <c r="R106" s="532"/>
      <c r="S106" s="532"/>
      <c r="T106" s="535">
        <v>-26</v>
      </c>
      <c r="U106" s="451"/>
      <c r="V106" s="453"/>
      <c r="W106" s="452"/>
    </row>
    <row r="107" spans="1:23" x14ac:dyDescent="0.3">
      <c r="A107" s="569" t="s">
        <v>245</v>
      </c>
      <c r="B107" s="532" t="s">
        <v>220</v>
      </c>
      <c r="C107" s="532"/>
      <c r="D107" s="532"/>
      <c r="E107" s="532"/>
      <c r="F107" s="532"/>
      <c r="G107" s="532"/>
      <c r="H107" s="532"/>
      <c r="I107" s="532"/>
      <c r="J107" s="532"/>
      <c r="K107" s="532"/>
      <c r="L107" s="532"/>
      <c r="M107" s="532"/>
      <c r="N107" s="532"/>
      <c r="O107" s="532"/>
      <c r="P107" s="532"/>
      <c r="Q107" s="532"/>
      <c r="R107" s="532"/>
      <c r="S107" s="532"/>
      <c r="T107" s="535">
        <v>-14</v>
      </c>
      <c r="U107" s="451"/>
      <c r="V107" s="405"/>
      <c r="W107" s="452"/>
    </row>
    <row r="108" spans="1:23" x14ac:dyDescent="0.3">
      <c r="A108" s="569" t="s">
        <v>246</v>
      </c>
      <c r="B108" s="532" t="s">
        <v>221</v>
      </c>
      <c r="C108" s="532"/>
      <c r="D108" s="532"/>
      <c r="E108" s="532"/>
      <c r="F108" s="532"/>
      <c r="G108" s="532"/>
      <c r="H108" s="532"/>
      <c r="I108" s="532"/>
      <c r="J108" s="532"/>
      <c r="K108" s="532"/>
      <c r="L108" s="532"/>
      <c r="M108" s="532"/>
      <c r="N108" s="532"/>
      <c r="O108" s="532"/>
      <c r="P108" s="532"/>
      <c r="Q108" s="532"/>
      <c r="R108" s="532"/>
      <c r="S108" s="532"/>
      <c r="T108" s="535">
        <v>-42</v>
      </c>
      <c r="U108" s="451"/>
      <c r="V108" s="405"/>
      <c r="W108" s="452"/>
    </row>
    <row r="109" spans="1:23" x14ac:dyDescent="0.3">
      <c r="A109" s="569" t="s">
        <v>247</v>
      </c>
      <c r="B109" s="532" t="s">
        <v>222</v>
      </c>
      <c r="C109" s="532"/>
      <c r="D109" s="532"/>
      <c r="E109" s="532"/>
      <c r="F109" s="532"/>
      <c r="G109" s="532"/>
      <c r="H109" s="532"/>
      <c r="I109" s="532"/>
      <c r="J109" s="532"/>
      <c r="K109" s="532"/>
      <c r="L109" s="532"/>
      <c r="M109" s="532"/>
      <c r="N109" s="532"/>
      <c r="O109" s="532"/>
      <c r="P109" s="532"/>
      <c r="Q109" s="532"/>
      <c r="R109" s="532"/>
      <c r="S109" s="532"/>
      <c r="T109" s="535">
        <v>-8</v>
      </c>
      <c r="U109" s="451"/>
      <c r="V109" s="405"/>
      <c r="W109" s="452"/>
    </row>
    <row r="110" spans="1:23" x14ac:dyDescent="0.3">
      <c r="A110" s="569" t="s">
        <v>248</v>
      </c>
      <c r="B110" s="532" t="s">
        <v>223</v>
      </c>
      <c r="C110" s="532"/>
      <c r="D110" s="532"/>
      <c r="E110" s="532"/>
      <c r="F110" s="532"/>
      <c r="G110" s="532"/>
      <c r="H110" s="532"/>
      <c r="I110" s="532"/>
      <c r="J110" s="532"/>
      <c r="K110" s="532"/>
      <c r="L110" s="532"/>
      <c r="M110" s="532"/>
      <c r="N110" s="532"/>
      <c r="O110" s="532"/>
      <c r="P110" s="532"/>
      <c r="Q110" s="532"/>
      <c r="R110" s="532"/>
      <c r="S110" s="532"/>
      <c r="T110" s="535">
        <v>-127</v>
      </c>
      <c r="U110" s="451"/>
      <c r="V110" s="405"/>
      <c r="W110" s="452"/>
    </row>
    <row r="111" spans="1:23" x14ac:dyDescent="0.3">
      <c r="A111" s="569">
        <v>7</v>
      </c>
      <c r="B111" s="532" t="s">
        <v>318</v>
      </c>
      <c r="C111" s="532"/>
      <c r="D111" s="532"/>
      <c r="E111" s="532"/>
      <c r="F111" s="532"/>
      <c r="G111" s="532"/>
      <c r="H111" s="532"/>
      <c r="I111" s="532"/>
      <c r="J111" s="532"/>
      <c r="K111" s="532"/>
      <c r="L111" s="532"/>
      <c r="M111" s="532"/>
      <c r="N111" s="532"/>
      <c r="O111" s="532"/>
      <c r="P111" s="532"/>
      <c r="Q111" s="532"/>
      <c r="R111" s="532"/>
      <c r="S111" s="532"/>
      <c r="T111" s="535">
        <v>0</v>
      </c>
      <c r="U111" s="451"/>
      <c r="V111" s="405"/>
      <c r="W111" s="452"/>
    </row>
    <row r="112" spans="1:23" x14ac:dyDescent="0.3">
      <c r="A112" s="569">
        <v>8</v>
      </c>
      <c r="B112" s="532" t="s">
        <v>38</v>
      </c>
      <c r="C112" s="532"/>
      <c r="D112" s="532"/>
      <c r="E112" s="532"/>
      <c r="F112" s="532"/>
      <c r="G112" s="532"/>
      <c r="H112" s="532"/>
      <c r="I112" s="532"/>
      <c r="J112" s="532"/>
      <c r="K112" s="532"/>
      <c r="L112" s="532"/>
      <c r="M112" s="532"/>
      <c r="N112" s="532"/>
      <c r="O112" s="532"/>
      <c r="P112" s="532"/>
      <c r="Q112" s="532"/>
      <c r="R112" s="532"/>
      <c r="S112" s="532"/>
      <c r="T112" s="535">
        <v>-7</v>
      </c>
      <c r="U112" s="451"/>
      <c r="V112" s="405"/>
    </row>
    <row r="113" spans="1:22" x14ac:dyDescent="0.3">
      <c r="A113" s="569">
        <f t="shared" ref="A113:A121" si="0">+A112+1</f>
        <v>9</v>
      </c>
      <c r="B113" s="532" t="s">
        <v>49</v>
      </c>
      <c r="C113" s="532"/>
      <c r="D113" s="532"/>
      <c r="E113" s="532"/>
      <c r="F113" s="532"/>
      <c r="G113" s="532"/>
      <c r="H113" s="532"/>
      <c r="I113" s="532"/>
      <c r="J113" s="532"/>
      <c r="K113" s="532"/>
      <c r="L113" s="532"/>
      <c r="M113" s="532"/>
      <c r="N113" s="532"/>
      <c r="O113" s="532"/>
      <c r="P113" s="532"/>
      <c r="Q113" s="532"/>
      <c r="R113" s="531">
        <f>-T113</f>
        <v>38</v>
      </c>
      <c r="S113" s="532"/>
      <c r="T113" s="535">
        <v>-38</v>
      </c>
      <c r="U113" s="451"/>
      <c r="V113" s="405"/>
    </row>
    <row r="114" spans="1:22" x14ac:dyDescent="0.3">
      <c r="A114" s="569">
        <f t="shared" si="0"/>
        <v>10</v>
      </c>
      <c r="B114" s="532" t="s">
        <v>134</v>
      </c>
      <c r="C114" s="532"/>
      <c r="D114" s="532"/>
      <c r="E114" s="532"/>
      <c r="F114" s="532"/>
      <c r="G114" s="532"/>
      <c r="H114" s="532"/>
      <c r="I114" s="532"/>
      <c r="J114" s="532"/>
      <c r="K114" s="532"/>
      <c r="L114" s="532"/>
      <c r="M114" s="532"/>
      <c r="N114" s="532"/>
      <c r="O114" s="532"/>
      <c r="P114" s="532"/>
      <c r="Q114" s="532"/>
      <c r="R114" s="532"/>
      <c r="S114" s="532"/>
      <c r="T114" s="535">
        <v>0</v>
      </c>
      <c r="U114" s="451"/>
      <c r="V114" s="405"/>
    </row>
    <row r="115" spans="1:22" x14ac:dyDescent="0.3">
      <c r="A115" s="569">
        <f t="shared" si="0"/>
        <v>11</v>
      </c>
      <c r="B115" s="532" t="s">
        <v>39</v>
      </c>
      <c r="C115" s="532"/>
      <c r="D115" s="532"/>
      <c r="E115" s="532"/>
      <c r="F115" s="532"/>
      <c r="G115" s="532"/>
      <c r="H115" s="532"/>
      <c r="I115" s="532"/>
      <c r="J115" s="532"/>
      <c r="K115" s="532"/>
      <c r="L115" s="532"/>
      <c r="M115" s="532"/>
      <c r="N115" s="532"/>
      <c r="O115" s="532"/>
      <c r="P115" s="532"/>
      <c r="Q115" s="532"/>
      <c r="R115" s="532"/>
      <c r="S115" s="532"/>
      <c r="T115" s="535">
        <v>0</v>
      </c>
      <c r="U115" s="451"/>
      <c r="V115" s="405"/>
    </row>
    <row r="116" spans="1:22" x14ac:dyDescent="0.3">
      <c r="A116" s="569">
        <f t="shared" si="0"/>
        <v>12</v>
      </c>
      <c r="B116" s="532" t="s">
        <v>40</v>
      </c>
      <c r="C116" s="532"/>
      <c r="D116" s="532"/>
      <c r="E116" s="532"/>
      <c r="F116" s="532"/>
      <c r="G116" s="532"/>
      <c r="H116" s="532"/>
      <c r="I116" s="532"/>
      <c r="J116" s="532"/>
      <c r="K116" s="532"/>
      <c r="L116" s="532"/>
      <c r="M116" s="532"/>
      <c r="N116" s="532"/>
      <c r="O116" s="532"/>
      <c r="P116" s="532"/>
      <c r="Q116" s="532"/>
      <c r="R116" s="532"/>
      <c r="S116" s="532"/>
      <c r="T116" s="535">
        <v>0</v>
      </c>
      <c r="U116" s="451"/>
      <c r="V116" s="405"/>
    </row>
    <row r="117" spans="1:22" x14ac:dyDescent="0.3">
      <c r="A117" s="569">
        <f t="shared" si="0"/>
        <v>13</v>
      </c>
      <c r="B117" s="532" t="s">
        <v>161</v>
      </c>
      <c r="C117" s="532"/>
      <c r="D117" s="532"/>
      <c r="E117" s="532"/>
      <c r="F117" s="532"/>
      <c r="G117" s="532"/>
      <c r="H117" s="532"/>
      <c r="I117" s="532"/>
      <c r="J117" s="532"/>
      <c r="K117" s="532"/>
      <c r="L117" s="532"/>
      <c r="M117" s="532"/>
      <c r="N117" s="532"/>
      <c r="O117" s="532"/>
      <c r="P117" s="532"/>
      <c r="Q117" s="532"/>
      <c r="R117" s="532"/>
      <c r="S117" s="532"/>
      <c r="T117" s="535">
        <v>-79</v>
      </c>
      <c r="U117" s="451"/>
      <c r="V117" s="405"/>
    </row>
    <row r="118" spans="1:22" x14ac:dyDescent="0.3">
      <c r="A118" s="569">
        <f t="shared" si="0"/>
        <v>14</v>
      </c>
      <c r="B118" s="532" t="s">
        <v>361</v>
      </c>
      <c r="C118" s="532"/>
      <c r="D118" s="532"/>
      <c r="E118" s="532"/>
      <c r="F118" s="532"/>
      <c r="G118" s="532"/>
      <c r="H118" s="532"/>
      <c r="I118" s="532"/>
      <c r="J118" s="532"/>
      <c r="K118" s="532"/>
      <c r="L118" s="532"/>
      <c r="M118" s="532"/>
      <c r="N118" s="532"/>
      <c r="O118" s="532"/>
      <c r="P118" s="532"/>
      <c r="Q118" s="532"/>
      <c r="R118" s="532"/>
      <c r="S118" s="532"/>
      <c r="T118" s="535">
        <v>-148</v>
      </c>
      <c r="U118" s="451"/>
      <c r="V118" s="405"/>
    </row>
    <row r="119" spans="1:22" x14ac:dyDescent="0.3">
      <c r="A119" s="569">
        <f t="shared" si="0"/>
        <v>15</v>
      </c>
      <c r="B119" s="532" t="s">
        <v>359</v>
      </c>
      <c r="C119" s="532"/>
      <c r="D119" s="532"/>
      <c r="E119" s="532"/>
      <c r="F119" s="532"/>
      <c r="G119" s="532"/>
      <c r="H119" s="532"/>
      <c r="I119" s="532"/>
      <c r="J119" s="532"/>
      <c r="K119" s="532"/>
      <c r="L119" s="532"/>
      <c r="M119" s="532"/>
      <c r="N119" s="532"/>
      <c r="O119" s="532"/>
      <c r="P119" s="532"/>
      <c r="Q119" s="532"/>
      <c r="R119" s="532"/>
      <c r="S119" s="532"/>
      <c r="T119" s="535">
        <v>-37</v>
      </c>
      <c r="U119" s="451"/>
      <c r="V119" s="405"/>
    </row>
    <row r="120" spans="1:22" x14ac:dyDescent="0.3">
      <c r="A120" s="569">
        <f t="shared" si="0"/>
        <v>16</v>
      </c>
      <c r="B120" s="532" t="s">
        <v>358</v>
      </c>
      <c r="C120" s="532"/>
      <c r="D120" s="532"/>
      <c r="E120" s="532"/>
      <c r="F120" s="532"/>
      <c r="G120" s="532"/>
      <c r="H120" s="532"/>
      <c r="I120" s="532"/>
      <c r="J120" s="532"/>
      <c r="K120" s="532"/>
      <c r="L120" s="532"/>
      <c r="M120" s="532"/>
      <c r="N120" s="532"/>
      <c r="O120" s="532"/>
      <c r="P120" s="532"/>
      <c r="Q120" s="532"/>
      <c r="R120" s="532"/>
      <c r="S120" s="532"/>
      <c r="T120" s="535">
        <v>0</v>
      </c>
      <c r="U120" s="451"/>
      <c r="V120" s="405"/>
    </row>
    <row r="121" spans="1:22" x14ac:dyDescent="0.3">
      <c r="A121" s="569">
        <f t="shared" si="0"/>
        <v>17</v>
      </c>
      <c r="B121" s="532" t="s">
        <v>360</v>
      </c>
      <c r="C121" s="532"/>
      <c r="D121" s="532"/>
      <c r="E121" s="532"/>
      <c r="F121" s="532"/>
      <c r="G121" s="532"/>
      <c r="H121" s="532"/>
      <c r="I121" s="532"/>
      <c r="J121" s="532"/>
      <c r="K121" s="532"/>
      <c r="L121" s="532"/>
      <c r="M121" s="532"/>
      <c r="N121" s="532"/>
      <c r="O121" s="532"/>
      <c r="P121" s="532"/>
      <c r="Q121" s="532"/>
      <c r="R121" s="532"/>
      <c r="S121" s="532"/>
      <c r="T121" s="535">
        <v>-317</v>
      </c>
      <c r="U121" s="451"/>
      <c r="V121" s="405"/>
    </row>
    <row r="122" spans="1:22" x14ac:dyDescent="0.3">
      <c r="A122" s="418"/>
      <c r="B122" s="522" t="s">
        <v>41</v>
      </c>
      <c r="C122" s="448"/>
      <c r="D122" s="448"/>
      <c r="E122" s="448"/>
      <c r="F122" s="448"/>
      <c r="G122" s="448"/>
      <c r="H122" s="448"/>
      <c r="I122" s="448"/>
      <c r="J122" s="448"/>
      <c r="K122" s="448"/>
      <c r="L122" s="448"/>
      <c r="M122" s="448"/>
      <c r="N122" s="448"/>
      <c r="O122" s="448"/>
      <c r="P122" s="448"/>
      <c r="Q122" s="448"/>
      <c r="R122" s="448"/>
      <c r="S122" s="448"/>
      <c r="T122" s="454"/>
      <c r="U122" s="451"/>
      <c r="V122" s="405"/>
    </row>
    <row r="123" spans="1:22" x14ac:dyDescent="0.3">
      <c r="A123" s="428"/>
      <c r="B123" s="532" t="s">
        <v>229</v>
      </c>
      <c r="C123" s="532"/>
      <c r="D123" s="532"/>
      <c r="E123" s="532"/>
      <c r="F123" s="532"/>
      <c r="G123" s="532"/>
      <c r="H123" s="532"/>
      <c r="I123" s="532"/>
      <c r="J123" s="532"/>
      <c r="K123" s="532"/>
      <c r="L123" s="532"/>
      <c r="M123" s="532"/>
      <c r="N123" s="532"/>
      <c r="O123" s="532"/>
      <c r="P123" s="532"/>
      <c r="Q123" s="532"/>
      <c r="R123" s="531">
        <f>-R183</f>
        <v>0</v>
      </c>
      <c r="S123" s="531"/>
      <c r="T123" s="535"/>
      <c r="U123" s="562"/>
      <c r="V123" s="405"/>
    </row>
    <row r="124" spans="1:22" x14ac:dyDescent="0.3">
      <c r="A124" s="428"/>
      <c r="B124" s="532" t="s">
        <v>230</v>
      </c>
      <c r="C124" s="532"/>
      <c r="D124" s="532"/>
      <c r="E124" s="532"/>
      <c r="F124" s="532"/>
      <c r="G124" s="532"/>
      <c r="H124" s="532"/>
      <c r="I124" s="532"/>
      <c r="J124" s="532"/>
      <c r="K124" s="532"/>
      <c r="L124" s="532"/>
      <c r="M124" s="532"/>
      <c r="N124" s="532"/>
      <c r="O124" s="532"/>
      <c r="P124" s="532"/>
      <c r="Q124" s="532"/>
      <c r="R124" s="531">
        <v>0</v>
      </c>
      <c r="S124" s="531"/>
      <c r="T124" s="535"/>
      <c r="U124" s="562"/>
      <c r="V124" s="405"/>
    </row>
    <row r="125" spans="1:22" x14ac:dyDescent="0.3">
      <c r="A125" s="428"/>
      <c r="B125" s="532" t="s">
        <v>42</v>
      </c>
      <c r="C125" s="532"/>
      <c r="D125" s="532"/>
      <c r="E125" s="532"/>
      <c r="F125" s="532"/>
      <c r="G125" s="532"/>
      <c r="H125" s="532"/>
      <c r="I125" s="532"/>
      <c r="J125" s="532"/>
      <c r="K125" s="532"/>
      <c r="L125" s="532"/>
      <c r="M125" s="532"/>
      <c r="N125" s="532"/>
      <c r="O125" s="532"/>
      <c r="P125" s="532"/>
      <c r="Q125" s="532"/>
      <c r="R125" s="531">
        <f>-Q183</f>
        <v>0</v>
      </c>
      <c r="S125" s="531"/>
      <c r="T125" s="535"/>
      <c r="U125" s="562"/>
      <c r="V125" s="405"/>
    </row>
    <row r="126" spans="1:22" x14ac:dyDescent="0.3">
      <c r="A126" s="428"/>
      <c r="B126" s="532" t="s">
        <v>235</v>
      </c>
      <c r="C126" s="532"/>
      <c r="D126" s="532"/>
      <c r="E126" s="532"/>
      <c r="F126" s="532"/>
      <c r="G126" s="532"/>
      <c r="H126" s="532"/>
      <c r="I126" s="532"/>
      <c r="J126" s="532"/>
      <c r="K126" s="532"/>
      <c r="L126" s="532"/>
      <c r="M126" s="532"/>
      <c r="N126" s="532"/>
      <c r="O126" s="532"/>
      <c r="P126" s="532"/>
      <c r="Q126" s="532"/>
      <c r="R126" s="531">
        <v>-1782</v>
      </c>
      <c r="S126" s="531"/>
      <c r="T126" s="535"/>
      <c r="U126" s="562"/>
      <c r="V126" s="405"/>
    </row>
    <row r="127" spans="1:22" x14ac:dyDescent="0.3">
      <c r="A127" s="428"/>
      <c r="B127" s="532" t="s">
        <v>236</v>
      </c>
      <c r="C127" s="532"/>
      <c r="D127" s="532"/>
      <c r="E127" s="532"/>
      <c r="F127" s="532"/>
      <c r="G127" s="532"/>
      <c r="H127" s="532"/>
      <c r="I127" s="532"/>
      <c r="J127" s="532"/>
      <c r="K127" s="532"/>
      <c r="L127" s="532"/>
      <c r="M127" s="532"/>
      <c r="N127" s="532"/>
      <c r="O127" s="532"/>
      <c r="P127" s="532"/>
      <c r="Q127" s="532"/>
      <c r="R127" s="531">
        <v>-1259</v>
      </c>
      <c r="S127" s="531"/>
      <c r="T127" s="535"/>
      <c r="U127" s="562"/>
      <c r="V127" s="405"/>
    </row>
    <row r="128" spans="1:22" x14ac:dyDescent="0.3">
      <c r="A128" s="428"/>
      <c r="B128" s="532" t="s">
        <v>241</v>
      </c>
      <c r="C128" s="532"/>
      <c r="D128" s="532"/>
      <c r="E128" s="532"/>
      <c r="F128" s="532"/>
      <c r="G128" s="532"/>
      <c r="H128" s="532"/>
      <c r="I128" s="532"/>
      <c r="J128" s="532"/>
      <c r="K128" s="532"/>
      <c r="L128" s="532"/>
      <c r="M128" s="532"/>
      <c r="N128" s="532"/>
      <c r="O128" s="532"/>
      <c r="P128" s="532"/>
      <c r="Q128" s="532"/>
      <c r="R128" s="531">
        <v>-174</v>
      </c>
      <c r="S128" s="531"/>
      <c r="T128" s="535"/>
      <c r="U128" s="562"/>
      <c r="V128" s="405"/>
    </row>
    <row r="129" spans="1:22" x14ac:dyDescent="0.3">
      <c r="A129" s="428"/>
      <c r="B129" s="532" t="s">
        <v>237</v>
      </c>
      <c r="C129" s="532"/>
      <c r="D129" s="532"/>
      <c r="E129" s="532"/>
      <c r="F129" s="532"/>
      <c r="G129" s="532"/>
      <c r="H129" s="532"/>
      <c r="I129" s="532"/>
      <c r="J129" s="532"/>
      <c r="K129" s="532"/>
      <c r="L129" s="532"/>
      <c r="M129" s="532"/>
      <c r="N129" s="532"/>
      <c r="O129" s="532"/>
      <c r="P129" s="532"/>
      <c r="Q129" s="532"/>
      <c r="R129" s="531">
        <v>-82</v>
      </c>
      <c r="S129" s="531"/>
      <c r="T129" s="535"/>
      <c r="U129" s="562"/>
      <c r="V129" s="405"/>
    </row>
    <row r="130" spans="1:22" x14ac:dyDescent="0.3">
      <c r="A130" s="428"/>
      <c r="B130" s="532" t="s">
        <v>238</v>
      </c>
      <c r="C130" s="532"/>
      <c r="D130" s="532"/>
      <c r="E130" s="532"/>
      <c r="F130" s="532"/>
      <c r="G130" s="532"/>
      <c r="H130" s="532"/>
      <c r="I130" s="532"/>
      <c r="J130" s="532"/>
      <c r="K130" s="532"/>
      <c r="L130" s="532"/>
      <c r="M130" s="532"/>
      <c r="N130" s="532"/>
      <c r="O130" s="532"/>
      <c r="P130" s="532"/>
      <c r="Q130" s="532"/>
      <c r="R130" s="531">
        <v>-238</v>
      </c>
      <c r="S130" s="531"/>
      <c r="T130" s="535"/>
      <c r="U130" s="562"/>
      <c r="V130" s="405"/>
    </row>
    <row r="131" spans="1:22" x14ac:dyDescent="0.3">
      <c r="A131" s="428"/>
      <c r="B131" s="532" t="s">
        <v>239</v>
      </c>
      <c r="C131" s="532"/>
      <c r="D131" s="532"/>
      <c r="E131" s="532"/>
      <c r="F131" s="532"/>
      <c r="G131" s="532"/>
      <c r="H131" s="532"/>
      <c r="I131" s="532"/>
      <c r="J131" s="532"/>
      <c r="K131" s="532"/>
      <c r="L131" s="532"/>
      <c r="M131" s="532"/>
      <c r="N131" s="532"/>
      <c r="O131" s="532"/>
      <c r="P131" s="532"/>
      <c r="Q131" s="532"/>
      <c r="R131" s="531">
        <v>-35</v>
      </c>
      <c r="S131" s="531"/>
      <c r="T131" s="535"/>
      <c r="U131" s="562"/>
      <c r="V131" s="405"/>
    </row>
    <row r="132" spans="1:22" x14ac:dyDescent="0.3">
      <c r="A132" s="428"/>
      <c r="B132" s="532" t="s">
        <v>240</v>
      </c>
      <c r="C132" s="532"/>
      <c r="D132" s="532"/>
      <c r="E132" s="532"/>
      <c r="F132" s="532"/>
      <c r="G132" s="532"/>
      <c r="H132" s="532"/>
      <c r="I132" s="532"/>
      <c r="J132" s="532"/>
      <c r="K132" s="532"/>
      <c r="L132" s="532"/>
      <c r="M132" s="532"/>
      <c r="N132" s="532"/>
      <c r="O132" s="532"/>
      <c r="P132" s="532"/>
      <c r="Q132" s="532"/>
      <c r="R132" s="531">
        <v>-531</v>
      </c>
      <c r="S132" s="531"/>
      <c r="T132" s="535"/>
      <c r="U132" s="562"/>
      <c r="V132" s="405"/>
    </row>
    <row r="133" spans="1:22" x14ac:dyDescent="0.3">
      <c r="A133" s="428"/>
      <c r="B133" s="532" t="s">
        <v>43</v>
      </c>
      <c r="C133" s="532"/>
      <c r="D133" s="532"/>
      <c r="E133" s="532"/>
      <c r="F133" s="532"/>
      <c r="G133" s="532"/>
      <c r="H133" s="532"/>
      <c r="I133" s="532"/>
      <c r="J133" s="532"/>
      <c r="K133" s="532"/>
      <c r="L133" s="532"/>
      <c r="M133" s="532"/>
      <c r="N133" s="532"/>
      <c r="O133" s="532"/>
      <c r="P133" s="532"/>
      <c r="Q133" s="532"/>
      <c r="R133" s="531">
        <f>SUM(R123:R132)</f>
        <v>-4101</v>
      </c>
      <c r="S133" s="531"/>
      <c r="T133" s="531">
        <f>SUM(T98:T131)</f>
        <v>-1405</v>
      </c>
      <c r="U133" s="562"/>
      <c r="V133" s="405"/>
    </row>
    <row r="134" spans="1:22" x14ac:dyDescent="0.3">
      <c r="A134" s="428"/>
      <c r="B134" s="532" t="s">
        <v>44</v>
      </c>
      <c r="C134" s="532"/>
      <c r="D134" s="532"/>
      <c r="E134" s="532"/>
      <c r="F134" s="532"/>
      <c r="G134" s="532"/>
      <c r="H134" s="532"/>
      <c r="I134" s="532"/>
      <c r="J134" s="532"/>
      <c r="K134" s="532"/>
      <c r="L134" s="532"/>
      <c r="M134" s="532"/>
      <c r="N134" s="532"/>
      <c r="O134" s="532"/>
      <c r="P134" s="532"/>
      <c r="Q134" s="532"/>
      <c r="R134" s="531">
        <f>R97+R133+R113</f>
        <v>0</v>
      </c>
      <c r="S134" s="531"/>
      <c r="T134" s="531">
        <f>T97+T133</f>
        <v>0</v>
      </c>
      <c r="U134" s="562"/>
      <c r="V134" s="405"/>
    </row>
    <row r="135" spans="1:22" x14ac:dyDescent="0.3">
      <c r="A135" s="430"/>
      <c r="B135" s="431"/>
      <c r="C135" s="431"/>
      <c r="D135" s="431"/>
      <c r="E135" s="431"/>
      <c r="F135" s="431"/>
      <c r="G135" s="431"/>
      <c r="H135" s="431"/>
      <c r="I135" s="431"/>
      <c r="J135" s="431"/>
      <c r="K135" s="431"/>
      <c r="L135" s="431"/>
      <c r="M135" s="431"/>
      <c r="N135" s="431"/>
      <c r="O135" s="431"/>
      <c r="P135" s="431"/>
      <c r="Q135" s="431"/>
      <c r="R135" s="455"/>
      <c r="S135" s="455"/>
      <c r="T135" s="455"/>
      <c r="U135" s="431"/>
      <c r="V135" s="405"/>
    </row>
    <row r="136" spans="1:22" x14ac:dyDescent="0.3">
      <c r="A136" s="430"/>
      <c r="B136" s="434"/>
      <c r="C136" s="434"/>
      <c r="D136" s="434"/>
      <c r="E136" s="434"/>
      <c r="F136" s="434"/>
      <c r="G136" s="434"/>
      <c r="H136" s="434"/>
      <c r="I136" s="434"/>
      <c r="J136" s="434"/>
      <c r="K136" s="434"/>
      <c r="L136" s="434"/>
      <c r="M136" s="434"/>
      <c r="N136" s="434"/>
      <c r="O136" s="434"/>
      <c r="P136" s="434"/>
      <c r="Q136" s="434"/>
      <c r="R136" s="434"/>
      <c r="S136" s="434"/>
      <c r="T136" s="456"/>
      <c r="U136" s="434"/>
      <c r="V136" s="405"/>
    </row>
    <row r="137" spans="1:22" ht="18.600000000000001" thickBot="1" x14ac:dyDescent="0.4">
      <c r="A137" s="437"/>
      <c r="B137" s="565" t="str">
        <f>B61</f>
        <v>PM9 INVESTOR REPORT QUARTER ENDING OCTOBER 2019</v>
      </c>
      <c r="C137" s="438"/>
      <c r="D137" s="438"/>
      <c r="E137" s="438"/>
      <c r="F137" s="438"/>
      <c r="G137" s="438"/>
      <c r="H137" s="438"/>
      <c r="I137" s="438"/>
      <c r="J137" s="438"/>
      <c r="K137" s="438"/>
      <c r="L137" s="438"/>
      <c r="M137" s="438"/>
      <c r="N137" s="438"/>
      <c r="O137" s="438"/>
      <c r="P137" s="438"/>
      <c r="Q137" s="438"/>
      <c r="R137" s="438"/>
      <c r="S137" s="438"/>
      <c r="T137" s="457"/>
      <c r="U137" s="440"/>
      <c r="V137" s="405"/>
    </row>
    <row r="138" spans="1:22" x14ac:dyDescent="0.3">
      <c r="A138" s="507"/>
      <c r="B138" s="508" t="s">
        <v>45</v>
      </c>
      <c r="C138" s="509"/>
      <c r="D138" s="509"/>
      <c r="E138" s="509"/>
      <c r="F138" s="509"/>
      <c r="G138" s="509"/>
      <c r="H138" s="509"/>
      <c r="I138" s="509"/>
      <c r="J138" s="509"/>
      <c r="K138" s="509"/>
      <c r="L138" s="509"/>
      <c r="M138" s="509"/>
      <c r="N138" s="509"/>
      <c r="O138" s="509"/>
      <c r="P138" s="509"/>
      <c r="Q138" s="509"/>
      <c r="R138" s="509"/>
      <c r="S138" s="509"/>
      <c r="T138" s="510"/>
      <c r="U138" s="509"/>
      <c r="V138" s="405"/>
    </row>
    <row r="139" spans="1:22" x14ac:dyDescent="0.3">
      <c r="A139" s="407"/>
      <c r="B139" s="458"/>
      <c r="C139" s="409"/>
      <c r="D139" s="409"/>
      <c r="E139" s="409"/>
      <c r="F139" s="409"/>
      <c r="G139" s="409"/>
      <c r="H139" s="409"/>
      <c r="I139" s="409"/>
      <c r="J139" s="409"/>
      <c r="K139" s="409"/>
      <c r="L139" s="409"/>
      <c r="M139" s="409"/>
      <c r="N139" s="409"/>
      <c r="O139" s="409"/>
      <c r="P139" s="409"/>
      <c r="Q139" s="409"/>
      <c r="R139" s="409"/>
      <c r="S139" s="409"/>
      <c r="T139" s="441"/>
      <c r="U139" s="409"/>
      <c r="V139" s="405"/>
    </row>
    <row r="140" spans="1:22" x14ac:dyDescent="0.3">
      <c r="A140" s="407"/>
      <c r="B140" s="523" t="s">
        <v>46</v>
      </c>
      <c r="C140" s="409"/>
      <c r="D140" s="409"/>
      <c r="E140" s="409"/>
      <c r="F140" s="409"/>
      <c r="G140" s="409"/>
      <c r="H140" s="409"/>
      <c r="I140" s="409"/>
      <c r="J140" s="409"/>
      <c r="K140" s="409"/>
      <c r="L140" s="409"/>
      <c r="M140" s="409"/>
      <c r="N140" s="409"/>
      <c r="O140" s="409"/>
      <c r="P140" s="409"/>
      <c r="Q140" s="409"/>
      <c r="R140" s="409"/>
      <c r="S140" s="409"/>
      <c r="T140" s="441"/>
      <c r="U140" s="409"/>
      <c r="V140" s="405"/>
    </row>
    <row r="141" spans="1:22" x14ac:dyDescent="0.3">
      <c r="A141" s="418"/>
      <c r="B141" s="532" t="s">
        <v>47</v>
      </c>
      <c r="C141" s="532"/>
      <c r="D141" s="532"/>
      <c r="E141" s="532"/>
      <c r="F141" s="532"/>
      <c r="G141" s="532"/>
      <c r="H141" s="532"/>
      <c r="I141" s="532"/>
      <c r="J141" s="532"/>
      <c r="K141" s="532"/>
      <c r="L141" s="532"/>
      <c r="M141" s="532"/>
      <c r="N141" s="532"/>
      <c r="O141" s="532"/>
      <c r="P141" s="532"/>
      <c r="Q141" s="532"/>
      <c r="R141" s="532"/>
      <c r="S141" s="532"/>
      <c r="T141" s="535">
        <f>+T32*0.0176</f>
        <v>12320</v>
      </c>
      <c r="U141" s="420"/>
      <c r="V141" s="405"/>
    </row>
    <row r="142" spans="1:22" x14ac:dyDescent="0.3">
      <c r="A142" s="418"/>
      <c r="B142" s="532" t="s">
        <v>48</v>
      </c>
      <c r="C142" s="532"/>
      <c r="D142" s="532"/>
      <c r="E142" s="532"/>
      <c r="F142" s="532"/>
      <c r="G142" s="532"/>
      <c r="H142" s="532"/>
      <c r="I142" s="532"/>
      <c r="J142" s="532"/>
      <c r="K142" s="532"/>
      <c r="L142" s="532"/>
      <c r="M142" s="532"/>
      <c r="N142" s="532"/>
      <c r="O142" s="532"/>
      <c r="P142" s="532"/>
      <c r="Q142" s="532"/>
      <c r="R142" s="532"/>
      <c r="S142" s="532"/>
      <c r="T142" s="535">
        <v>12320</v>
      </c>
      <c r="U142" s="420"/>
      <c r="V142" s="405"/>
    </row>
    <row r="143" spans="1:22" x14ac:dyDescent="0.3">
      <c r="A143" s="418"/>
      <c r="B143" s="532" t="s">
        <v>145</v>
      </c>
      <c r="C143" s="532"/>
      <c r="D143" s="532"/>
      <c r="E143" s="532"/>
      <c r="F143" s="532"/>
      <c r="G143" s="532"/>
      <c r="H143" s="532"/>
      <c r="I143" s="532"/>
      <c r="J143" s="532"/>
      <c r="K143" s="532"/>
      <c r="L143" s="532"/>
      <c r="M143" s="532"/>
      <c r="N143" s="532"/>
      <c r="O143" s="532"/>
      <c r="P143" s="532"/>
      <c r="Q143" s="532"/>
      <c r="R143" s="532"/>
      <c r="S143" s="532"/>
      <c r="T143" s="535">
        <v>0</v>
      </c>
      <c r="U143" s="420"/>
      <c r="V143" s="405"/>
    </row>
    <row r="144" spans="1:22" x14ac:dyDescent="0.3">
      <c r="A144" s="418"/>
      <c r="B144" s="532" t="s">
        <v>132</v>
      </c>
      <c r="C144" s="532"/>
      <c r="D144" s="532"/>
      <c r="E144" s="532"/>
      <c r="F144" s="532"/>
      <c r="G144" s="532"/>
      <c r="H144" s="532"/>
      <c r="I144" s="532"/>
      <c r="J144" s="532"/>
      <c r="K144" s="532"/>
      <c r="L144" s="532"/>
      <c r="M144" s="532"/>
      <c r="N144" s="532"/>
      <c r="O144" s="532"/>
      <c r="P144" s="532"/>
      <c r="Q144" s="532"/>
      <c r="R144" s="532"/>
      <c r="S144" s="532"/>
      <c r="T144" s="535">
        <v>0</v>
      </c>
      <c r="U144" s="420"/>
      <c r="V144" s="405"/>
    </row>
    <row r="145" spans="1:23" x14ac:dyDescent="0.3">
      <c r="A145" s="418"/>
      <c r="B145" s="532" t="s">
        <v>133</v>
      </c>
      <c r="C145" s="532"/>
      <c r="D145" s="532"/>
      <c r="E145" s="532"/>
      <c r="F145" s="532"/>
      <c r="G145" s="532"/>
      <c r="H145" s="532"/>
      <c r="I145" s="532"/>
      <c r="J145" s="532"/>
      <c r="K145" s="532"/>
      <c r="L145" s="532"/>
      <c r="M145" s="532"/>
      <c r="N145" s="532"/>
      <c r="O145" s="532"/>
      <c r="P145" s="532"/>
      <c r="Q145" s="532"/>
      <c r="R145" s="532"/>
      <c r="S145" s="532"/>
      <c r="T145" s="535">
        <v>0</v>
      </c>
      <c r="U145" s="420"/>
      <c r="V145" s="405"/>
    </row>
    <row r="146" spans="1:23" x14ac:dyDescent="0.3">
      <c r="A146" s="418"/>
      <c r="B146" s="532" t="s">
        <v>232</v>
      </c>
      <c r="C146" s="532"/>
      <c r="D146" s="532"/>
      <c r="E146" s="532"/>
      <c r="F146" s="532"/>
      <c r="G146" s="532"/>
      <c r="H146" s="532"/>
      <c r="I146" s="532"/>
      <c r="J146" s="532"/>
      <c r="K146" s="532"/>
      <c r="L146" s="532"/>
      <c r="M146" s="532"/>
      <c r="N146" s="532"/>
      <c r="O146" s="532"/>
      <c r="P146" s="532"/>
      <c r="Q146" s="532"/>
      <c r="R146" s="532"/>
      <c r="S146" s="532"/>
      <c r="T146" s="535">
        <v>0</v>
      </c>
      <c r="U146" s="420"/>
      <c r="V146" s="405"/>
    </row>
    <row r="147" spans="1:23" x14ac:dyDescent="0.3">
      <c r="A147" s="418"/>
      <c r="B147" s="532" t="s">
        <v>49</v>
      </c>
      <c r="C147" s="532"/>
      <c r="D147" s="532"/>
      <c r="E147" s="532"/>
      <c r="F147" s="532"/>
      <c r="G147" s="532"/>
      <c r="H147" s="532"/>
      <c r="I147" s="532"/>
      <c r="J147" s="532"/>
      <c r="K147" s="532"/>
      <c r="L147" s="532"/>
      <c r="M147" s="532"/>
      <c r="N147" s="532"/>
      <c r="O147" s="532"/>
      <c r="P147" s="532"/>
      <c r="Q147" s="532"/>
      <c r="R147" s="532"/>
      <c r="S147" s="532"/>
      <c r="T147" s="535">
        <v>0</v>
      </c>
      <c r="U147" s="420"/>
      <c r="V147" s="405"/>
    </row>
    <row r="148" spans="1:23" x14ac:dyDescent="0.3">
      <c r="A148" s="418"/>
      <c r="B148" s="532" t="s">
        <v>138</v>
      </c>
      <c r="C148" s="532"/>
      <c r="D148" s="532"/>
      <c r="E148" s="532"/>
      <c r="F148" s="532"/>
      <c r="G148" s="532"/>
      <c r="H148" s="532"/>
      <c r="I148" s="532"/>
      <c r="J148" s="532"/>
      <c r="K148" s="532"/>
      <c r="L148" s="532"/>
      <c r="M148" s="532"/>
      <c r="N148" s="532"/>
      <c r="O148" s="532"/>
      <c r="P148" s="532"/>
      <c r="Q148" s="532"/>
      <c r="R148" s="532"/>
      <c r="S148" s="532"/>
      <c r="T148" s="535">
        <v>0</v>
      </c>
      <c r="U148" s="420"/>
      <c r="V148" s="405"/>
    </row>
    <row r="149" spans="1:23" x14ac:dyDescent="0.3">
      <c r="A149" s="418"/>
      <c r="B149" s="532" t="s">
        <v>231</v>
      </c>
      <c r="C149" s="532"/>
      <c r="D149" s="532"/>
      <c r="E149" s="532"/>
      <c r="F149" s="532"/>
      <c r="G149" s="532"/>
      <c r="H149" s="532"/>
      <c r="I149" s="532"/>
      <c r="J149" s="532"/>
      <c r="K149" s="532"/>
      <c r="L149" s="532"/>
      <c r="M149" s="532"/>
      <c r="N149" s="532"/>
      <c r="O149" s="532"/>
      <c r="P149" s="532"/>
      <c r="Q149" s="532"/>
      <c r="R149" s="532"/>
      <c r="S149" s="532"/>
      <c r="T149" s="535">
        <v>0</v>
      </c>
      <c r="U149" s="420"/>
      <c r="V149" s="405"/>
      <c r="W149" s="452"/>
    </row>
    <row r="150" spans="1:23" x14ac:dyDescent="0.3">
      <c r="A150" s="418"/>
      <c r="B150" s="532" t="s">
        <v>50</v>
      </c>
      <c r="C150" s="532"/>
      <c r="D150" s="532"/>
      <c r="E150" s="532"/>
      <c r="F150" s="532"/>
      <c r="G150" s="532"/>
      <c r="H150" s="532"/>
      <c r="I150" s="532"/>
      <c r="J150" s="532"/>
      <c r="K150" s="532"/>
      <c r="L150" s="532"/>
      <c r="M150" s="532"/>
      <c r="N150" s="532"/>
      <c r="O150" s="532"/>
      <c r="P150" s="532"/>
      <c r="Q150" s="532"/>
      <c r="R150" s="532"/>
      <c r="S150" s="532"/>
      <c r="T150" s="535">
        <f>SUM(T142:T149)</f>
        <v>12320</v>
      </c>
      <c r="U150" s="420"/>
      <c r="V150" s="405"/>
    </row>
    <row r="151" spans="1:23" x14ac:dyDescent="0.3">
      <c r="A151" s="418"/>
      <c r="B151" s="448"/>
      <c r="C151" s="448"/>
      <c r="D151" s="448"/>
      <c r="E151" s="448"/>
      <c r="F151" s="448"/>
      <c r="G151" s="448"/>
      <c r="H151" s="448"/>
      <c r="I151" s="448"/>
      <c r="J151" s="448"/>
      <c r="K151" s="448"/>
      <c r="L151" s="448"/>
      <c r="M151" s="448"/>
      <c r="N151" s="448"/>
      <c r="O151" s="448"/>
      <c r="P151" s="448"/>
      <c r="Q151" s="448"/>
      <c r="R151" s="448"/>
      <c r="S151" s="448"/>
      <c r="T151" s="450"/>
      <c r="U151" s="451"/>
      <c r="V151" s="405"/>
    </row>
    <row r="152" spans="1:23" x14ac:dyDescent="0.3">
      <c r="A152" s="418"/>
      <c r="B152" s="522" t="s">
        <v>264</v>
      </c>
      <c r="C152" s="448"/>
      <c r="D152" s="448"/>
      <c r="E152" s="448"/>
      <c r="F152" s="448"/>
      <c r="G152" s="448"/>
      <c r="H152" s="448"/>
      <c r="I152" s="448"/>
      <c r="J152" s="448"/>
      <c r="K152" s="448"/>
      <c r="L152" s="448"/>
      <c r="M152" s="448"/>
      <c r="N152" s="448"/>
      <c r="O152" s="448"/>
      <c r="P152" s="448"/>
      <c r="Q152" s="448"/>
      <c r="R152" s="448"/>
      <c r="S152" s="448"/>
      <c r="T152" s="450"/>
      <c r="U152" s="451"/>
      <c r="V152" s="405"/>
    </row>
    <row r="153" spans="1:23" x14ac:dyDescent="0.3">
      <c r="A153" s="418"/>
      <c r="B153" s="532" t="s">
        <v>170</v>
      </c>
      <c r="C153" s="532"/>
      <c r="D153" s="532"/>
      <c r="E153" s="532"/>
      <c r="F153" s="532"/>
      <c r="G153" s="532"/>
      <c r="H153" s="532"/>
      <c r="I153" s="532"/>
      <c r="J153" s="532"/>
      <c r="K153" s="532"/>
      <c r="L153" s="532"/>
      <c r="M153" s="532"/>
      <c r="N153" s="532"/>
      <c r="O153" s="532"/>
      <c r="P153" s="532"/>
      <c r="Q153" s="532"/>
      <c r="R153" s="532"/>
      <c r="S153" s="532"/>
      <c r="T153" s="535">
        <v>10000</v>
      </c>
      <c r="U153" s="420"/>
      <c r="V153" s="405"/>
    </row>
    <row r="154" spans="1:23" x14ac:dyDescent="0.3">
      <c r="A154" s="418"/>
      <c r="B154" s="532" t="s">
        <v>260</v>
      </c>
      <c r="C154" s="532"/>
      <c r="D154" s="532"/>
      <c r="E154" s="532"/>
      <c r="F154" s="532"/>
      <c r="G154" s="532"/>
      <c r="H154" s="532"/>
      <c r="I154" s="532"/>
      <c r="J154" s="532"/>
      <c r="K154" s="532"/>
      <c r="L154" s="532"/>
      <c r="M154" s="532"/>
      <c r="N154" s="532"/>
      <c r="O154" s="532"/>
      <c r="P154" s="532"/>
      <c r="Q154" s="532"/>
      <c r="R154" s="532"/>
      <c r="S154" s="532"/>
      <c r="T154" s="535">
        <v>0</v>
      </c>
      <c r="U154" s="420"/>
      <c r="V154" s="405"/>
    </row>
    <row r="155" spans="1:23" x14ac:dyDescent="0.3">
      <c r="A155" s="418"/>
      <c r="B155" s="532" t="s">
        <v>228</v>
      </c>
      <c r="C155" s="532"/>
      <c r="D155" s="532"/>
      <c r="E155" s="532"/>
      <c r="F155" s="532"/>
      <c r="G155" s="532"/>
      <c r="H155" s="532"/>
      <c r="I155" s="532"/>
      <c r="J155" s="532"/>
      <c r="K155" s="532"/>
      <c r="L155" s="532"/>
      <c r="M155" s="532"/>
      <c r="N155" s="532"/>
      <c r="O155" s="532"/>
      <c r="P155" s="532"/>
      <c r="Q155" s="532"/>
      <c r="R155" s="532"/>
      <c r="S155" s="532"/>
      <c r="T155" s="535">
        <v>0</v>
      </c>
      <c r="U155" s="420"/>
      <c r="V155" s="405"/>
    </row>
    <row r="156" spans="1:23" x14ac:dyDescent="0.3">
      <c r="A156" s="418"/>
      <c r="B156" s="568" t="s">
        <v>327</v>
      </c>
      <c r="C156" s="532"/>
      <c r="D156" s="532"/>
      <c r="E156" s="532"/>
      <c r="F156" s="532"/>
      <c r="G156" s="532"/>
      <c r="H156" s="532"/>
      <c r="I156" s="532"/>
      <c r="J156" s="532"/>
      <c r="K156" s="532"/>
      <c r="L156" s="532"/>
      <c r="M156" s="532"/>
      <c r="N156" s="532"/>
      <c r="O156" s="532"/>
      <c r="P156" s="532"/>
      <c r="Q156" s="532"/>
      <c r="R156" s="532"/>
      <c r="S156" s="532"/>
      <c r="T156" s="535">
        <v>0</v>
      </c>
      <c r="U156" s="420"/>
      <c r="V156" s="405"/>
    </row>
    <row r="157" spans="1:23" x14ac:dyDescent="0.3">
      <c r="A157" s="418"/>
      <c r="B157" s="448"/>
      <c r="C157" s="448"/>
      <c r="D157" s="448"/>
      <c r="E157" s="448"/>
      <c r="F157" s="448"/>
      <c r="G157" s="448"/>
      <c r="H157" s="448"/>
      <c r="I157" s="448"/>
      <c r="J157" s="448"/>
      <c r="K157" s="448"/>
      <c r="L157" s="448"/>
      <c r="M157" s="448"/>
      <c r="N157" s="448"/>
      <c r="O157" s="448"/>
      <c r="P157" s="448"/>
      <c r="Q157" s="448"/>
      <c r="R157" s="448"/>
      <c r="S157" s="448"/>
      <c r="T157" s="450"/>
      <c r="U157" s="451"/>
      <c r="V157" s="405"/>
    </row>
    <row r="158" spans="1:23" x14ac:dyDescent="0.3">
      <c r="A158" s="407"/>
      <c r="B158" s="444"/>
      <c r="C158" s="444"/>
      <c r="D158" s="444"/>
      <c r="E158" s="444"/>
      <c r="F158" s="444"/>
      <c r="G158" s="444"/>
      <c r="H158" s="444"/>
      <c r="I158" s="444"/>
      <c r="J158" s="444"/>
      <c r="K158" s="444"/>
      <c r="L158" s="444"/>
      <c r="M158" s="444"/>
      <c r="N158" s="444"/>
      <c r="O158" s="444"/>
      <c r="P158" s="444"/>
      <c r="Q158" s="444"/>
      <c r="R158" s="444"/>
      <c r="S158" s="444"/>
      <c r="T158" s="459"/>
      <c r="U158" s="444"/>
      <c r="V158" s="405"/>
    </row>
    <row r="159" spans="1:23" x14ac:dyDescent="0.3">
      <c r="A159" s="407"/>
      <c r="B159" s="523" t="s">
        <v>25</v>
      </c>
      <c r="C159" s="409"/>
      <c r="D159" s="409"/>
      <c r="E159" s="409"/>
      <c r="F159" s="409"/>
      <c r="G159" s="409"/>
      <c r="H159" s="409"/>
      <c r="I159" s="409"/>
      <c r="J159" s="409"/>
      <c r="K159" s="409"/>
      <c r="L159" s="409"/>
      <c r="M159" s="409"/>
      <c r="N159" s="409"/>
      <c r="O159" s="409"/>
      <c r="P159" s="409"/>
      <c r="Q159" s="409"/>
      <c r="R159" s="409"/>
      <c r="S159" s="409"/>
      <c r="T159" s="441"/>
      <c r="U159" s="409"/>
      <c r="V159" s="405"/>
    </row>
    <row r="160" spans="1:23" x14ac:dyDescent="0.3">
      <c r="A160" s="418"/>
      <c r="B160" s="532" t="s">
        <v>51</v>
      </c>
      <c r="C160" s="532"/>
      <c r="D160" s="532"/>
      <c r="E160" s="532"/>
      <c r="F160" s="532"/>
      <c r="G160" s="532"/>
      <c r="H160" s="532"/>
      <c r="I160" s="532"/>
      <c r="J160" s="532"/>
      <c r="K160" s="532"/>
      <c r="L160" s="532"/>
      <c r="M160" s="532"/>
      <c r="N160" s="532"/>
      <c r="O160" s="532"/>
      <c r="P160" s="532"/>
      <c r="Q160" s="532"/>
      <c r="R160" s="532"/>
      <c r="S160" s="532"/>
      <c r="T160" s="561" t="s">
        <v>127</v>
      </c>
      <c r="U160" s="451"/>
      <c r="V160" s="405"/>
    </row>
    <row r="161" spans="1:22" x14ac:dyDescent="0.3">
      <c r="A161" s="418"/>
      <c r="B161" s="532" t="s">
        <v>52</v>
      </c>
      <c r="C161" s="532"/>
      <c r="D161" s="532"/>
      <c r="E161" s="532"/>
      <c r="F161" s="532"/>
      <c r="G161" s="532"/>
      <c r="H161" s="532"/>
      <c r="I161" s="532"/>
      <c r="J161" s="532"/>
      <c r="K161" s="532"/>
      <c r="L161" s="532"/>
      <c r="M161" s="532"/>
      <c r="N161" s="532"/>
      <c r="O161" s="532"/>
      <c r="P161" s="532"/>
      <c r="Q161" s="532"/>
      <c r="R161" s="532"/>
      <c r="S161" s="532"/>
      <c r="T161" s="561" t="s">
        <v>127</v>
      </c>
      <c r="U161" s="451"/>
      <c r="V161" s="405"/>
    </row>
    <row r="162" spans="1:22" x14ac:dyDescent="0.3">
      <c r="A162" s="418"/>
      <c r="B162" s="532" t="s">
        <v>53</v>
      </c>
      <c r="C162" s="532"/>
      <c r="D162" s="532"/>
      <c r="E162" s="532"/>
      <c r="F162" s="532"/>
      <c r="G162" s="532"/>
      <c r="H162" s="532"/>
      <c r="I162" s="532"/>
      <c r="J162" s="532"/>
      <c r="K162" s="532"/>
      <c r="L162" s="532"/>
      <c r="M162" s="532"/>
      <c r="N162" s="532"/>
      <c r="O162" s="532"/>
      <c r="P162" s="532"/>
      <c r="Q162" s="532"/>
      <c r="R162" s="532"/>
      <c r="S162" s="532"/>
      <c r="T162" s="561" t="s">
        <v>127</v>
      </c>
      <c r="U162" s="451"/>
      <c r="V162" s="405"/>
    </row>
    <row r="163" spans="1:22" x14ac:dyDescent="0.3">
      <c r="A163" s="418"/>
      <c r="B163" s="532" t="s">
        <v>54</v>
      </c>
      <c r="C163" s="532"/>
      <c r="D163" s="532"/>
      <c r="E163" s="532"/>
      <c r="F163" s="532"/>
      <c r="G163" s="532"/>
      <c r="H163" s="532"/>
      <c r="I163" s="532"/>
      <c r="J163" s="532"/>
      <c r="K163" s="532"/>
      <c r="L163" s="532"/>
      <c r="M163" s="532"/>
      <c r="N163" s="532"/>
      <c r="O163" s="532"/>
      <c r="P163" s="532"/>
      <c r="Q163" s="532"/>
      <c r="R163" s="532"/>
      <c r="S163" s="532"/>
      <c r="T163" s="561" t="s">
        <v>127</v>
      </c>
      <c r="U163" s="451"/>
      <c r="V163" s="405"/>
    </row>
    <row r="164" spans="1:22" x14ac:dyDescent="0.3">
      <c r="A164" s="407"/>
      <c r="B164" s="444"/>
      <c r="C164" s="444"/>
      <c r="D164" s="444"/>
      <c r="E164" s="444"/>
      <c r="F164" s="444"/>
      <c r="G164" s="444"/>
      <c r="H164" s="444"/>
      <c r="I164" s="444"/>
      <c r="J164" s="444"/>
      <c r="K164" s="444"/>
      <c r="L164" s="444"/>
      <c r="M164" s="444"/>
      <c r="N164" s="444"/>
      <c r="O164" s="444"/>
      <c r="P164" s="444"/>
      <c r="Q164" s="444"/>
      <c r="R164" s="444"/>
      <c r="S164" s="444"/>
      <c r="T164" s="459"/>
      <c r="U164" s="444"/>
      <c r="V164" s="405"/>
    </row>
    <row r="165" spans="1:22" x14ac:dyDescent="0.3">
      <c r="A165" s="407"/>
      <c r="B165" s="523" t="s">
        <v>55</v>
      </c>
      <c r="C165" s="409"/>
      <c r="D165" s="409"/>
      <c r="E165" s="409"/>
      <c r="F165" s="409"/>
      <c r="G165" s="409"/>
      <c r="H165" s="409"/>
      <c r="I165" s="409"/>
      <c r="J165" s="409"/>
      <c r="K165" s="409"/>
      <c r="L165" s="409"/>
      <c r="M165" s="409"/>
      <c r="N165" s="409"/>
      <c r="O165" s="409"/>
      <c r="P165" s="409"/>
      <c r="Q165" s="409"/>
      <c r="R165" s="409"/>
      <c r="S165" s="409"/>
      <c r="T165" s="460"/>
      <c r="U165" s="409"/>
      <c r="V165" s="405"/>
    </row>
    <row r="166" spans="1:22" x14ac:dyDescent="0.3">
      <c r="A166" s="418"/>
      <c r="B166" s="532" t="s">
        <v>56</v>
      </c>
      <c r="C166" s="532"/>
      <c r="D166" s="532"/>
      <c r="E166" s="532"/>
      <c r="F166" s="532"/>
      <c r="G166" s="532"/>
      <c r="H166" s="532"/>
      <c r="I166" s="532"/>
      <c r="J166" s="532"/>
      <c r="K166" s="532"/>
      <c r="L166" s="532"/>
      <c r="M166" s="532"/>
      <c r="N166" s="532"/>
      <c r="O166" s="532"/>
      <c r="P166" s="532"/>
      <c r="Q166" s="532"/>
      <c r="R166" s="532"/>
      <c r="S166" s="532"/>
      <c r="T166" s="535">
        <v>0</v>
      </c>
      <c r="U166" s="451"/>
      <c r="V166" s="405"/>
    </row>
    <row r="167" spans="1:22" x14ac:dyDescent="0.3">
      <c r="A167" s="418"/>
      <c r="B167" s="532" t="s">
        <v>57</v>
      </c>
      <c r="C167" s="532"/>
      <c r="D167" s="532"/>
      <c r="E167" s="532"/>
      <c r="F167" s="532"/>
      <c r="G167" s="532"/>
      <c r="H167" s="532"/>
      <c r="I167" s="532"/>
      <c r="J167" s="532"/>
      <c r="K167" s="532"/>
      <c r="L167" s="532"/>
      <c r="M167" s="532"/>
      <c r="N167" s="532"/>
      <c r="O167" s="532"/>
      <c r="P167" s="532"/>
      <c r="Q167" s="532"/>
      <c r="R167" s="532"/>
      <c r="S167" s="532"/>
      <c r="T167" s="535">
        <f>-T113</f>
        <v>38</v>
      </c>
      <c r="U167" s="451"/>
      <c r="V167" s="405"/>
    </row>
    <row r="168" spans="1:22" x14ac:dyDescent="0.3">
      <c r="A168" s="418"/>
      <c r="B168" s="532" t="s">
        <v>58</v>
      </c>
      <c r="C168" s="532"/>
      <c r="D168" s="532"/>
      <c r="E168" s="532"/>
      <c r="F168" s="532"/>
      <c r="G168" s="532"/>
      <c r="H168" s="532"/>
      <c r="I168" s="532"/>
      <c r="J168" s="532"/>
      <c r="K168" s="532"/>
      <c r="L168" s="532"/>
      <c r="M168" s="532"/>
      <c r="N168" s="532"/>
      <c r="O168" s="532"/>
      <c r="P168" s="532"/>
      <c r="Q168" s="532"/>
      <c r="R168" s="532"/>
      <c r="S168" s="532"/>
      <c r="T168" s="535">
        <f>T167+T166</f>
        <v>38</v>
      </c>
      <c r="U168" s="451"/>
      <c r="V168" s="405"/>
    </row>
    <row r="169" spans="1:22" x14ac:dyDescent="0.3">
      <c r="A169" s="418"/>
      <c r="B169" s="568" t="s">
        <v>309</v>
      </c>
      <c r="C169" s="532"/>
      <c r="D169" s="532"/>
      <c r="E169" s="532"/>
      <c r="F169" s="532"/>
      <c r="G169" s="532"/>
      <c r="H169" s="532"/>
      <c r="I169" s="532"/>
      <c r="J169" s="532"/>
      <c r="K169" s="532"/>
      <c r="L169" s="532"/>
      <c r="M169" s="532"/>
      <c r="N169" s="532"/>
      <c r="O169" s="532"/>
      <c r="P169" s="532"/>
      <c r="Q169" s="532"/>
      <c r="R169" s="532"/>
      <c r="S169" s="532"/>
      <c r="T169" s="535">
        <f>T113</f>
        <v>-38</v>
      </c>
      <c r="U169" s="451"/>
      <c r="V169" s="405"/>
    </row>
    <row r="170" spans="1:22" x14ac:dyDescent="0.3">
      <c r="A170" s="418"/>
      <c r="B170" s="532" t="s">
        <v>59</v>
      </c>
      <c r="C170" s="532"/>
      <c r="D170" s="532"/>
      <c r="E170" s="532"/>
      <c r="F170" s="532"/>
      <c r="G170" s="532"/>
      <c r="H170" s="532"/>
      <c r="I170" s="532"/>
      <c r="J170" s="532"/>
      <c r="K170" s="532"/>
      <c r="L170" s="532"/>
      <c r="M170" s="532"/>
      <c r="N170" s="532"/>
      <c r="O170" s="532"/>
      <c r="P170" s="532"/>
      <c r="Q170" s="532"/>
      <c r="R170" s="532"/>
      <c r="S170" s="532"/>
      <c r="T170" s="535">
        <f>T168+T169</f>
        <v>0</v>
      </c>
      <c r="U170" s="451"/>
      <c r="V170" s="405"/>
    </row>
    <row r="171" spans="1:22" x14ac:dyDescent="0.3">
      <c r="A171" s="418"/>
      <c r="B171" s="532" t="s">
        <v>278</v>
      </c>
      <c r="C171" s="532"/>
      <c r="D171" s="532"/>
      <c r="E171" s="532"/>
      <c r="F171" s="532"/>
      <c r="G171" s="532"/>
      <c r="H171" s="532"/>
      <c r="I171" s="532"/>
      <c r="J171" s="532"/>
      <c r="K171" s="532"/>
      <c r="L171" s="532"/>
      <c r="M171" s="532"/>
      <c r="N171" s="532"/>
      <c r="O171" s="532"/>
      <c r="P171" s="532"/>
      <c r="Q171" s="532"/>
      <c r="R171" s="532"/>
      <c r="S171" s="532"/>
      <c r="T171" s="535">
        <f>-T96</f>
        <v>102</v>
      </c>
      <c r="U171" s="451"/>
      <c r="V171" s="405"/>
    </row>
    <row r="172" spans="1:22" ht="16.2" thickBot="1" x14ac:dyDescent="0.35">
      <c r="A172" s="407"/>
      <c r="B172" s="431"/>
      <c r="C172" s="431"/>
      <c r="D172" s="431"/>
      <c r="E172" s="431"/>
      <c r="F172" s="431"/>
      <c r="G172" s="431"/>
      <c r="H172" s="431"/>
      <c r="I172" s="431"/>
      <c r="J172" s="431"/>
      <c r="K172" s="431"/>
      <c r="L172" s="431"/>
      <c r="M172" s="431"/>
      <c r="N172" s="431"/>
      <c r="O172" s="431"/>
      <c r="P172" s="431"/>
      <c r="Q172" s="431"/>
      <c r="R172" s="431"/>
      <c r="S172" s="431"/>
      <c r="T172" s="461"/>
      <c r="U172" s="444"/>
      <c r="V172" s="405"/>
    </row>
    <row r="173" spans="1:22" x14ac:dyDescent="0.3">
      <c r="A173" s="403"/>
      <c r="B173" s="404"/>
      <c r="C173" s="404"/>
      <c r="D173" s="404"/>
      <c r="E173" s="404"/>
      <c r="F173" s="404"/>
      <c r="G173" s="404"/>
      <c r="H173" s="404"/>
      <c r="I173" s="404"/>
      <c r="J173" s="404"/>
      <c r="K173" s="404"/>
      <c r="L173" s="404"/>
      <c r="M173" s="404"/>
      <c r="N173" s="404"/>
      <c r="O173" s="404"/>
      <c r="P173" s="404"/>
      <c r="Q173" s="404"/>
      <c r="R173" s="404"/>
      <c r="S173" s="404"/>
      <c r="T173" s="462"/>
      <c r="U173" s="404"/>
      <c r="V173" s="405"/>
    </row>
    <row r="174" spans="1:22" x14ac:dyDescent="0.3">
      <c r="A174" s="407"/>
      <c r="B174" s="523" t="s">
        <v>60</v>
      </c>
      <c r="C174" s="409"/>
      <c r="D174" s="409"/>
      <c r="E174" s="409"/>
      <c r="F174" s="409"/>
      <c r="G174" s="409"/>
      <c r="H174" s="409"/>
      <c r="I174" s="409"/>
      <c r="J174" s="409"/>
      <c r="K174" s="409"/>
      <c r="L174" s="409"/>
      <c r="M174" s="409"/>
      <c r="N174" s="409"/>
      <c r="O174" s="409"/>
      <c r="P174" s="409"/>
      <c r="Q174" s="409"/>
      <c r="R174" s="409"/>
      <c r="S174" s="409"/>
      <c r="T174" s="441"/>
      <c r="U174" s="409"/>
      <c r="V174" s="405"/>
    </row>
    <row r="175" spans="1:22" x14ac:dyDescent="0.3">
      <c r="A175" s="407"/>
      <c r="B175" s="458"/>
      <c r="C175" s="409"/>
      <c r="D175" s="409"/>
      <c r="E175" s="409"/>
      <c r="F175" s="409"/>
      <c r="G175" s="409"/>
      <c r="H175" s="409"/>
      <c r="I175" s="409"/>
      <c r="J175" s="409"/>
      <c r="K175" s="409"/>
      <c r="L175" s="409"/>
      <c r="M175" s="409"/>
      <c r="N175" s="409"/>
      <c r="O175" s="409"/>
      <c r="P175" s="409"/>
      <c r="Q175" s="409"/>
      <c r="R175" s="409"/>
      <c r="S175" s="409"/>
      <c r="T175" s="441"/>
      <c r="U175" s="409"/>
      <c r="V175" s="405"/>
    </row>
    <row r="176" spans="1:22" x14ac:dyDescent="0.3">
      <c r="A176" s="418"/>
      <c r="B176" s="532" t="s">
        <v>61</v>
      </c>
      <c r="C176" s="532"/>
      <c r="D176" s="532"/>
      <c r="E176" s="532"/>
      <c r="F176" s="532"/>
      <c r="G176" s="532"/>
      <c r="H176" s="532"/>
      <c r="I176" s="532"/>
      <c r="J176" s="532"/>
      <c r="K176" s="532"/>
      <c r="L176" s="532"/>
      <c r="M176" s="532"/>
      <c r="N176" s="532"/>
      <c r="O176" s="532"/>
      <c r="P176" s="532"/>
      <c r="Q176" s="532"/>
      <c r="R176" s="532"/>
      <c r="S176" s="532"/>
      <c r="T176" s="535">
        <f>T68</f>
        <v>201476</v>
      </c>
      <c r="U176" s="451"/>
      <c r="V176" s="405"/>
    </row>
    <row r="177" spans="1:22" x14ac:dyDescent="0.3">
      <c r="A177" s="418"/>
      <c r="B177" s="532" t="s">
        <v>62</v>
      </c>
      <c r="C177" s="532"/>
      <c r="D177" s="532"/>
      <c r="E177" s="532"/>
      <c r="F177" s="532"/>
      <c r="G177" s="532"/>
      <c r="H177" s="532"/>
      <c r="I177" s="532"/>
      <c r="J177" s="532"/>
      <c r="K177" s="532"/>
      <c r="L177" s="532"/>
      <c r="M177" s="532"/>
      <c r="N177" s="532"/>
      <c r="O177" s="532"/>
      <c r="P177" s="532"/>
      <c r="Q177" s="532"/>
      <c r="R177" s="532"/>
      <c r="S177" s="532"/>
      <c r="T177" s="535">
        <f>T81</f>
        <v>201476</v>
      </c>
      <c r="U177" s="451"/>
      <c r="V177" s="405"/>
    </row>
    <row r="178" spans="1:22" ht="16.2" thickBot="1" x14ac:dyDescent="0.35">
      <c r="A178" s="407"/>
      <c r="B178" s="444"/>
      <c r="C178" s="444"/>
      <c r="D178" s="444"/>
      <c r="E178" s="444"/>
      <c r="F178" s="444"/>
      <c r="G178" s="444"/>
      <c r="H178" s="444"/>
      <c r="I178" s="444"/>
      <c r="J178" s="444"/>
      <c r="K178" s="444"/>
      <c r="L178" s="444"/>
      <c r="M178" s="444"/>
      <c r="N178" s="444"/>
      <c r="O178" s="444"/>
      <c r="P178" s="444"/>
      <c r="Q178" s="444"/>
      <c r="R178" s="444"/>
      <c r="S178" s="444"/>
      <c r="T178" s="459"/>
      <c r="U178" s="444"/>
      <c r="V178" s="405"/>
    </row>
    <row r="179" spans="1:22" x14ac:dyDescent="0.3">
      <c r="A179" s="403"/>
      <c r="B179" s="404"/>
      <c r="C179" s="404"/>
      <c r="D179" s="404"/>
      <c r="E179" s="404"/>
      <c r="F179" s="404"/>
      <c r="G179" s="404"/>
      <c r="H179" s="404"/>
      <c r="I179" s="404"/>
      <c r="J179" s="404"/>
      <c r="K179" s="404"/>
      <c r="L179" s="404"/>
      <c r="M179" s="404"/>
      <c r="N179" s="404"/>
      <c r="O179" s="404"/>
      <c r="P179" s="404"/>
      <c r="Q179" s="404"/>
      <c r="R179" s="404"/>
      <c r="S179" s="404"/>
      <c r="T179" s="462"/>
      <c r="U179" s="404"/>
      <c r="V179" s="405"/>
    </row>
    <row r="180" spans="1:22" s="529" customFormat="1" x14ac:dyDescent="0.3">
      <c r="A180" s="524"/>
      <c r="B180" s="523" t="s">
        <v>63</v>
      </c>
      <c r="C180" s="525"/>
      <c r="D180" s="525"/>
      <c r="E180" s="525"/>
      <c r="F180" s="525"/>
      <c r="G180" s="525"/>
      <c r="H180" s="526"/>
      <c r="I180" s="526"/>
      <c r="J180" s="526"/>
      <c r="K180" s="526"/>
      <c r="L180" s="526"/>
      <c r="M180" s="526"/>
      <c r="N180" s="526"/>
      <c r="O180" s="526"/>
      <c r="P180" s="526"/>
      <c r="Q180" s="526" t="s">
        <v>107</v>
      </c>
      <c r="R180" s="526" t="s">
        <v>234</v>
      </c>
      <c r="S180" s="411"/>
      <c r="T180" s="527" t="s">
        <v>123</v>
      </c>
      <c r="U180" s="411"/>
      <c r="V180" s="528"/>
    </row>
    <row r="181" spans="1:22" x14ac:dyDescent="0.3">
      <c r="A181" s="418"/>
      <c r="B181" s="532" t="s">
        <v>64</v>
      </c>
      <c r="C181" s="532"/>
      <c r="D181" s="532"/>
      <c r="E181" s="532"/>
      <c r="F181" s="532"/>
      <c r="G181" s="532"/>
      <c r="H181" s="532"/>
      <c r="I181" s="532"/>
      <c r="J181" s="532"/>
      <c r="K181" s="532"/>
      <c r="L181" s="532"/>
      <c r="M181" s="532"/>
      <c r="N181" s="532"/>
      <c r="O181" s="532"/>
      <c r="P181" s="532"/>
      <c r="Q181" s="535">
        <v>112000</v>
      </c>
      <c r="R181" s="550"/>
      <c r="S181" s="532"/>
      <c r="T181" s="535"/>
      <c r="U181" s="420"/>
      <c r="V181" s="405"/>
    </row>
    <row r="182" spans="1:22" x14ac:dyDescent="0.3">
      <c r="A182" s="418"/>
      <c r="B182" s="532" t="s">
        <v>65</v>
      </c>
      <c r="C182" s="532"/>
      <c r="D182" s="532"/>
      <c r="E182" s="532"/>
      <c r="F182" s="532"/>
      <c r="G182" s="532"/>
      <c r="H182" s="532"/>
      <c r="I182" s="532"/>
      <c r="J182" s="532"/>
      <c r="K182" s="532"/>
      <c r="L182" s="532"/>
      <c r="M182" s="532"/>
      <c r="N182" s="532"/>
      <c r="O182" s="532"/>
      <c r="P182" s="532"/>
      <c r="Q182" s="535">
        <f>+'July 19'!Q184</f>
        <v>50882</v>
      </c>
      <c r="R182" s="535">
        <f>+'July 19'!R184</f>
        <v>2435</v>
      </c>
      <c r="S182" s="532"/>
      <c r="T182" s="535">
        <f>Q182+R182</f>
        <v>53317</v>
      </c>
      <c r="U182" s="420"/>
      <c r="V182" s="405"/>
    </row>
    <row r="183" spans="1:22" x14ac:dyDescent="0.3">
      <c r="A183" s="418"/>
      <c r="B183" s="532" t="s">
        <v>66</v>
      </c>
      <c r="C183" s="532"/>
      <c r="D183" s="532"/>
      <c r="E183" s="532"/>
      <c r="F183" s="532"/>
      <c r="G183" s="532"/>
      <c r="H183" s="532"/>
      <c r="I183" s="532"/>
      <c r="J183" s="532"/>
      <c r="K183" s="532"/>
      <c r="L183" s="532"/>
      <c r="M183" s="532"/>
      <c r="N183" s="532"/>
      <c r="O183" s="532"/>
      <c r="P183" s="532"/>
      <c r="Q183" s="531">
        <v>0</v>
      </c>
      <c r="R183" s="531">
        <v>0</v>
      </c>
      <c r="S183" s="532"/>
      <c r="T183" s="535">
        <f>Q183+R183</f>
        <v>0</v>
      </c>
      <c r="U183" s="420"/>
      <c r="V183" s="405"/>
    </row>
    <row r="184" spans="1:22" x14ac:dyDescent="0.3">
      <c r="A184" s="418"/>
      <c r="B184" s="532" t="s">
        <v>67</v>
      </c>
      <c r="C184" s="532"/>
      <c r="D184" s="532"/>
      <c r="E184" s="532"/>
      <c r="F184" s="532"/>
      <c r="G184" s="532"/>
      <c r="H184" s="532"/>
      <c r="I184" s="532"/>
      <c r="J184" s="532"/>
      <c r="K184" s="532"/>
      <c r="L184" s="532"/>
      <c r="M184" s="532"/>
      <c r="N184" s="532"/>
      <c r="O184" s="532"/>
      <c r="P184" s="532"/>
      <c r="Q184" s="535">
        <f>Q182+Q183</f>
        <v>50882</v>
      </c>
      <c r="R184" s="535">
        <f>R183+R182</f>
        <v>2435</v>
      </c>
      <c r="S184" s="532"/>
      <c r="T184" s="535">
        <f>Q184+R184</f>
        <v>53317</v>
      </c>
      <c r="U184" s="420"/>
      <c r="V184" s="405"/>
    </row>
    <row r="185" spans="1:22" x14ac:dyDescent="0.3">
      <c r="A185" s="418"/>
      <c r="B185" s="532" t="s">
        <v>68</v>
      </c>
      <c r="C185" s="532"/>
      <c r="D185" s="532"/>
      <c r="E185" s="532"/>
      <c r="F185" s="532"/>
      <c r="G185" s="532"/>
      <c r="H185" s="532"/>
      <c r="I185" s="532"/>
      <c r="J185" s="532"/>
      <c r="K185" s="532"/>
      <c r="L185" s="532"/>
      <c r="M185" s="532"/>
      <c r="N185" s="532"/>
      <c r="O185" s="532"/>
      <c r="P185" s="532"/>
      <c r="Q185" s="535">
        <f>Q181-Q184-R184</f>
        <v>58683</v>
      </c>
      <c r="R185" s="550"/>
      <c r="S185" s="532"/>
      <c r="T185" s="535"/>
      <c r="U185" s="420"/>
      <c r="V185" s="405"/>
    </row>
    <row r="186" spans="1:22" ht="16.2" thickBot="1" x14ac:dyDescent="0.35">
      <c r="A186" s="407"/>
      <c r="B186" s="444"/>
      <c r="C186" s="444"/>
      <c r="D186" s="444"/>
      <c r="E186" s="444"/>
      <c r="F186" s="444"/>
      <c r="G186" s="444"/>
      <c r="H186" s="444"/>
      <c r="I186" s="444"/>
      <c r="J186" s="444"/>
      <c r="K186" s="444"/>
      <c r="L186" s="444"/>
      <c r="M186" s="444"/>
      <c r="N186" s="444"/>
      <c r="O186" s="444"/>
      <c r="P186" s="444"/>
      <c r="Q186" s="444"/>
      <c r="R186" s="444"/>
      <c r="S186" s="444"/>
      <c r="T186" s="459"/>
      <c r="U186" s="444"/>
      <c r="V186" s="405"/>
    </row>
    <row r="187" spans="1:22" x14ac:dyDescent="0.3">
      <c r="A187" s="403"/>
      <c r="B187" s="404"/>
      <c r="C187" s="404"/>
      <c r="D187" s="404"/>
      <c r="E187" s="404"/>
      <c r="F187" s="404"/>
      <c r="G187" s="404"/>
      <c r="H187" s="404"/>
      <c r="I187" s="404"/>
      <c r="J187" s="404"/>
      <c r="K187" s="404"/>
      <c r="L187" s="404"/>
      <c r="M187" s="404"/>
      <c r="N187" s="404"/>
      <c r="O187" s="404"/>
      <c r="P187" s="404"/>
      <c r="Q187" s="404"/>
      <c r="R187" s="404"/>
      <c r="S187" s="404"/>
      <c r="T187" s="462"/>
      <c r="U187" s="404"/>
      <c r="V187" s="405"/>
    </row>
    <row r="188" spans="1:22" x14ac:dyDescent="0.3">
      <c r="A188" s="407"/>
      <c r="B188" s="523" t="s">
        <v>69</v>
      </c>
      <c r="C188" s="409"/>
      <c r="D188" s="409"/>
      <c r="E188" s="409"/>
      <c r="F188" s="409"/>
      <c r="G188" s="409"/>
      <c r="H188" s="409"/>
      <c r="I188" s="409"/>
      <c r="J188" s="409"/>
      <c r="K188" s="409"/>
      <c r="L188" s="409"/>
      <c r="M188" s="409"/>
      <c r="N188" s="409"/>
      <c r="O188" s="409"/>
      <c r="P188" s="409"/>
      <c r="Q188" s="409"/>
      <c r="R188" s="409"/>
      <c r="S188" s="409"/>
      <c r="T188" s="463"/>
      <c r="U188" s="409"/>
      <c r="V188" s="405"/>
    </row>
    <row r="189" spans="1:22" x14ac:dyDescent="0.3">
      <c r="A189" s="418"/>
      <c r="B189" s="532" t="s">
        <v>70</v>
      </c>
      <c r="C189" s="532"/>
      <c r="D189" s="532"/>
      <c r="E189" s="532"/>
      <c r="F189" s="532"/>
      <c r="G189" s="532"/>
      <c r="H189" s="532"/>
      <c r="I189" s="532"/>
      <c r="J189" s="532"/>
      <c r="K189" s="532"/>
      <c r="L189" s="532"/>
      <c r="M189" s="532"/>
      <c r="N189" s="532"/>
      <c r="O189" s="532"/>
      <c r="P189" s="532"/>
      <c r="Q189" s="532"/>
      <c r="R189" s="532"/>
      <c r="S189" s="532"/>
      <c r="T189" s="561">
        <f>(T97+T99+T100+T101+T102+T103)/-(T104+T105+T106)</f>
        <v>2.7645788336933044</v>
      </c>
      <c r="U189" s="562" t="s">
        <v>124</v>
      </c>
      <c r="V189" s="405"/>
    </row>
    <row r="190" spans="1:22" x14ac:dyDescent="0.3">
      <c r="A190" s="418"/>
      <c r="B190" s="532" t="s">
        <v>71</v>
      </c>
      <c r="C190" s="532"/>
      <c r="D190" s="532"/>
      <c r="E190" s="532"/>
      <c r="F190" s="532"/>
      <c r="G190" s="532"/>
      <c r="H190" s="532"/>
      <c r="I190" s="532"/>
      <c r="J190" s="532"/>
      <c r="K190" s="532"/>
      <c r="L190" s="532"/>
      <c r="M190" s="532"/>
      <c r="N190" s="532"/>
      <c r="O190" s="532"/>
      <c r="P190" s="532"/>
      <c r="Q190" s="532"/>
      <c r="R190" s="532"/>
      <c r="S190" s="532"/>
      <c r="T190" s="563">
        <v>1.74</v>
      </c>
      <c r="U190" s="562" t="s">
        <v>124</v>
      </c>
      <c r="V190" s="405"/>
    </row>
    <row r="191" spans="1:22" x14ac:dyDescent="0.3">
      <c r="A191" s="418"/>
      <c r="B191" s="532" t="s">
        <v>72</v>
      </c>
      <c r="C191" s="532"/>
      <c r="D191" s="532"/>
      <c r="E191" s="532"/>
      <c r="F191" s="532"/>
      <c r="G191" s="532"/>
      <c r="H191" s="532"/>
      <c r="I191" s="532"/>
      <c r="J191" s="532"/>
      <c r="K191" s="532"/>
      <c r="L191" s="532"/>
      <c r="M191" s="532"/>
      <c r="N191" s="532"/>
      <c r="O191" s="532"/>
      <c r="P191" s="532"/>
      <c r="Q191" s="532"/>
      <c r="R191" s="532"/>
      <c r="S191" s="532"/>
      <c r="T191" s="561">
        <f>(T97+T99+T100+T101+T102+T103+T104+T105+T106)/-(T107+T108)</f>
        <v>14.589285714285714</v>
      </c>
      <c r="U191" s="562" t="s">
        <v>124</v>
      </c>
      <c r="V191" s="405"/>
    </row>
    <row r="192" spans="1:22" x14ac:dyDescent="0.3">
      <c r="A192" s="418"/>
      <c r="B192" s="532" t="s">
        <v>73</v>
      </c>
      <c r="C192" s="532"/>
      <c r="D192" s="532"/>
      <c r="E192" s="532"/>
      <c r="F192" s="532"/>
      <c r="G192" s="532"/>
      <c r="H192" s="532"/>
      <c r="I192" s="532"/>
      <c r="J192" s="532"/>
      <c r="K192" s="532"/>
      <c r="L192" s="532"/>
      <c r="M192" s="532"/>
      <c r="N192" s="532"/>
      <c r="O192" s="532"/>
      <c r="P192" s="532"/>
      <c r="Q192" s="532"/>
      <c r="R192" s="532"/>
      <c r="S192" s="532"/>
      <c r="T192" s="564">
        <v>10.029999999999999</v>
      </c>
      <c r="U192" s="562" t="s">
        <v>124</v>
      </c>
      <c r="V192" s="405"/>
    </row>
    <row r="193" spans="1:22" x14ac:dyDescent="0.3">
      <c r="A193" s="418"/>
      <c r="B193" s="532" t="s">
        <v>243</v>
      </c>
      <c r="C193" s="532"/>
      <c r="D193" s="532"/>
      <c r="E193" s="532"/>
      <c r="F193" s="532"/>
      <c r="G193" s="532"/>
      <c r="H193" s="532"/>
      <c r="I193" s="532"/>
      <c r="J193" s="532"/>
      <c r="K193" s="532"/>
      <c r="L193" s="532"/>
      <c r="M193" s="532"/>
      <c r="N193" s="532"/>
      <c r="O193" s="532"/>
      <c r="P193" s="532"/>
      <c r="Q193" s="532"/>
      <c r="R193" s="532"/>
      <c r="S193" s="532"/>
      <c r="T193" s="561">
        <f>(T97+T99+T100+T101+T102+T103+T104+T105+T106+T107+T108)/-(T109+T110)</f>
        <v>5.6370370370370368</v>
      </c>
      <c r="U193" s="562" t="s">
        <v>124</v>
      </c>
      <c r="V193" s="405"/>
    </row>
    <row r="194" spans="1:22" x14ac:dyDescent="0.3">
      <c r="A194" s="418"/>
      <c r="B194" s="532" t="s">
        <v>244</v>
      </c>
      <c r="C194" s="532"/>
      <c r="D194" s="532"/>
      <c r="E194" s="532"/>
      <c r="F194" s="532"/>
      <c r="G194" s="532"/>
      <c r="H194" s="532"/>
      <c r="I194" s="532"/>
      <c r="J194" s="532"/>
      <c r="K194" s="532"/>
      <c r="L194" s="532"/>
      <c r="M194" s="532"/>
      <c r="N194" s="532"/>
      <c r="O194" s="532"/>
      <c r="P194" s="532"/>
      <c r="Q194" s="532"/>
      <c r="R194" s="532"/>
      <c r="S194" s="532"/>
      <c r="T194" s="564">
        <v>4.41</v>
      </c>
      <c r="U194" s="562" t="s">
        <v>124</v>
      </c>
      <c r="V194" s="405"/>
    </row>
    <row r="195" spans="1:22" x14ac:dyDescent="0.3">
      <c r="A195" s="418"/>
      <c r="B195" s="532"/>
      <c r="C195" s="532"/>
      <c r="D195" s="532"/>
      <c r="E195" s="532"/>
      <c r="F195" s="532"/>
      <c r="G195" s="532"/>
      <c r="H195" s="532"/>
      <c r="I195" s="532"/>
      <c r="J195" s="532"/>
      <c r="K195" s="532"/>
      <c r="L195" s="532"/>
      <c r="M195" s="532"/>
      <c r="N195" s="532"/>
      <c r="O195" s="532"/>
      <c r="P195" s="532"/>
      <c r="Q195" s="532"/>
      <c r="R195" s="532"/>
      <c r="S195" s="532"/>
      <c r="T195" s="532"/>
      <c r="U195" s="562"/>
      <c r="V195" s="405"/>
    </row>
    <row r="196" spans="1:22" x14ac:dyDescent="0.3">
      <c r="A196" s="407"/>
      <c r="B196" s="539"/>
      <c r="C196" s="539"/>
      <c r="D196" s="539"/>
      <c r="E196" s="539"/>
      <c r="F196" s="539"/>
      <c r="G196" s="539"/>
      <c r="H196" s="539"/>
      <c r="I196" s="539"/>
      <c r="J196" s="539"/>
      <c r="K196" s="539"/>
      <c r="L196" s="539"/>
      <c r="M196" s="539"/>
      <c r="N196" s="539"/>
      <c r="O196" s="539"/>
      <c r="P196" s="539"/>
      <c r="Q196" s="539"/>
      <c r="R196" s="539"/>
      <c r="S196" s="539"/>
      <c r="T196" s="539"/>
      <c r="U196" s="539"/>
      <c r="V196" s="405"/>
    </row>
    <row r="197" spans="1:22" x14ac:dyDescent="0.3">
      <c r="A197" s="407"/>
      <c r="B197" s="542"/>
      <c r="C197" s="542"/>
      <c r="D197" s="542"/>
      <c r="E197" s="542"/>
      <c r="F197" s="542"/>
      <c r="G197" s="542"/>
      <c r="H197" s="542"/>
      <c r="I197" s="542"/>
      <c r="J197" s="542"/>
      <c r="K197" s="542"/>
      <c r="L197" s="542"/>
      <c r="M197" s="542"/>
      <c r="N197" s="542"/>
      <c r="O197" s="542"/>
      <c r="P197" s="542"/>
      <c r="Q197" s="542"/>
      <c r="R197" s="542"/>
      <c r="S197" s="542"/>
      <c r="T197" s="542"/>
      <c r="U197" s="542"/>
      <c r="V197" s="405"/>
    </row>
    <row r="198" spans="1:22" ht="18.600000000000001" thickBot="1" x14ac:dyDescent="0.4">
      <c r="A198" s="464"/>
      <c r="B198" s="565" t="str">
        <f>B137</f>
        <v>PM9 INVESTOR REPORT QUARTER ENDING OCTOBER 2019</v>
      </c>
      <c r="C198" s="566"/>
      <c r="D198" s="566"/>
      <c r="E198" s="566"/>
      <c r="F198" s="566"/>
      <c r="G198" s="566"/>
      <c r="H198" s="566"/>
      <c r="I198" s="566"/>
      <c r="J198" s="566"/>
      <c r="K198" s="566"/>
      <c r="L198" s="566"/>
      <c r="M198" s="566"/>
      <c r="N198" s="566"/>
      <c r="O198" s="566"/>
      <c r="P198" s="566"/>
      <c r="Q198" s="566"/>
      <c r="R198" s="566"/>
      <c r="S198" s="566"/>
      <c r="T198" s="566"/>
      <c r="U198" s="567"/>
      <c r="V198" s="405"/>
    </row>
    <row r="199" spans="1:22" x14ac:dyDescent="0.3">
      <c r="A199" s="507"/>
      <c r="B199" s="508" t="s">
        <v>74</v>
      </c>
      <c r="C199" s="511"/>
      <c r="D199" s="511"/>
      <c r="E199" s="511"/>
      <c r="F199" s="511"/>
      <c r="G199" s="512"/>
      <c r="H199" s="512"/>
      <c r="I199" s="512"/>
      <c r="J199" s="512"/>
      <c r="K199" s="512"/>
      <c r="L199" s="512"/>
      <c r="M199" s="512"/>
      <c r="N199" s="512"/>
      <c r="O199" s="512"/>
      <c r="P199" s="512"/>
      <c r="Q199" s="512"/>
      <c r="R199" s="512">
        <v>43769</v>
      </c>
      <c r="S199" s="509"/>
      <c r="T199" s="509"/>
      <c r="U199" s="509"/>
      <c r="V199" s="405"/>
    </row>
    <row r="200" spans="1:22" x14ac:dyDescent="0.3">
      <c r="A200" s="465"/>
      <c r="B200" s="466"/>
      <c r="C200" s="467"/>
      <c r="D200" s="467"/>
      <c r="E200" s="467"/>
      <c r="F200" s="467"/>
      <c r="G200" s="468"/>
      <c r="H200" s="468"/>
      <c r="I200" s="468"/>
      <c r="J200" s="468"/>
      <c r="K200" s="468"/>
      <c r="L200" s="468"/>
      <c r="M200" s="468"/>
      <c r="N200" s="468"/>
      <c r="O200" s="468"/>
      <c r="P200" s="468"/>
      <c r="Q200" s="468"/>
      <c r="R200" s="468"/>
      <c r="S200" s="409"/>
      <c r="T200" s="409"/>
      <c r="U200" s="409"/>
      <c r="V200" s="405"/>
    </row>
    <row r="201" spans="1:22" x14ac:dyDescent="0.3">
      <c r="A201" s="469"/>
      <c r="B201" s="532" t="s">
        <v>75</v>
      </c>
      <c r="C201" s="556"/>
      <c r="D201" s="556"/>
      <c r="E201" s="556"/>
      <c r="F201" s="556"/>
      <c r="G201" s="557"/>
      <c r="H201" s="557"/>
      <c r="I201" s="557"/>
      <c r="J201" s="557"/>
      <c r="K201" s="557"/>
      <c r="L201" s="557"/>
      <c r="M201" s="557"/>
      <c r="N201" s="557"/>
      <c r="O201" s="557"/>
      <c r="P201" s="557"/>
      <c r="Q201" s="557"/>
      <c r="R201" s="558">
        <v>5.8209999999999998E-2</v>
      </c>
      <c r="S201" s="532"/>
      <c r="T201" s="419"/>
      <c r="U201" s="451"/>
      <c r="V201" s="405"/>
    </row>
    <row r="202" spans="1:22" x14ac:dyDescent="0.3">
      <c r="A202" s="469"/>
      <c r="B202" s="532" t="s">
        <v>164</v>
      </c>
      <c r="C202" s="556"/>
      <c r="D202" s="556"/>
      <c r="E202" s="556"/>
      <c r="F202" s="556"/>
      <c r="G202" s="557"/>
      <c r="H202" s="557"/>
      <c r="I202" s="557"/>
      <c r="J202" s="557"/>
      <c r="K202" s="557"/>
      <c r="L202" s="557"/>
      <c r="M202" s="557"/>
      <c r="N202" s="557"/>
      <c r="O202" s="557"/>
      <c r="P202" s="557"/>
      <c r="Q202" s="557"/>
      <c r="R202" s="558">
        <f>'Oct 05'!R193</f>
        <v>4.8438496428571419E-2</v>
      </c>
      <c r="S202" s="532"/>
      <c r="T202" s="419"/>
      <c r="U202" s="451"/>
      <c r="V202" s="405"/>
    </row>
    <row r="203" spans="1:22" x14ac:dyDescent="0.3">
      <c r="A203" s="469"/>
      <c r="B203" s="532" t="s">
        <v>76</v>
      </c>
      <c r="C203" s="556"/>
      <c r="D203" s="556"/>
      <c r="E203" s="556"/>
      <c r="F203" s="556"/>
      <c r="G203" s="557"/>
      <c r="H203" s="557"/>
      <c r="I203" s="557"/>
      <c r="J203" s="557"/>
      <c r="K203" s="557"/>
      <c r="L203" s="557"/>
      <c r="M203" s="557"/>
      <c r="N203" s="557"/>
      <c r="O203" s="557"/>
      <c r="P203" s="557"/>
      <c r="Q203" s="557"/>
      <c r="R203" s="558">
        <f>R201-R202</f>
        <v>9.7715035714285789E-3</v>
      </c>
      <c r="S203" s="532"/>
      <c r="T203" s="419"/>
      <c r="U203" s="451"/>
      <c r="V203" s="405"/>
    </row>
    <row r="204" spans="1:22" x14ac:dyDescent="0.3">
      <c r="A204" s="469"/>
      <c r="B204" s="532" t="s">
        <v>77</v>
      </c>
      <c r="C204" s="556"/>
      <c r="D204" s="556"/>
      <c r="E204" s="556"/>
      <c r="F204" s="556"/>
      <c r="G204" s="557"/>
      <c r="H204" s="557"/>
      <c r="I204" s="557"/>
      <c r="J204" s="557"/>
      <c r="K204" s="557"/>
      <c r="L204" s="557"/>
      <c r="M204" s="557"/>
      <c r="N204" s="557"/>
      <c r="O204" s="557"/>
      <c r="P204" s="557"/>
      <c r="Q204" s="557"/>
      <c r="R204" s="558">
        <v>2.5600000000000001E-2</v>
      </c>
      <c r="S204" s="532"/>
      <c r="T204" s="419"/>
      <c r="U204" s="451"/>
      <c r="V204" s="405"/>
    </row>
    <row r="205" spans="1:22" x14ac:dyDescent="0.3">
      <c r="A205" s="469"/>
      <c r="B205" s="532" t="s">
        <v>257</v>
      </c>
      <c r="C205" s="556"/>
      <c r="D205" s="556"/>
      <c r="E205" s="556"/>
      <c r="F205" s="556"/>
      <c r="G205" s="557"/>
      <c r="H205" s="557"/>
      <c r="I205" s="557"/>
      <c r="J205" s="557"/>
      <c r="K205" s="557"/>
      <c r="L205" s="557"/>
      <c r="M205" s="557"/>
      <c r="N205" s="557"/>
      <c r="O205" s="557"/>
      <c r="P205" s="557"/>
      <c r="Q205" s="557"/>
      <c r="R205" s="558">
        <f>+T41</f>
        <v>1.2620388741344432E-2</v>
      </c>
      <c r="S205" s="532"/>
      <c r="T205" s="419"/>
      <c r="U205" s="451"/>
      <c r="V205" s="405"/>
    </row>
    <row r="206" spans="1:22" x14ac:dyDescent="0.3">
      <c r="A206" s="469"/>
      <c r="B206" s="532" t="s">
        <v>78</v>
      </c>
      <c r="C206" s="556"/>
      <c r="D206" s="556"/>
      <c r="E206" s="556"/>
      <c r="F206" s="556"/>
      <c r="G206" s="557"/>
      <c r="H206" s="557"/>
      <c r="I206" s="557"/>
      <c r="J206" s="557"/>
      <c r="K206" s="557"/>
      <c r="L206" s="557"/>
      <c r="M206" s="557"/>
      <c r="N206" s="557"/>
      <c r="O206" s="557"/>
      <c r="P206" s="557"/>
      <c r="Q206" s="557"/>
      <c r="R206" s="558">
        <f>R204-R205</f>
        <v>1.2979611258655569E-2</v>
      </c>
      <c r="S206" s="532"/>
      <c r="T206" s="419"/>
      <c r="U206" s="451"/>
      <c r="V206" s="405"/>
    </row>
    <row r="207" spans="1:22" x14ac:dyDescent="0.3">
      <c r="A207" s="469"/>
      <c r="B207" s="532" t="s">
        <v>268</v>
      </c>
      <c r="C207" s="556"/>
      <c r="D207" s="556"/>
      <c r="E207" s="556"/>
      <c r="F207" s="556"/>
      <c r="G207" s="557"/>
      <c r="H207" s="557"/>
      <c r="I207" s="557"/>
      <c r="J207" s="557"/>
      <c r="K207" s="557"/>
      <c r="L207" s="557"/>
      <c r="M207" s="557"/>
      <c r="N207" s="557"/>
      <c r="O207" s="557"/>
      <c r="P207" s="557"/>
      <c r="Q207" s="557"/>
      <c r="R207" s="558">
        <f>+T97/L68</f>
        <v>6.8344221386633722E-3</v>
      </c>
      <c r="S207" s="532"/>
      <c r="T207" s="419"/>
      <c r="U207" s="451"/>
      <c r="V207" s="405"/>
    </row>
    <row r="208" spans="1:22" x14ac:dyDescent="0.3">
      <c r="A208" s="469"/>
      <c r="B208" s="532" t="s">
        <v>249</v>
      </c>
      <c r="C208" s="556"/>
      <c r="D208" s="556"/>
      <c r="E208" s="556"/>
      <c r="F208" s="556"/>
      <c r="G208" s="557"/>
      <c r="H208" s="557"/>
      <c r="I208" s="557"/>
      <c r="J208" s="557"/>
      <c r="K208" s="557"/>
      <c r="L208" s="557"/>
      <c r="M208" s="557"/>
      <c r="N208" s="557"/>
      <c r="O208" s="557"/>
      <c r="P208" s="557"/>
      <c r="Q208" s="557"/>
      <c r="R208" s="559">
        <v>51622</v>
      </c>
      <c r="S208" s="532"/>
      <c r="T208" s="419"/>
      <c r="U208" s="451"/>
      <c r="V208" s="405"/>
    </row>
    <row r="209" spans="1:22" x14ac:dyDescent="0.3">
      <c r="A209" s="469"/>
      <c r="B209" s="532" t="s">
        <v>250</v>
      </c>
      <c r="C209" s="556"/>
      <c r="D209" s="556"/>
      <c r="E209" s="556"/>
      <c r="F209" s="556"/>
      <c r="G209" s="557"/>
      <c r="H209" s="557"/>
      <c r="I209" s="557"/>
      <c r="J209" s="557"/>
      <c r="K209" s="557"/>
      <c r="L209" s="557"/>
      <c r="M209" s="557"/>
      <c r="N209" s="557"/>
      <c r="O209" s="557"/>
      <c r="P209" s="557"/>
      <c r="Q209" s="557"/>
      <c r="R209" s="559">
        <v>51622</v>
      </c>
      <c r="S209" s="532"/>
      <c r="T209" s="419"/>
      <c r="U209" s="451"/>
      <c r="V209" s="405"/>
    </row>
    <row r="210" spans="1:22" x14ac:dyDescent="0.3">
      <c r="A210" s="469"/>
      <c r="B210" s="532" t="s">
        <v>251</v>
      </c>
      <c r="C210" s="556"/>
      <c r="D210" s="556"/>
      <c r="E210" s="556"/>
      <c r="F210" s="556"/>
      <c r="G210" s="557"/>
      <c r="H210" s="557"/>
      <c r="I210" s="557"/>
      <c r="J210" s="557"/>
      <c r="K210" s="557"/>
      <c r="L210" s="557"/>
      <c r="M210" s="557"/>
      <c r="N210" s="557"/>
      <c r="O210" s="557"/>
      <c r="P210" s="557"/>
      <c r="Q210" s="557"/>
      <c r="R210" s="559">
        <v>51622</v>
      </c>
      <c r="S210" s="532"/>
      <c r="T210" s="419"/>
      <c r="U210" s="451"/>
      <c r="V210" s="405"/>
    </row>
    <row r="211" spans="1:22" x14ac:dyDescent="0.3">
      <c r="A211" s="469"/>
      <c r="B211" s="532" t="s">
        <v>79</v>
      </c>
      <c r="C211" s="556"/>
      <c r="D211" s="556"/>
      <c r="E211" s="556"/>
      <c r="F211" s="556"/>
      <c r="G211" s="557"/>
      <c r="H211" s="557"/>
      <c r="I211" s="557"/>
      <c r="J211" s="557"/>
      <c r="K211" s="557"/>
      <c r="L211" s="557"/>
      <c r="M211" s="557"/>
      <c r="N211" s="557"/>
      <c r="O211" s="557"/>
      <c r="P211" s="557"/>
      <c r="Q211" s="557"/>
      <c r="R211" s="560">
        <v>20.95</v>
      </c>
      <c r="S211" s="532" t="s">
        <v>119</v>
      </c>
      <c r="T211" s="419"/>
      <c r="U211" s="451"/>
      <c r="V211" s="405"/>
    </row>
    <row r="212" spans="1:22" x14ac:dyDescent="0.3">
      <c r="A212" s="469"/>
      <c r="B212" s="532" t="s">
        <v>80</v>
      </c>
      <c r="C212" s="556"/>
      <c r="D212" s="556"/>
      <c r="E212" s="556"/>
      <c r="F212" s="556"/>
      <c r="G212" s="557"/>
      <c r="H212" s="557"/>
      <c r="I212" s="557"/>
      <c r="J212" s="557"/>
      <c r="K212" s="557"/>
      <c r="L212" s="557"/>
      <c r="M212" s="557"/>
      <c r="N212" s="557"/>
      <c r="O212" s="557"/>
      <c r="P212" s="557"/>
      <c r="Q212" s="557"/>
      <c r="R212" s="560">
        <v>8.39</v>
      </c>
      <c r="S212" s="532" t="s">
        <v>119</v>
      </c>
      <c r="T212" s="419"/>
      <c r="U212" s="451"/>
      <c r="V212" s="405"/>
    </row>
    <row r="213" spans="1:22" x14ac:dyDescent="0.3">
      <c r="A213" s="469"/>
      <c r="B213" s="532" t="s">
        <v>81</v>
      </c>
      <c r="C213" s="556"/>
      <c r="D213" s="556"/>
      <c r="E213" s="556"/>
      <c r="F213" s="556"/>
      <c r="G213" s="557"/>
      <c r="H213" s="557"/>
      <c r="I213" s="557"/>
      <c r="J213" s="557"/>
      <c r="K213" s="557"/>
      <c r="L213" s="557"/>
      <c r="M213" s="557"/>
      <c r="N213" s="557"/>
      <c r="O213" s="557"/>
      <c r="P213" s="557"/>
      <c r="Q213" s="557"/>
      <c r="R213" s="558">
        <f>N65/L65</f>
        <v>1.9948729673066538E-2</v>
      </c>
      <c r="S213" s="532"/>
      <c r="T213" s="419"/>
      <c r="U213" s="451"/>
      <c r="V213" s="405"/>
    </row>
    <row r="214" spans="1:22" x14ac:dyDescent="0.3">
      <c r="A214" s="469"/>
      <c r="B214" s="532" t="s">
        <v>82</v>
      </c>
      <c r="C214" s="556"/>
      <c r="D214" s="556"/>
      <c r="E214" s="556"/>
      <c r="F214" s="556"/>
      <c r="G214" s="557"/>
      <c r="H214" s="557"/>
      <c r="I214" s="557"/>
      <c r="J214" s="557"/>
      <c r="K214" s="557"/>
      <c r="L214" s="557"/>
      <c r="M214" s="557"/>
      <c r="N214" s="557"/>
      <c r="O214" s="557"/>
      <c r="P214" s="557"/>
      <c r="Q214" s="557"/>
      <c r="R214" s="558">
        <v>9.0499999999999997E-2</v>
      </c>
      <c r="S214" s="532"/>
      <c r="T214" s="419"/>
      <c r="U214" s="451"/>
      <c r="V214" s="405"/>
    </row>
    <row r="215" spans="1:22" x14ac:dyDescent="0.3">
      <c r="A215" s="465"/>
      <c r="B215" s="431"/>
      <c r="C215" s="431"/>
      <c r="D215" s="431"/>
      <c r="E215" s="431"/>
      <c r="F215" s="431"/>
      <c r="G215" s="431"/>
      <c r="H215" s="431"/>
      <c r="I215" s="431"/>
      <c r="J215" s="431"/>
      <c r="K215" s="431"/>
      <c r="L215" s="431"/>
      <c r="M215" s="431"/>
      <c r="N215" s="431"/>
      <c r="O215" s="431"/>
      <c r="P215" s="431"/>
      <c r="Q215" s="431"/>
      <c r="R215" s="461"/>
      <c r="S215" s="431"/>
      <c r="T215" s="470"/>
      <c r="U215" s="444"/>
      <c r="V215" s="405"/>
    </row>
    <row r="216" spans="1:22" x14ac:dyDescent="0.3">
      <c r="A216" s="513"/>
      <c r="B216" s="612" t="s">
        <v>83</v>
      </c>
      <c r="C216" s="613"/>
      <c r="D216" s="613"/>
      <c r="E216" s="613"/>
      <c r="F216" s="620"/>
      <c r="G216" s="613"/>
      <c r="H216" s="613"/>
      <c r="I216" s="613"/>
      <c r="J216" s="613"/>
      <c r="K216" s="613"/>
      <c r="L216" s="613"/>
      <c r="M216" s="613"/>
      <c r="N216" s="613"/>
      <c r="O216" s="613"/>
      <c r="P216" s="613"/>
      <c r="Q216" s="613" t="s">
        <v>108</v>
      </c>
      <c r="R216" s="620" t="s">
        <v>115</v>
      </c>
      <c r="S216" s="608"/>
      <c r="T216" s="608"/>
      <c r="U216" s="611"/>
      <c r="V216" s="405"/>
    </row>
    <row r="217" spans="1:22" x14ac:dyDescent="0.3">
      <c r="A217" s="487"/>
      <c r="B217" s="539" t="s">
        <v>84</v>
      </c>
      <c r="C217" s="455"/>
      <c r="D217" s="455"/>
      <c r="E217" s="455"/>
      <c r="F217" s="431"/>
      <c r="G217" s="431"/>
      <c r="H217" s="616"/>
      <c r="I217" s="616"/>
      <c r="J217" s="616"/>
      <c r="K217" s="616"/>
      <c r="L217" s="616"/>
      <c r="M217" s="616"/>
      <c r="N217" s="616"/>
      <c r="O217" s="616"/>
      <c r="P217" s="616"/>
      <c r="Q217" s="617">
        <v>1</v>
      </c>
      <c r="R217" s="618">
        <v>236</v>
      </c>
      <c r="S217" s="431"/>
      <c r="T217" s="470"/>
      <c r="U217" s="619"/>
      <c r="V217" s="405"/>
    </row>
    <row r="218" spans="1:22" x14ac:dyDescent="0.3">
      <c r="A218" s="471"/>
      <c r="B218" s="532" t="s">
        <v>156</v>
      </c>
      <c r="C218" s="443"/>
      <c r="D218" s="443"/>
      <c r="E218" s="443"/>
      <c r="F218" s="419"/>
      <c r="G218" s="419"/>
      <c r="H218" s="422"/>
      <c r="I218" s="422"/>
      <c r="J218" s="422"/>
      <c r="K218" s="422"/>
      <c r="L218" s="422"/>
      <c r="M218" s="422"/>
      <c r="N218" s="422"/>
      <c r="O218" s="422"/>
      <c r="P218" s="422"/>
      <c r="Q218" s="555">
        <f>+P269</f>
        <v>27</v>
      </c>
      <c r="R218" s="553">
        <f>+R269</f>
        <v>3422</v>
      </c>
      <c r="S218" s="419"/>
      <c r="T218" s="472"/>
      <c r="U218" s="473"/>
      <c r="V218" s="405"/>
    </row>
    <row r="219" spans="1:22" x14ac:dyDescent="0.3">
      <c r="A219" s="471"/>
      <c r="B219" s="532" t="s">
        <v>85</v>
      </c>
      <c r="C219" s="443"/>
      <c r="D219" s="443"/>
      <c r="E219" s="443"/>
      <c r="F219" s="419"/>
      <c r="G219" s="419"/>
      <c r="H219" s="422"/>
      <c r="I219" s="422"/>
      <c r="J219" s="422"/>
      <c r="K219" s="422"/>
      <c r="L219" s="422"/>
      <c r="M219" s="422"/>
      <c r="N219" s="422"/>
      <c r="O219" s="422"/>
      <c r="P219" s="422"/>
      <c r="Q219" s="555">
        <f>+P281</f>
        <v>1</v>
      </c>
      <c r="R219" s="553">
        <f>+R281</f>
        <v>438</v>
      </c>
      <c r="S219" s="419"/>
      <c r="T219" s="472"/>
      <c r="U219" s="473"/>
      <c r="V219" s="405"/>
    </row>
    <row r="220" spans="1:22" x14ac:dyDescent="0.3">
      <c r="A220" s="471"/>
      <c r="B220" s="514" t="s">
        <v>86</v>
      </c>
      <c r="C220" s="474"/>
      <c r="D220" s="474"/>
      <c r="E220" s="474"/>
      <c r="F220" s="448"/>
      <c r="G220" s="448"/>
      <c r="H220" s="448"/>
      <c r="I220" s="448"/>
      <c r="J220" s="448"/>
      <c r="K220" s="448"/>
      <c r="L220" s="448"/>
      <c r="M220" s="448"/>
      <c r="N220" s="448"/>
      <c r="O220" s="448"/>
      <c r="P220" s="448"/>
      <c r="Q220" s="532"/>
      <c r="R220" s="553">
        <v>0</v>
      </c>
      <c r="S220" s="448"/>
      <c r="T220" s="475"/>
      <c r="U220" s="473"/>
      <c r="V220" s="405"/>
    </row>
    <row r="221" spans="1:22" x14ac:dyDescent="0.3">
      <c r="A221" s="471"/>
      <c r="B221" s="514" t="s">
        <v>87</v>
      </c>
      <c r="C221" s="474"/>
      <c r="D221" s="474"/>
      <c r="E221" s="474"/>
      <c r="F221" s="448"/>
      <c r="G221" s="448"/>
      <c r="H221" s="448"/>
      <c r="I221" s="448"/>
      <c r="J221" s="448"/>
      <c r="K221" s="448"/>
      <c r="L221" s="448"/>
      <c r="M221" s="448"/>
      <c r="N221" s="448"/>
      <c r="O221" s="448"/>
      <c r="P221" s="448"/>
      <c r="Q221" s="532"/>
      <c r="R221" s="554" t="s">
        <v>116</v>
      </c>
      <c r="S221" s="448"/>
      <c r="T221" s="475"/>
      <c r="U221" s="473"/>
      <c r="V221" s="405"/>
    </row>
    <row r="222" spans="1:22" x14ac:dyDescent="0.3">
      <c r="A222" s="476"/>
      <c r="B222" s="514" t="s">
        <v>88</v>
      </c>
      <c r="C222" s="477"/>
      <c r="D222" s="477"/>
      <c r="E222" s="477"/>
      <c r="F222" s="477"/>
      <c r="G222" s="448"/>
      <c r="H222" s="448"/>
      <c r="I222" s="448"/>
      <c r="J222" s="448"/>
      <c r="K222" s="448"/>
      <c r="L222" s="448"/>
      <c r="M222" s="448"/>
      <c r="N222" s="448"/>
      <c r="O222" s="448"/>
      <c r="P222" s="448"/>
      <c r="Q222" s="448"/>
      <c r="R222" s="478"/>
      <c r="S222" s="448"/>
      <c r="T222" s="475"/>
      <c r="U222" s="479"/>
      <c r="V222" s="405"/>
    </row>
    <row r="223" spans="1:22" x14ac:dyDescent="0.3">
      <c r="A223" s="476"/>
      <c r="B223" s="532" t="s">
        <v>89</v>
      </c>
      <c r="C223" s="532"/>
      <c r="D223" s="532"/>
      <c r="E223" s="532"/>
      <c r="F223" s="532"/>
      <c r="G223" s="532"/>
      <c r="H223" s="532"/>
      <c r="I223" s="532"/>
      <c r="J223" s="532"/>
      <c r="K223" s="532"/>
      <c r="L223" s="532"/>
      <c r="M223" s="532"/>
      <c r="N223" s="532"/>
      <c r="O223" s="532"/>
      <c r="P223" s="532"/>
      <c r="Q223" s="552"/>
      <c r="R223" s="553">
        <f>T167</f>
        <v>38</v>
      </c>
      <c r="S223" s="419"/>
      <c r="T223" s="475"/>
      <c r="U223" s="479"/>
      <c r="V223" s="405"/>
    </row>
    <row r="224" spans="1:22" x14ac:dyDescent="0.3">
      <c r="A224" s="471"/>
      <c r="B224" s="532" t="s">
        <v>90</v>
      </c>
      <c r="C224" s="531"/>
      <c r="D224" s="531"/>
      <c r="E224" s="531"/>
      <c r="F224" s="531"/>
      <c r="G224" s="532"/>
      <c r="H224" s="532"/>
      <c r="I224" s="532"/>
      <c r="J224" s="532"/>
      <c r="K224" s="532"/>
      <c r="L224" s="532"/>
      <c r="M224" s="532"/>
      <c r="N224" s="532"/>
      <c r="O224" s="532"/>
      <c r="P224" s="532"/>
      <c r="Q224" s="552"/>
      <c r="R224" s="553">
        <f>'July 19'!R224+'Oct 19'!R223</f>
        <v>4556</v>
      </c>
      <c r="S224" s="419"/>
      <c r="T224" s="475"/>
      <c r="U224" s="479"/>
      <c r="V224" s="405"/>
    </row>
    <row r="225" spans="1:23" x14ac:dyDescent="0.3">
      <c r="A225" s="476"/>
      <c r="B225" s="514" t="s">
        <v>288</v>
      </c>
      <c r="C225" s="477"/>
      <c r="D225" s="477"/>
      <c r="E225" s="477"/>
      <c r="F225" s="477"/>
      <c r="G225" s="448"/>
      <c r="H225" s="448"/>
      <c r="I225" s="448"/>
      <c r="J225" s="448"/>
      <c r="K225" s="448"/>
      <c r="L225" s="448"/>
      <c r="M225" s="448"/>
      <c r="N225" s="448"/>
      <c r="O225" s="448"/>
      <c r="P225" s="448"/>
      <c r="Q225" s="480"/>
      <c r="R225" s="478"/>
      <c r="S225" s="448"/>
      <c r="T225" s="475"/>
      <c r="U225" s="479"/>
      <c r="V225" s="405"/>
    </row>
    <row r="226" spans="1:23" x14ac:dyDescent="0.3">
      <c r="A226" s="481"/>
      <c r="B226" s="532" t="s">
        <v>286</v>
      </c>
      <c r="C226" s="532"/>
      <c r="D226" s="532"/>
      <c r="E226" s="532"/>
      <c r="F226" s="532"/>
      <c r="G226" s="532"/>
      <c r="H226" s="532"/>
      <c r="I226" s="532"/>
      <c r="J226" s="532"/>
      <c r="K226" s="532"/>
      <c r="L226" s="532"/>
      <c r="M226" s="532"/>
      <c r="N226" s="532"/>
      <c r="O226" s="532"/>
      <c r="P226" s="532"/>
      <c r="Q226" s="552">
        <v>0</v>
      </c>
      <c r="R226" s="553">
        <v>0</v>
      </c>
      <c r="S226" s="419"/>
      <c r="T226" s="472"/>
      <c r="U226" s="479"/>
      <c r="V226" s="405"/>
    </row>
    <row r="227" spans="1:23" x14ac:dyDescent="0.3">
      <c r="A227" s="482"/>
      <c r="B227" s="532" t="s">
        <v>92</v>
      </c>
      <c r="C227" s="550"/>
      <c r="D227" s="550"/>
      <c r="E227" s="550"/>
      <c r="F227" s="551"/>
      <c r="G227" s="532"/>
      <c r="H227" s="532"/>
      <c r="I227" s="532"/>
      <c r="J227" s="532"/>
      <c r="K227" s="532"/>
      <c r="L227" s="532"/>
      <c r="M227" s="532"/>
      <c r="N227" s="532"/>
      <c r="O227" s="532"/>
      <c r="P227" s="532"/>
      <c r="Q227" s="552"/>
      <c r="R227" s="554">
        <v>0</v>
      </c>
      <c r="S227" s="419"/>
      <c r="T227" s="472"/>
      <c r="U227" s="479"/>
      <c r="V227" s="405"/>
    </row>
    <row r="228" spans="1:23" x14ac:dyDescent="0.3">
      <c r="A228" s="482"/>
      <c r="B228" s="532" t="s">
        <v>93</v>
      </c>
      <c r="C228" s="550"/>
      <c r="D228" s="550"/>
      <c r="E228" s="550"/>
      <c r="F228" s="551"/>
      <c r="G228" s="532"/>
      <c r="H228" s="532"/>
      <c r="I228" s="532"/>
      <c r="J228" s="532"/>
      <c r="K228" s="532"/>
      <c r="L228" s="532"/>
      <c r="M228" s="532"/>
      <c r="N228" s="532"/>
      <c r="O228" s="532"/>
      <c r="P228" s="532"/>
      <c r="Q228" s="552"/>
      <c r="R228" s="554">
        <v>0</v>
      </c>
      <c r="S228" s="419"/>
      <c r="T228" s="472"/>
      <c r="U228" s="479"/>
      <c r="V228" s="405"/>
    </row>
    <row r="229" spans="1:23" x14ac:dyDescent="0.3">
      <c r="A229" s="471"/>
      <c r="B229" s="514" t="s">
        <v>258</v>
      </c>
      <c r="C229" s="483"/>
      <c r="D229" s="483"/>
      <c r="E229" s="483"/>
      <c r="F229" s="484"/>
      <c r="G229" s="448"/>
      <c r="H229" s="448"/>
      <c r="I229" s="448"/>
      <c r="J229" s="448"/>
      <c r="K229" s="448"/>
      <c r="L229" s="448"/>
      <c r="M229" s="448"/>
      <c r="N229" s="448"/>
      <c r="O229" s="448"/>
      <c r="P229" s="448"/>
      <c r="Q229" s="480"/>
      <c r="R229" s="485"/>
      <c r="S229" s="448"/>
      <c r="T229" s="475"/>
      <c r="U229" s="479"/>
      <c r="V229" s="405"/>
    </row>
    <row r="230" spans="1:23" x14ac:dyDescent="0.3">
      <c r="A230" s="482"/>
      <c r="B230" s="532" t="s">
        <v>286</v>
      </c>
      <c r="C230" s="550"/>
      <c r="D230" s="550"/>
      <c r="E230" s="550"/>
      <c r="F230" s="551"/>
      <c r="G230" s="532"/>
      <c r="H230" s="532"/>
      <c r="I230" s="532"/>
      <c r="J230" s="532"/>
      <c r="K230" s="532"/>
      <c r="L230" s="532"/>
      <c r="M230" s="532"/>
      <c r="N230" s="532"/>
      <c r="O230" s="532"/>
      <c r="P230" s="532"/>
      <c r="Q230" s="552">
        <v>1</v>
      </c>
      <c r="R230" s="553">
        <v>103</v>
      </c>
      <c r="S230" s="419"/>
      <c r="T230" s="475"/>
      <c r="U230" s="479"/>
      <c r="V230" s="405"/>
    </row>
    <row r="231" spans="1:23" x14ac:dyDescent="0.3">
      <c r="A231" s="482"/>
      <c r="B231" s="532" t="s">
        <v>259</v>
      </c>
      <c r="C231" s="550"/>
      <c r="D231" s="550"/>
      <c r="E231" s="550"/>
      <c r="F231" s="551"/>
      <c r="G231" s="532"/>
      <c r="H231" s="532"/>
      <c r="I231" s="532"/>
      <c r="J231" s="532"/>
      <c r="K231" s="532"/>
      <c r="L231" s="532"/>
      <c r="M231" s="532"/>
      <c r="N231" s="532"/>
      <c r="O231" s="532"/>
      <c r="P231" s="532"/>
      <c r="Q231" s="532"/>
      <c r="R231" s="554">
        <v>1.31</v>
      </c>
      <c r="S231" s="419"/>
      <c r="T231" s="475"/>
      <c r="U231" s="479"/>
      <c r="V231" s="405"/>
    </row>
    <row r="232" spans="1:23" x14ac:dyDescent="0.3">
      <c r="A232" s="471"/>
      <c r="B232" s="477"/>
      <c r="C232" s="483"/>
      <c r="D232" s="483"/>
      <c r="E232" s="483"/>
      <c r="F232" s="484"/>
      <c r="G232" s="448"/>
      <c r="H232" s="448"/>
      <c r="I232" s="448"/>
      <c r="J232" s="448"/>
      <c r="K232" s="448"/>
      <c r="L232" s="448"/>
      <c r="M232" s="448"/>
      <c r="N232" s="448"/>
      <c r="O232" s="448"/>
      <c r="P232" s="448"/>
      <c r="Q232" s="448"/>
      <c r="R232" s="486"/>
      <c r="S232" s="448"/>
      <c r="T232" s="475"/>
      <c r="U232" s="479"/>
      <c r="V232" s="405"/>
    </row>
    <row r="233" spans="1:23" ht="18" x14ac:dyDescent="0.35">
      <c r="A233" s="471"/>
      <c r="B233" s="530" t="s">
        <v>208</v>
      </c>
      <c r="C233" s="483"/>
      <c r="D233" s="483"/>
      <c r="E233" s="483"/>
      <c r="F233" s="484"/>
      <c r="G233" s="448"/>
      <c r="H233" s="448"/>
      <c r="I233" s="448"/>
      <c r="J233" s="448"/>
      <c r="K233" s="448"/>
      <c r="L233" s="448"/>
      <c r="M233" s="448"/>
      <c r="N233" s="603" t="s">
        <v>347</v>
      </c>
      <c r="O233" s="448"/>
      <c r="P233" s="448"/>
      <c r="Q233" s="448"/>
      <c r="R233" s="486"/>
      <c r="S233" s="448"/>
      <c r="T233" s="475"/>
      <c r="U233" s="479"/>
      <c r="V233" s="405"/>
    </row>
    <row r="234" spans="1:23" x14ac:dyDescent="0.3">
      <c r="A234" s="487"/>
      <c r="B234" s="488"/>
      <c r="C234" s="489"/>
      <c r="D234" s="489"/>
      <c r="E234" s="489"/>
      <c r="F234" s="490"/>
      <c r="G234" s="444"/>
      <c r="H234" s="444"/>
      <c r="I234" s="444"/>
      <c r="J234" s="444"/>
      <c r="K234" s="444"/>
      <c r="L234" s="444"/>
      <c r="M234" s="444"/>
      <c r="N234" s="444"/>
      <c r="O234" s="444"/>
      <c r="P234" s="444"/>
      <c r="Q234" s="444"/>
      <c r="R234" s="491"/>
      <c r="S234" s="444"/>
      <c r="T234" s="492"/>
      <c r="U234" s="493"/>
      <c r="V234" s="405"/>
    </row>
    <row r="235" spans="1:23" x14ac:dyDescent="0.3">
      <c r="A235" s="503"/>
      <c r="B235" s="612" t="s">
        <v>302</v>
      </c>
      <c r="C235" s="613"/>
      <c r="D235" s="613"/>
      <c r="E235" s="613"/>
      <c r="F235" s="620"/>
      <c r="G235" s="613"/>
      <c r="H235" s="613"/>
      <c r="I235" s="613"/>
      <c r="J235" s="613"/>
      <c r="K235" s="613"/>
      <c r="L235" s="613"/>
      <c r="M235" s="613"/>
      <c r="N235" s="613"/>
      <c r="O235" s="613"/>
      <c r="P235" s="620" t="s">
        <v>108</v>
      </c>
      <c r="Q235" s="613" t="s">
        <v>109</v>
      </c>
      <c r="R235" s="620" t="s">
        <v>117</v>
      </c>
      <c r="S235" s="613" t="s">
        <v>109</v>
      </c>
      <c r="T235" s="608"/>
      <c r="U235" s="626"/>
      <c r="V235" s="405"/>
    </row>
    <row r="236" spans="1:23" x14ac:dyDescent="0.3">
      <c r="A236" s="430"/>
      <c r="B236" s="572" t="s">
        <v>94</v>
      </c>
      <c r="C236" s="621"/>
      <c r="D236" s="621"/>
      <c r="E236" s="621"/>
      <c r="F236" s="539"/>
      <c r="G236" s="621"/>
      <c r="H236" s="621"/>
      <c r="I236" s="621"/>
      <c r="J236" s="621"/>
      <c r="K236" s="621"/>
      <c r="L236" s="621"/>
      <c r="M236" s="621"/>
      <c r="N236" s="621"/>
      <c r="O236" s="621"/>
      <c r="P236" s="622">
        <f t="shared" ref="P236:P243" si="1">+P248+P260+P272</f>
        <v>1650</v>
      </c>
      <c r="Q236" s="623">
        <f t="shared" ref="Q236:Q243" si="2">P236/$P$245</f>
        <v>0.99397590361445787</v>
      </c>
      <c r="R236" s="624">
        <f t="shared" ref="R236:R243" si="3">+R248+R260+R272</f>
        <v>199632</v>
      </c>
      <c r="S236" s="623">
        <f t="shared" ref="S236:S243" si="4">R236/$R$245</f>
        <v>0.99084754511703632</v>
      </c>
      <c r="T236" s="470"/>
      <c r="U236" s="625"/>
      <c r="V236" s="405"/>
    </row>
    <row r="237" spans="1:23" x14ac:dyDescent="0.3">
      <c r="A237" s="428"/>
      <c r="B237" s="531" t="s">
        <v>95</v>
      </c>
      <c r="C237" s="549"/>
      <c r="D237" s="549"/>
      <c r="E237" s="549"/>
      <c r="F237" s="532"/>
      <c r="G237" s="534"/>
      <c r="H237" s="549"/>
      <c r="I237" s="549"/>
      <c r="J237" s="549"/>
      <c r="K237" s="549"/>
      <c r="L237" s="549"/>
      <c r="M237" s="549"/>
      <c r="N237" s="549"/>
      <c r="O237" s="549"/>
      <c r="P237" s="531">
        <f t="shared" si="1"/>
        <v>6</v>
      </c>
      <c r="Q237" s="534">
        <f t="shared" si="2"/>
        <v>3.6144578313253013E-3</v>
      </c>
      <c r="R237" s="535">
        <f t="shared" si="3"/>
        <v>784</v>
      </c>
      <c r="S237" s="534">
        <f t="shared" si="4"/>
        <v>3.8912823363576802E-3</v>
      </c>
      <c r="T237" s="472"/>
      <c r="U237" s="494"/>
      <c r="V237" s="405"/>
      <c r="W237" s="452"/>
    </row>
    <row r="238" spans="1:23" x14ac:dyDescent="0.3">
      <c r="A238" s="428"/>
      <c r="B238" s="531" t="s">
        <v>96</v>
      </c>
      <c r="C238" s="549"/>
      <c r="D238" s="549"/>
      <c r="E238" s="549"/>
      <c r="F238" s="532"/>
      <c r="G238" s="534"/>
      <c r="H238" s="549"/>
      <c r="I238" s="549"/>
      <c r="J238" s="549"/>
      <c r="K238" s="549"/>
      <c r="L238" s="549"/>
      <c r="M238" s="549"/>
      <c r="N238" s="549"/>
      <c r="O238" s="549"/>
      <c r="P238" s="531">
        <f t="shared" si="1"/>
        <v>1</v>
      </c>
      <c r="Q238" s="534">
        <f t="shared" si="2"/>
        <v>6.0240963855421692E-4</v>
      </c>
      <c r="R238" s="535">
        <f t="shared" si="3"/>
        <v>303</v>
      </c>
      <c r="S238" s="534">
        <f t="shared" si="4"/>
        <v>1.5039012090770118E-3</v>
      </c>
      <c r="T238" s="472"/>
      <c r="U238" s="494"/>
      <c r="V238" s="405"/>
    </row>
    <row r="239" spans="1:23" x14ac:dyDescent="0.3">
      <c r="A239" s="428"/>
      <c r="B239" s="531" t="s">
        <v>171</v>
      </c>
      <c r="C239" s="549"/>
      <c r="D239" s="549"/>
      <c r="E239" s="549"/>
      <c r="F239" s="532"/>
      <c r="G239" s="534"/>
      <c r="H239" s="549"/>
      <c r="I239" s="549"/>
      <c r="J239" s="549"/>
      <c r="K239" s="549"/>
      <c r="L239" s="549"/>
      <c r="M239" s="549"/>
      <c r="N239" s="549"/>
      <c r="O239" s="549"/>
      <c r="P239" s="531">
        <f t="shared" si="1"/>
        <v>1</v>
      </c>
      <c r="Q239" s="534">
        <f t="shared" si="2"/>
        <v>6.0240963855421692E-4</v>
      </c>
      <c r="R239" s="535">
        <f t="shared" si="3"/>
        <v>83</v>
      </c>
      <c r="S239" s="534">
        <f t="shared" si="4"/>
        <v>4.1195973713990748E-4</v>
      </c>
      <c r="T239" s="472"/>
      <c r="U239" s="494"/>
      <c r="V239" s="405"/>
      <c r="W239" s="452"/>
    </row>
    <row r="240" spans="1:23" x14ac:dyDescent="0.3">
      <c r="A240" s="428"/>
      <c r="B240" s="531" t="s">
        <v>172</v>
      </c>
      <c r="C240" s="549"/>
      <c r="D240" s="549"/>
      <c r="E240" s="549"/>
      <c r="F240" s="532"/>
      <c r="G240" s="534"/>
      <c r="H240" s="549"/>
      <c r="I240" s="549"/>
      <c r="J240" s="549"/>
      <c r="K240" s="549"/>
      <c r="L240" s="549"/>
      <c r="M240" s="549"/>
      <c r="N240" s="549"/>
      <c r="O240" s="549"/>
      <c r="P240" s="531">
        <f t="shared" si="1"/>
        <v>0</v>
      </c>
      <c r="Q240" s="534">
        <f t="shared" si="2"/>
        <v>0</v>
      </c>
      <c r="R240" s="535">
        <f t="shared" si="3"/>
        <v>0</v>
      </c>
      <c r="S240" s="534">
        <f t="shared" si="4"/>
        <v>0</v>
      </c>
      <c r="T240" s="472"/>
      <c r="U240" s="494"/>
      <c r="V240" s="405"/>
    </row>
    <row r="241" spans="1:23" x14ac:dyDescent="0.3">
      <c r="A241" s="428"/>
      <c r="B241" s="531" t="s">
        <v>173</v>
      </c>
      <c r="C241" s="549"/>
      <c r="D241" s="549"/>
      <c r="E241" s="549"/>
      <c r="F241" s="532"/>
      <c r="G241" s="534"/>
      <c r="H241" s="549"/>
      <c r="I241" s="549"/>
      <c r="J241" s="549"/>
      <c r="K241" s="549"/>
      <c r="L241" s="549"/>
      <c r="M241" s="549"/>
      <c r="N241" s="549"/>
      <c r="O241" s="549"/>
      <c r="P241" s="531">
        <f t="shared" si="1"/>
        <v>1</v>
      </c>
      <c r="Q241" s="534">
        <f t="shared" si="2"/>
        <v>6.0240963855421692E-4</v>
      </c>
      <c r="R241" s="535">
        <f t="shared" si="3"/>
        <v>236</v>
      </c>
      <c r="S241" s="534">
        <f t="shared" si="4"/>
        <v>1.1713553971688935E-3</v>
      </c>
      <c r="T241" s="472"/>
      <c r="U241" s="494"/>
      <c r="V241" s="405"/>
      <c r="W241" s="452"/>
    </row>
    <row r="242" spans="1:23" x14ac:dyDescent="0.3">
      <c r="A242" s="428"/>
      <c r="B242" s="531" t="s">
        <v>174</v>
      </c>
      <c r="C242" s="549"/>
      <c r="D242" s="549"/>
      <c r="E242" s="549"/>
      <c r="F242" s="532"/>
      <c r="G242" s="534"/>
      <c r="H242" s="549"/>
      <c r="I242" s="549"/>
      <c r="J242" s="549"/>
      <c r="K242" s="549"/>
      <c r="L242" s="549"/>
      <c r="M242" s="549"/>
      <c r="N242" s="549"/>
      <c r="O242" s="549"/>
      <c r="P242" s="531">
        <f t="shared" si="1"/>
        <v>1</v>
      </c>
      <c r="Q242" s="534">
        <f t="shared" si="2"/>
        <v>6.0240963855421692E-4</v>
      </c>
      <c r="R242" s="535">
        <f t="shared" si="3"/>
        <v>438</v>
      </c>
      <c r="S242" s="534">
        <f t="shared" si="4"/>
        <v>2.1739562032202348E-3</v>
      </c>
      <c r="T242" s="472"/>
      <c r="U242" s="494"/>
      <c r="V242" s="405"/>
    </row>
    <row r="243" spans="1:23" x14ac:dyDescent="0.3">
      <c r="A243" s="428"/>
      <c r="B243" s="531" t="s">
        <v>175</v>
      </c>
      <c r="C243" s="549"/>
      <c r="D243" s="549"/>
      <c r="E243" s="549"/>
      <c r="F243" s="532"/>
      <c r="G243" s="534"/>
      <c r="H243" s="549"/>
      <c r="I243" s="549"/>
      <c r="J243" s="549"/>
      <c r="K243" s="549"/>
      <c r="L243" s="549"/>
      <c r="M243" s="549"/>
      <c r="N243" s="549"/>
      <c r="O243" s="549"/>
      <c r="P243" s="531">
        <f t="shared" si="1"/>
        <v>0</v>
      </c>
      <c r="Q243" s="534">
        <f t="shared" si="2"/>
        <v>0</v>
      </c>
      <c r="R243" s="535">
        <f t="shared" si="3"/>
        <v>0</v>
      </c>
      <c r="S243" s="534">
        <f t="shared" si="4"/>
        <v>0</v>
      </c>
      <c r="T243" s="472"/>
      <c r="U243" s="494"/>
      <c r="V243" s="405"/>
      <c r="W243" s="452"/>
    </row>
    <row r="244" spans="1:23" x14ac:dyDescent="0.3">
      <c r="A244" s="428"/>
      <c r="B244" s="531"/>
      <c r="C244" s="549"/>
      <c r="D244" s="549"/>
      <c r="E244" s="549"/>
      <c r="F244" s="532"/>
      <c r="G244" s="534"/>
      <c r="H244" s="549"/>
      <c r="I244" s="549"/>
      <c r="J244" s="549"/>
      <c r="K244" s="549"/>
      <c r="L244" s="549"/>
      <c r="M244" s="549"/>
      <c r="N244" s="549"/>
      <c r="O244" s="549"/>
      <c r="P244" s="531"/>
      <c r="Q244" s="534"/>
      <c r="R244" s="535"/>
      <c r="S244" s="534"/>
      <c r="T244" s="472"/>
      <c r="U244" s="494"/>
      <c r="V244" s="405"/>
    </row>
    <row r="245" spans="1:23" x14ac:dyDescent="0.3">
      <c r="A245" s="428"/>
      <c r="B245" s="532"/>
      <c r="C245" s="532"/>
      <c r="D245" s="532"/>
      <c r="E245" s="532"/>
      <c r="F245" s="532"/>
      <c r="G245" s="532"/>
      <c r="H245" s="533"/>
      <c r="I245" s="533"/>
      <c r="J245" s="533"/>
      <c r="K245" s="533"/>
      <c r="L245" s="533"/>
      <c r="M245" s="533"/>
      <c r="N245" s="533"/>
      <c r="O245" s="533"/>
      <c r="P245" s="531">
        <f>SUM(P236:P244)</f>
        <v>1660</v>
      </c>
      <c r="Q245" s="534">
        <f>SUM(Q236:Q244)</f>
        <v>0.99999999999999989</v>
      </c>
      <c r="R245" s="535">
        <f>SUM(R236:R244)</f>
        <v>201476</v>
      </c>
      <c r="S245" s="534">
        <f>SUM(S236:S244)</f>
        <v>1</v>
      </c>
      <c r="T245" s="419"/>
      <c r="U245" s="420"/>
      <c r="V245" s="405"/>
    </row>
    <row r="246" spans="1:23" x14ac:dyDescent="0.3">
      <c r="A246" s="487"/>
      <c r="B246" s="488"/>
      <c r="C246" s="489"/>
      <c r="D246" s="489"/>
      <c r="E246" s="489"/>
      <c r="F246" s="490"/>
      <c r="G246" s="444"/>
      <c r="H246" s="444"/>
      <c r="I246" s="444"/>
      <c r="J246" s="444"/>
      <c r="K246" s="444"/>
      <c r="L246" s="444"/>
      <c r="M246" s="444"/>
      <c r="N246" s="444"/>
      <c r="O246" s="444"/>
      <c r="P246" s="444"/>
      <c r="Q246" s="444"/>
      <c r="R246" s="491"/>
      <c r="S246" s="444"/>
      <c r="T246" s="492"/>
      <c r="U246" s="493"/>
      <c r="V246" s="405"/>
    </row>
    <row r="247" spans="1:23" x14ac:dyDescent="0.3">
      <c r="A247" s="503"/>
      <c r="B247" s="612" t="s">
        <v>177</v>
      </c>
      <c r="C247" s="613"/>
      <c r="D247" s="613"/>
      <c r="E247" s="613"/>
      <c r="F247" s="620"/>
      <c r="G247" s="613"/>
      <c r="H247" s="613"/>
      <c r="I247" s="613"/>
      <c r="J247" s="613"/>
      <c r="K247" s="613"/>
      <c r="L247" s="613"/>
      <c r="M247" s="613"/>
      <c r="N247" s="613"/>
      <c r="O247" s="613"/>
      <c r="P247" s="620" t="s">
        <v>108</v>
      </c>
      <c r="Q247" s="613" t="s">
        <v>109</v>
      </c>
      <c r="R247" s="620" t="s">
        <v>117</v>
      </c>
      <c r="S247" s="613" t="s">
        <v>109</v>
      </c>
      <c r="T247" s="608"/>
      <c r="U247" s="626"/>
      <c r="V247" s="405"/>
    </row>
    <row r="248" spans="1:23" x14ac:dyDescent="0.3">
      <c r="A248" s="430"/>
      <c r="B248" s="572" t="s">
        <v>94</v>
      </c>
      <c r="C248" s="621"/>
      <c r="D248" s="621"/>
      <c r="E248" s="621"/>
      <c r="F248" s="539"/>
      <c r="G248" s="621"/>
      <c r="H248" s="621"/>
      <c r="I248" s="621"/>
      <c r="J248" s="621"/>
      <c r="K248" s="621"/>
      <c r="L248" s="621"/>
      <c r="M248" s="621"/>
      <c r="N248" s="621"/>
      <c r="O248" s="621"/>
      <c r="P248" s="572">
        <v>1625</v>
      </c>
      <c r="Q248" s="627">
        <f t="shared" ref="Q248:Q255" si="5">P248/$P$257</f>
        <v>0.99571078431372551</v>
      </c>
      <c r="R248" s="541">
        <v>196409</v>
      </c>
      <c r="S248" s="627">
        <f t="shared" ref="S248:S255" si="6">R248/$R$257</f>
        <v>0.99389219496397052</v>
      </c>
      <c r="T248" s="470"/>
      <c r="U248" s="625"/>
      <c r="V248" s="405"/>
    </row>
    <row r="249" spans="1:23" x14ac:dyDescent="0.3">
      <c r="A249" s="428"/>
      <c r="B249" s="531" t="s">
        <v>95</v>
      </c>
      <c r="C249" s="549"/>
      <c r="D249" s="549"/>
      <c r="E249" s="549"/>
      <c r="F249" s="532"/>
      <c r="G249" s="534"/>
      <c r="H249" s="549"/>
      <c r="I249" s="549"/>
      <c r="J249" s="549"/>
      <c r="K249" s="549"/>
      <c r="L249" s="549"/>
      <c r="M249" s="549"/>
      <c r="N249" s="549"/>
      <c r="O249" s="549"/>
      <c r="P249" s="531">
        <v>5</v>
      </c>
      <c r="Q249" s="534">
        <f t="shared" si="5"/>
        <v>3.0637254901960784E-3</v>
      </c>
      <c r="R249" s="535">
        <v>668</v>
      </c>
      <c r="S249" s="534">
        <f t="shared" si="6"/>
        <v>3.3802930936766254E-3</v>
      </c>
      <c r="T249" s="472"/>
      <c r="U249" s="494"/>
      <c r="V249" s="405"/>
      <c r="W249" s="452"/>
    </row>
    <row r="250" spans="1:23" x14ac:dyDescent="0.3">
      <c r="A250" s="428"/>
      <c r="B250" s="531" t="s">
        <v>96</v>
      </c>
      <c r="C250" s="549"/>
      <c r="D250" s="549"/>
      <c r="E250" s="549"/>
      <c r="F250" s="532"/>
      <c r="G250" s="534"/>
      <c r="H250" s="549"/>
      <c r="I250" s="549"/>
      <c r="J250" s="549"/>
      <c r="K250" s="549"/>
      <c r="L250" s="549"/>
      <c r="M250" s="549"/>
      <c r="N250" s="549"/>
      <c r="O250" s="549"/>
      <c r="P250" s="531">
        <v>1</v>
      </c>
      <c r="Q250" s="534">
        <f t="shared" si="5"/>
        <v>6.1274509803921568E-4</v>
      </c>
      <c r="R250" s="535">
        <v>303</v>
      </c>
      <c r="S250" s="534">
        <f t="shared" si="6"/>
        <v>1.5332766577605052E-3</v>
      </c>
      <c r="T250" s="472"/>
      <c r="U250" s="494"/>
      <c r="V250" s="405"/>
    </row>
    <row r="251" spans="1:23" x14ac:dyDescent="0.3">
      <c r="A251" s="428"/>
      <c r="B251" s="531" t="s">
        <v>171</v>
      </c>
      <c r="C251" s="549"/>
      <c r="D251" s="549"/>
      <c r="E251" s="549"/>
      <c r="F251" s="532"/>
      <c r="G251" s="534"/>
      <c r="H251" s="549"/>
      <c r="I251" s="549"/>
      <c r="J251" s="549"/>
      <c r="K251" s="549"/>
      <c r="L251" s="549"/>
      <c r="M251" s="549"/>
      <c r="N251" s="549"/>
      <c r="O251" s="549"/>
      <c r="P251" s="531">
        <v>0</v>
      </c>
      <c r="Q251" s="534">
        <f t="shared" si="5"/>
        <v>0</v>
      </c>
      <c r="R251" s="535">
        <v>0</v>
      </c>
      <c r="S251" s="534">
        <f t="shared" si="6"/>
        <v>0</v>
      </c>
      <c r="T251" s="472"/>
      <c r="U251" s="494"/>
      <c r="V251" s="405"/>
      <c r="W251" s="452"/>
    </row>
    <row r="252" spans="1:23" x14ac:dyDescent="0.3">
      <c r="A252" s="428"/>
      <c r="B252" s="531" t="s">
        <v>172</v>
      </c>
      <c r="C252" s="549"/>
      <c r="D252" s="549"/>
      <c r="E252" s="549"/>
      <c r="F252" s="532"/>
      <c r="G252" s="534"/>
      <c r="H252" s="549"/>
      <c r="I252" s="549"/>
      <c r="J252" s="549"/>
      <c r="K252" s="549"/>
      <c r="L252" s="549"/>
      <c r="M252" s="549"/>
      <c r="N252" s="549"/>
      <c r="O252" s="549"/>
      <c r="P252" s="531">
        <v>0</v>
      </c>
      <c r="Q252" s="534">
        <f t="shared" si="5"/>
        <v>0</v>
      </c>
      <c r="R252" s="535">
        <v>0</v>
      </c>
      <c r="S252" s="534">
        <f t="shared" si="6"/>
        <v>0</v>
      </c>
      <c r="T252" s="472"/>
      <c r="U252" s="494"/>
      <c r="V252" s="405"/>
    </row>
    <row r="253" spans="1:23" x14ac:dyDescent="0.3">
      <c r="A253" s="428"/>
      <c r="B253" s="531" t="s">
        <v>173</v>
      </c>
      <c r="C253" s="549"/>
      <c r="D253" s="549"/>
      <c r="E253" s="549"/>
      <c r="F253" s="532"/>
      <c r="G253" s="534"/>
      <c r="H253" s="549"/>
      <c r="I253" s="549"/>
      <c r="J253" s="549"/>
      <c r="K253" s="549"/>
      <c r="L253" s="549"/>
      <c r="M253" s="549"/>
      <c r="N253" s="549"/>
      <c r="O253" s="549"/>
      <c r="P253" s="531">
        <v>1</v>
      </c>
      <c r="Q253" s="534">
        <f t="shared" si="5"/>
        <v>6.1274509803921568E-4</v>
      </c>
      <c r="R253" s="535">
        <v>236</v>
      </c>
      <c r="S253" s="534">
        <f t="shared" si="6"/>
        <v>1.1942352845923407E-3</v>
      </c>
      <c r="T253" s="472"/>
      <c r="U253" s="494"/>
      <c r="V253" s="405"/>
      <c r="W253" s="452"/>
    </row>
    <row r="254" spans="1:23" x14ac:dyDescent="0.3">
      <c r="A254" s="428"/>
      <c r="B254" s="531" t="s">
        <v>174</v>
      </c>
      <c r="C254" s="549"/>
      <c r="D254" s="549"/>
      <c r="E254" s="549"/>
      <c r="F254" s="532"/>
      <c r="G254" s="534"/>
      <c r="H254" s="549"/>
      <c r="I254" s="549"/>
      <c r="J254" s="549"/>
      <c r="K254" s="549"/>
      <c r="L254" s="549"/>
      <c r="M254" s="549"/>
      <c r="N254" s="549"/>
      <c r="O254" s="549"/>
      <c r="P254" s="531">
        <v>0</v>
      </c>
      <c r="Q254" s="534">
        <f t="shared" si="5"/>
        <v>0</v>
      </c>
      <c r="R254" s="535">
        <v>0</v>
      </c>
      <c r="S254" s="534">
        <f t="shared" si="6"/>
        <v>0</v>
      </c>
      <c r="T254" s="472"/>
      <c r="U254" s="494"/>
      <c r="V254" s="405"/>
    </row>
    <row r="255" spans="1:23" x14ac:dyDescent="0.3">
      <c r="A255" s="428"/>
      <c r="B255" s="531" t="s">
        <v>175</v>
      </c>
      <c r="C255" s="549"/>
      <c r="D255" s="549"/>
      <c r="E255" s="549"/>
      <c r="F255" s="532"/>
      <c r="G255" s="534"/>
      <c r="H255" s="549"/>
      <c r="I255" s="549"/>
      <c r="J255" s="549"/>
      <c r="K255" s="549"/>
      <c r="L255" s="549"/>
      <c r="M255" s="549"/>
      <c r="N255" s="549"/>
      <c r="O255" s="549"/>
      <c r="P255" s="531">
        <v>0</v>
      </c>
      <c r="Q255" s="534">
        <f t="shared" si="5"/>
        <v>0</v>
      </c>
      <c r="R255" s="535">
        <v>0</v>
      </c>
      <c r="S255" s="534">
        <f t="shared" si="6"/>
        <v>0</v>
      </c>
      <c r="T255" s="472"/>
      <c r="U255" s="494"/>
      <c r="V255" s="405"/>
      <c r="W255" s="452"/>
    </row>
    <row r="256" spans="1:23" x14ac:dyDescent="0.3">
      <c r="A256" s="428"/>
      <c r="B256" s="531"/>
      <c r="C256" s="549"/>
      <c r="D256" s="549"/>
      <c r="E256" s="549"/>
      <c r="F256" s="532"/>
      <c r="G256" s="534"/>
      <c r="H256" s="549"/>
      <c r="I256" s="549"/>
      <c r="J256" s="549"/>
      <c r="K256" s="549"/>
      <c r="L256" s="549"/>
      <c r="M256" s="549"/>
      <c r="N256" s="549"/>
      <c r="O256" s="549"/>
      <c r="P256" s="531"/>
      <c r="Q256" s="534"/>
      <c r="R256" s="535"/>
      <c r="S256" s="534"/>
      <c r="T256" s="472"/>
      <c r="U256" s="494"/>
      <c r="V256" s="405"/>
    </row>
    <row r="257" spans="1:22" x14ac:dyDescent="0.3">
      <c r="A257" s="428"/>
      <c r="B257" s="532"/>
      <c r="C257" s="532"/>
      <c r="D257" s="532"/>
      <c r="E257" s="532"/>
      <c r="F257" s="532"/>
      <c r="G257" s="532"/>
      <c r="H257" s="533"/>
      <c r="I257" s="533"/>
      <c r="J257" s="533"/>
      <c r="K257" s="533"/>
      <c r="L257" s="533"/>
      <c r="M257" s="533"/>
      <c r="N257" s="533"/>
      <c r="O257" s="533"/>
      <c r="P257" s="531">
        <f>SUM(P248:P256)</f>
        <v>1632</v>
      </c>
      <c r="Q257" s="534">
        <f>SUM(Q248:Q256)</f>
        <v>1</v>
      </c>
      <c r="R257" s="535">
        <f>SUM(R248:R256)</f>
        <v>197616</v>
      </c>
      <c r="S257" s="534">
        <f>SUM(S248:S256)</f>
        <v>1</v>
      </c>
      <c r="T257" s="419"/>
      <c r="U257" s="420"/>
      <c r="V257" s="405"/>
    </row>
    <row r="258" spans="1:22" x14ac:dyDescent="0.3">
      <c r="A258" s="407"/>
      <c r="B258" s="444"/>
      <c r="C258" s="444"/>
      <c r="D258" s="444"/>
      <c r="E258" s="444"/>
      <c r="F258" s="444"/>
      <c r="G258" s="444"/>
      <c r="H258" s="495"/>
      <c r="I258" s="495"/>
      <c r="J258" s="495"/>
      <c r="K258" s="495"/>
      <c r="L258" s="495"/>
      <c r="M258" s="495"/>
      <c r="N258" s="495"/>
      <c r="O258" s="495"/>
      <c r="P258" s="445"/>
      <c r="Q258" s="496"/>
      <c r="R258" s="497"/>
      <c r="S258" s="496"/>
      <c r="T258" s="444"/>
      <c r="U258" s="444"/>
      <c r="V258" s="405"/>
    </row>
    <row r="259" spans="1:22" x14ac:dyDescent="0.3">
      <c r="A259" s="503"/>
      <c r="B259" s="612" t="s">
        <v>279</v>
      </c>
      <c r="C259" s="613"/>
      <c r="D259" s="613"/>
      <c r="E259" s="613"/>
      <c r="F259" s="620"/>
      <c r="G259" s="613"/>
      <c r="H259" s="613"/>
      <c r="I259" s="613"/>
      <c r="J259" s="613"/>
      <c r="K259" s="613"/>
      <c r="L259" s="613"/>
      <c r="M259" s="613"/>
      <c r="N259" s="613"/>
      <c r="O259" s="613"/>
      <c r="P259" s="620" t="s">
        <v>108</v>
      </c>
      <c r="Q259" s="613" t="s">
        <v>109</v>
      </c>
      <c r="R259" s="620" t="s">
        <v>117</v>
      </c>
      <c r="S259" s="613" t="s">
        <v>109</v>
      </c>
      <c r="T259" s="608"/>
      <c r="U259" s="611"/>
      <c r="V259" s="405"/>
    </row>
    <row r="260" spans="1:22" x14ac:dyDescent="0.3">
      <c r="A260" s="430"/>
      <c r="B260" s="572" t="s">
        <v>94</v>
      </c>
      <c r="C260" s="621"/>
      <c r="D260" s="621"/>
      <c r="E260" s="621"/>
      <c r="F260" s="539"/>
      <c r="G260" s="621"/>
      <c r="H260" s="621"/>
      <c r="I260" s="621"/>
      <c r="J260" s="621"/>
      <c r="K260" s="621"/>
      <c r="L260" s="621"/>
      <c r="M260" s="621"/>
      <c r="N260" s="621"/>
      <c r="O260" s="621"/>
      <c r="P260" s="572">
        <v>25</v>
      </c>
      <c r="Q260" s="627">
        <f t="shared" ref="Q260:Q267" si="7">P260/$P$269</f>
        <v>0.92592592592592593</v>
      </c>
      <c r="R260" s="541">
        <v>3223</v>
      </c>
      <c r="S260" s="627">
        <f t="shared" ref="S260:S267" si="8">R260/$R$269</f>
        <v>0.94184687317358273</v>
      </c>
      <c r="T260" s="431"/>
      <c r="U260" s="444"/>
      <c r="V260" s="405"/>
    </row>
    <row r="261" spans="1:22" x14ac:dyDescent="0.3">
      <c r="A261" s="428"/>
      <c r="B261" s="531" t="s">
        <v>95</v>
      </c>
      <c r="C261" s="549"/>
      <c r="D261" s="549"/>
      <c r="E261" s="549"/>
      <c r="F261" s="532"/>
      <c r="G261" s="534"/>
      <c r="H261" s="549"/>
      <c r="I261" s="549"/>
      <c r="J261" s="549"/>
      <c r="K261" s="549"/>
      <c r="L261" s="549"/>
      <c r="M261" s="549"/>
      <c r="N261" s="549"/>
      <c r="O261" s="549"/>
      <c r="P261" s="531">
        <v>1</v>
      </c>
      <c r="Q261" s="534">
        <f t="shared" si="7"/>
        <v>3.7037037037037035E-2</v>
      </c>
      <c r="R261" s="535">
        <v>116</v>
      </c>
      <c r="S261" s="534">
        <f t="shared" si="8"/>
        <v>3.3898305084745763E-2</v>
      </c>
      <c r="T261" s="419"/>
      <c r="U261" s="451"/>
      <c r="V261" s="405"/>
    </row>
    <row r="262" spans="1:22" x14ac:dyDescent="0.3">
      <c r="A262" s="428"/>
      <c r="B262" s="531" t="s">
        <v>96</v>
      </c>
      <c r="C262" s="549"/>
      <c r="D262" s="549"/>
      <c r="E262" s="549"/>
      <c r="F262" s="532"/>
      <c r="G262" s="534"/>
      <c r="H262" s="549"/>
      <c r="I262" s="549"/>
      <c r="J262" s="549"/>
      <c r="K262" s="549"/>
      <c r="L262" s="549"/>
      <c r="M262" s="549"/>
      <c r="N262" s="549"/>
      <c r="O262" s="549"/>
      <c r="P262" s="531">
        <v>0</v>
      </c>
      <c r="Q262" s="534">
        <f t="shared" si="7"/>
        <v>0</v>
      </c>
      <c r="R262" s="535">
        <v>0</v>
      </c>
      <c r="S262" s="534">
        <f t="shared" si="8"/>
        <v>0</v>
      </c>
      <c r="T262" s="419"/>
      <c r="U262" s="451"/>
      <c r="V262" s="405"/>
    </row>
    <row r="263" spans="1:22" x14ac:dyDescent="0.3">
      <c r="A263" s="428"/>
      <c r="B263" s="531" t="s">
        <v>171</v>
      </c>
      <c r="C263" s="549"/>
      <c r="D263" s="549"/>
      <c r="E263" s="549"/>
      <c r="F263" s="532"/>
      <c r="G263" s="534"/>
      <c r="H263" s="549"/>
      <c r="I263" s="549"/>
      <c r="J263" s="549"/>
      <c r="K263" s="549"/>
      <c r="L263" s="549"/>
      <c r="M263" s="549"/>
      <c r="N263" s="549"/>
      <c r="O263" s="549"/>
      <c r="P263" s="531">
        <v>1</v>
      </c>
      <c r="Q263" s="534">
        <f t="shared" si="7"/>
        <v>3.7037037037037035E-2</v>
      </c>
      <c r="R263" s="535">
        <v>83</v>
      </c>
      <c r="S263" s="534">
        <f t="shared" si="8"/>
        <v>2.4254821741671536E-2</v>
      </c>
      <c r="T263" s="419"/>
      <c r="U263" s="451"/>
      <c r="V263" s="405"/>
    </row>
    <row r="264" spans="1:22" x14ac:dyDescent="0.3">
      <c r="A264" s="428"/>
      <c r="B264" s="531" t="s">
        <v>172</v>
      </c>
      <c r="C264" s="549"/>
      <c r="D264" s="549"/>
      <c r="E264" s="549"/>
      <c r="F264" s="532"/>
      <c r="G264" s="534"/>
      <c r="H264" s="549"/>
      <c r="I264" s="549"/>
      <c r="J264" s="549"/>
      <c r="K264" s="549"/>
      <c r="L264" s="549"/>
      <c r="M264" s="549"/>
      <c r="N264" s="549"/>
      <c r="O264" s="549"/>
      <c r="P264" s="531">
        <v>0</v>
      </c>
      <c r="Q264" s="534">
        <f t="shared" si="7"/>
        <v>0</v>
      </c>
      <c r="R264" s="535">
        <v>0</v>
      </c>
      <c r="S264" s="534">
        <f t="shared" si="8"/>
        <v>0</v>
      </c>
      <c r="T264" s="419"/>
      <c r="U264" s="451"/>
      <c r="V264" s="405"/>
    </row>
    <row r="265" spans="1:22" x14ac:dyDescent="0.3">
      <c r="A265" s="428"/>
      <c r="B265" s="531" t="s">
        <v>173</v>
      </c>
      <c r="C265" s="549"/>
      <c r="D265" s="549"/>
      <c r="E265" s="549"/>
      <c r="F265" s="532"/>
      <c r="G265" s="534"/>
      <c r="H265" s="549"/>
      <c r="I265" s="549"/>
      <c r="J265" s="549"/>
      <c r="K265" s="549"/>
      <c r="L265" s="549"/>
      <c r="M265" s="549"/>
      <c r="N265" s="549"/>
      <c r="O265" s="549"/>
      <c r="P265" s="531">
        <v>0</v>
      </c>
      <c r="Q265" s="534">
        <f t="shared" si="7"/>
        <v>0</v>
      </c>
      <c r="R265" s="535">
        <v>0</v>
      </c>
      <c r="S265" s="534">
        <f t="shared" si="8"/>
        <v>0</v>
      </c>
      <c r="T265" s="419"/>
      <c r="U265" s="451"/>
      <c r="V265" s="405"/>
    </row>
    <row r="266" spans="1:22" x14ac:dyDescent="0.3">
      <c r="A266" s="428"/>
      <c r="B266" s="531" t="s">
        <v>174</v>
      </c>
      <c r="C266" s="549"/>
      <c r="D266" s="549"/>
      <c r="E266" s="549"/>
      <c r="F266" s="532"/>
      <c r="G266" s="534"/>
      <c r="H266" s="549"/>
      <c r="I266" s="549"/>
      <c r="J266" s="549"/>
      <c r="K266" s="549"/>
      <c r="L266" s="549"/>
      <c r="M266" s="549"/>
      <c r="N266" s="549"/>
      <c r="O266" s="549"/>
      <c r="P266" s="531">
        <v>0</v>
      </c>
      <c r="Q266" s="534">
        <f t="shared" si="7"/>
        <v>0</v>
      </c>
      <c r="R266" s="535">
        <v>0</v>
      </c>
      <c r="S266" s="534">
        <f t="shared" si="8"/>
        <v>0</v>
      </c>
      <c r="T266" s="419"/>
      <c r="U266" s="451"/>
      <c r="V266" s="405"/>
    </row>
    <row r="267" spans="1:22" x14ac:dyDescent="0.3">
      <c r="A267" s="428"/>
      <c r="B267" s="531" t="s">
        <v>175</v>
      </c>
      <c r="C267" s="549"/>
      <c r="D267" s="549"/>
      <c r="E267" s="549"/>
      <c r="F267" s="532"/>
      <c r="G267" s="534"/>
      <c r="H267" s="549"/>
      <c r="I267" s="549"/>
      <c r="J267" s="549"/>
      <c r="K267" s="549"/>
      <c r="L267" s="549"/>
      <c r="M267" s="549"/>
      <c r="N267" s="549"/>
      <c r="O267" s="549"/>
      <c r="P267" s="531">
        <v>0</v>
      </c>
      <c r="Q267" s="534">
        <f t="shared" si="7"/>
        <v>0</v>
      </c>
      <c r="R267" s="535">
        <v>0</v>
      </c>
      <c r="S267" s="534">
        <f t="shared" si="8"/>
        <v>0</v>
      </c>
      <c r="T267" s="419"/>
      <c r="U267" s="451"/>
      <c r="V267" s="405"/>
    </row>
    <row r="268" spans="1:22" x14ac:dyDescent="0.3">
      <c r="A268" s="428"/>
      <c r="B268" s="531"/>
      <c r="C268" s="549"/>
      <c r="D268" s="549"/>
      <c r="E268" s="549"/>
      <c r="F268" s="532"/>
      <c r="G268" s="534"/>
      <c r="H268" s="549"/>
      <c r="I268" s="549"/>
      <c r="J268" s="549"/>
      <c r="K268" s="549"/>
      <c r="L268" s="549"/>
      <c r="M268" s="549"/>
      <c r="N268" s="549"/>
      <c r="O268" s="549"/>
      <c r="P268" s="531"/>
      <c r="Q268" s="534"/>
      <c r="R268" s="535"/>
      <c r="S268" s="534"/>
      <c r="T268" s="419"/>
      <c r="U268" s="451"/>
      <c r="V268" s="405"/>
    </row>
    <row r="269" spans="1:22" x14ac:dyDescent="0.3">
      <c r="A269" s="428"/>
      <c r="B269" s="532"/>
      <c r="C269" s="532"/>
      <c r="D269" s="532"/>
      <c r="E269" s="532"/>
      <c r="F269" s="532"/>
      <c r="G269" s="532"/>
      <c r="H269" s="533"/>
      <c r="I269" s="533"/>
      <c r="J269" s="533"/>
      <c r="K269" s="533"/>
      <c r="L269" s="533"/>
      <c r="M269" s="533"/>
      <c r="N269" s="533"/>
      <c r="O269" s="533"/>
      <c r="P269" s="531">
        <f>SUM(P260:P268)</f>
        <v>27</v>
      </c>
      <c r="Q269" s="534">
        <f>SUM(Q260:Q268)</f>
        <v>1</v>
      </c>
      <c r="R269" s="535">
        <f>SUM(R260:R268)</f>
        <v>3422</v>
      </c>
      <c r="S269" s="534">
        <f>SUM(S260:S268)</f>
        <v>1</v>
      </c>
      <c r="T269" s="419"/>
      <c r="U269" s="451"/>
      <c r="V269" s="405"/>
    </row>
    <row r="270" spans="1:22" x14ac:dyDescent="0.3">
      <c r="A270" s="430"/>
      <c r="B270" s="431"/>
      <c r="C270" s="431"/>
      <c r="D270" s="431"/>
      <c r="E270" s="431"/>
      <c r="F270" s="431"/>
      <c r="G270" s="431"/>
      <c r="H270" s="498"/>
      <c r="I270" s="498"/>
      <c r="J270" s="498"/>
      <c r="K270" s="498"/>
      <c r="L270" s="498"/>
      <c r="M270" s="498"/>
      <c r="N270" s="498"/>
      <c r="O270" s="498"/>
      <c r="P270" s="455"/>
      <c r="Q270" s="499"/>
      <c r="R270" s="500"/>
      <c r="S270" s="499"/>
      <c r="T270" s="431"/>
      <c r="U270" s="444"/>
      <c r="V270" s="405"/>
    </row>
    <row r="271" spans="1:22" x14ac:dyDescent="0.3">
      <c r="A271" s="503"/>
      <c r="B271" s="612" t="s">
        <v>179</v>
      </c>
      <c r="C271" s="608"/>
      <c r="D271" s="608"/>
      <c r="E271" s="608"/>
      <c r="F271" s="608"/>
      <c r="G271" s="608"/>
      <c r="H271" s="628"/>
      <c r="I271" s="628"/>
      <c r="J271" s="628"/>
      <c r="K271" s="628"/>
      <c r="L271" s="628"/>
      <c r="M271" s="628"/>
      <c r="N271" s="628"/>
      <c r="O271" s="628"/>
      <c r="P271" s="620" t="s">
        <v>108</v>
      </c>
      <c r="Q271" s="613" t="s">
        <v>109</v>
      </c>
      <c r="R271" s="620" t="s">
        <v>117</v>
      </c>
      <c r="S271" s="613" t="s">
        <v>109</v>
      </c>
      <c r="T271" s="608"/>
      <c r="U271" s="611"/>
      <c r="V271" s="405"/>
    </row>
    <row r="272" spans="1:22" x14ac:dyDescent="0.3">
      <c r="A272" s="430"/>
      <c r="B272" s="572" t="s">
        <v>94</v>
      </c>
      <c r="C272" s="539"/>
      <c r="D272" s="539"/>
      <c r="E272" s="539"/>
      <c r="F272" s="539"/>
      <c r="G272" s="539"/>
      <c r="H272" s="540"/>
      <c r="I272" s="540"/>
      <c r="J272" s="540"/>
      <c r="K272" s="540"/>
      <c r="L272" s="540"/>
      <c r="M272" s="540"/>
      <c r="N272" s="540"/>
      <c r="O272" s="540"/>
      <c r="P272" s="572">
        <v>0</v>
      </c>
      <c r="Q272" s="627">
        <v>0</v>
      </c>
      <c r="R272" s="541">
        <v>0</v>
      </c>
      <c r="S272" s="627">
        <v>0</v>
      </c>
      <c r="T272" s="431"/>
      <c r="U272" s="444"/>
      <c r="V272" s="405"/>
    </row>
    <row r="273" spans="1:22" x14ac:dyDescent="0.3">
      <c r="A273" s="428"/>
      <c r="B273" s="531" t="s">
        <v>95</v>
      </c>
      <c r="C273" s="532"/>
      <c r="D273" s="532"/>
      <c r="E273" s="532"/>
      <c r="F273" s="532"/>
      <c r="G273" s="532"/>
      <c r="H273" s="533"/>
      <c r="I273" s="533"/>
      <c r="J273" s="533"/>
      <c r="K273" s="533"/>
      <c r="L273" s="533"/>
      <c r="M273" s="533"/>
      <c r="N273" s="533"/>
      <c r="O273" s="533"/>
      <c r="P273" s="531">
        <v>0</v>
      </c>
      <c r="Q273" s="534">
        <v>0</v>
      </c>
      <c r="R273" s="535">
        <v>0</v>
      </c>
      <c r="S273" s="534">
        <v>0</v>
      </c>
      <c r="T273" s="419"/>
      <c r="U273" s="451"/>
      <c r="V273" s="405"/>
    </row>
    <row r="274" spans="1:22" x14ac:dyDescent="0.3">
      <c r="A274" s="428"/>
      <c r="B274" s="531" t="s">
        <v>96</v>
      </c>
      <c r="C274" s="532"/>
      <c r="D274" s="532"/>
      <c r="E274" s="532"/>
      <c r="F274" s="532"/>
      <c r="G274" s="532"/>
      <c r="H274" s="533"/>
      <c r="I274" s="533"/>
      <c r="J274" s="533"/>
      <c r="K274" s="533"/>
      <c r="L274" s="533"/>
      <c r="M274" s="533"/>
      <c r="N274" s="533"/>
      <c r="O274" s="533"/>
      <c r="P274" s="531">
        <v>0</v>
      </c>
      <c r="Q274" s="534">
        <v>0</v>
      </c>
      <c r="R274" s="535">
        <v>0</v>
      </c>
      <c r="S274" s="534">
        <v>0</v>
      </c>
      <c r="T274" s="419"/>
      <c r="U274" s="451"/>
      <c r="V274" s="405"/>
    </row>
    <row r="275" spans="1:22" x14ac:dyDescent="0.3">
      <c r="A275" s="428"/>
      <c r="B275" s="531" t="s">
        <v>171</v>
      </c>
      <c r="C275" s="532"/>
      <c r="D275" s="532"/>
      <c r="E275" s="532"/>
      <c r="F275" s="532"/>
      <c r="G275" s="532"/>
      <c r="H275" s="533"/>
      <c r="I275" s="533"/>
      <c r="J275" s="533"/>
      <c r="K275" s="533"/>
      <c r="L275" s="533"/>
      <c r="M275" s="533"/>
      <c r="N275" s="533"/>
      <c r="O275" s="533"/>
      <c r="P275" s="531">
        <v>0</v>
      </c>
      <c r="Q275" s="534">
        <v>0</v>
      </c>
      <c r="R275" s="535">
        <v>0</v>
      </c>
      <c r="S275" s="534">
        <v>0</v>
      </c>
      <c r="T275" s="419"/>
      <c r="U275" s="451"/>
      <c r="V275" s="405"/>
    </row>
    <row r="276" spans="1:22" x14ac:dyDescent="0.3">
      <c r="A276" s="428"/>
      <c r="B276" s="531" t="s">
        <v>172</v>
      </c>
      <c r="C276" s="532"/>
      <c r="D276" s="532"/>
      <c r="E276" s="532"/>
      <c r="F276" s="532"/>
      <c r="G276" s="532"/>
      <c r="H276" s="533"/>
      <c r="I276" s="533"/>
      <c r="J276" s="533"/>
      <c r="K276" s="533"/>
      <c r="L276" s="533"/>
      <c r="M276" s="533"/>
      <c r="N276" s="533"/>
      <c r="O276" s="533"/>
      <c r="P276" s="531">
        <v>0</v>
      </c>
      <c r="Q276" s="534">
        <v>0</v>
      </c>
      <c r="R276" s="535">
        <v>0</v>
      </c>
      <c r="S276" s="534">
        <v>0</v>
      </c>
      <c r="T276" s="419"/>
      <c r="U276" s="451"/>
      <c r="V276" s="405"/>
    </row>
    <row r="277" spans="1:22" x14ac:dyDescent="0.3">
      <c r="A277" s="428"/>
      <c r="B277" s="531" t="s">
        <v>173</v>
      </c>
      <c r="C277" s="532"/>
      <c r="D277" s="532"/>
      <c r="E277" s="532"/>
      <c r="F277" s="532"/>
      <c r="G277" s="532"/>
      <c r="H277" s="533"/>
      <c r="I277" s="533"/>
      <c r="J277" s="533"/>
      <c r="K277" s="533"/>
      <c r="L277" s="533"/>
      <c r="M277" s="533"/>
      <c r="N277" s="533"/>
      <c r="O277" s="533"/>
      <c r="P277" s="531">
        <v>0</v>
      </c>
      <c r="Q277" s="534">
        <v>0</v>
      </c>
      <c r="R277" s="535">
        <v>0</v>
      </c>
      <c r="S277" s="534">
        <v>0</v>
      </c>
      <c r="T277" s="419"/>
      <c r="U277" s="451"/>
      <c r="V277" s="405"/>
    </row>
    <row r="278" spans="1:22" x14ac:dyDescent="0.3">
      <c r="A278" s="428"/>
      <c r="B278" s="531" t="s">
        <v>174</v>
      </c>
      <c r="C278" s="532"/>
      <c r="D278" s="532"/>
      <c r="E278" s="532"/>
      <c r="F278" s="532"/>
      <c r="G278" s="532"/>
      <c r="H278" s="533"/>
      <c r="I278" s="533"/>
      <c r="J278" s="533"/>
      <c r="K278" s="533"/>
      <c r="L278" s="533"/>
      <c r="M278" s="533"/>
      <c r="N278" s="533"/>
      <c r="O278" s="533"/>
      <c r="P278" s="531">
        <v>1</v>
      </c>
      <c r="Q278" s="534">
        <v>1</v>
      </c>
      <c r="R278" s="535">
        <v>438</v>
      </c>
      <c r="S278" s="534">
        <v>1</v>
      </c>
      <c r="T278" s="419"/>
      <c r="U278" s="451"/>
      <c r="V278" s="405"/>
    </row>
    <row r="279" spans="1:22" x14ac:dyDescent="0.3">
      <c r="A279" s="428"/>
      <c r="B279" s="531" t="s">
        <v>175</v>
      </c>
      <c r="C279" s="532"/>
      <c r="D279" s="532"/>
      <c r="E279" s="532"/>
      <c r="F279" s="532"/>
      <c r="G279" s="532"/>
      <c r="H279" s="533"/>
      <c r="I279" s="533"/>
      <c r="J279" s="533"/>
      <c r="K279" s="533"/>
      <c r="L279" s="533"/>
      <c r="M279" s="533"/>
      <c r="N279" s="533"/>
      <c r="O279" s="533"/>
      <c r="P279" s="531">
        <v>0</v>
      </c>
      <c r="Q279" s="534">
        <v>0</v>
      </c>
      <c r="R279" s="535">
        <v>0</v>
      </c>
      <c r="S279" s="534">
        <v>0</v>
      </c>
      <c r="T279" s="419"/>
      <c r="U279" s="451"/>
      <c r="V279" s="405"/>
    </row>
    <row r="280" spans="1:22" x14ac:dyDescent="0.3">
      <c r="A280" s="428"/>
      <c r="B280" s="531"/>
      <c r="C280" s="532"/>
      <c r="D280" s="532"/>
      <c r="E280" s="532"/>
      <c r="F280" s="532"/>
      <c r="G280" s="532"/>
      <c r="H280" s="533"/>
      <c r="I280" s="533"/>
      <c r="J280" s="533"/>
      <c r="K280" s="533"/>
      <c r="L280" s="533"/>
      <c r="M280" s="533"/>
      <c r="N280" s="533"/>
      <c r="O280" s="533"/>
      <c r="P280" s="531"/>
      <c r="Q280" s="534"/>
      <c r="R280" s="535"/>
      <c r="S280" s="534"/>
      <c r="T280" s="419"/>
      <c r="U280" s="451"/>
      <c r="V280" s="405"/>
    </row>
    <row r="281" spans="1:22" x14ac:dyDescent="0.3">
      <c r="A281" s="428"/>
      <c r="B281" s="532" t="s">
        <v>123</v>
      </c>
      <c r="C281" s="532"/>
      <c r="D281" s="532"/>
      <c r="E281" s="532"/>
      <c r="F281" s="532"/>
      <c r="G281" s="532"/>
      <c r="H281" s="533"/>
      <c r="I281" s="533"/>
      <c r="J281" s="533"/>
      <c r="K281" s="533"/>
      <c r="L281" s="533"/>
      <c r="M281" s="533"/>
      <c r="N281" s="533"/>
      <c r="O281" s="533"/>
      <c r="P281" s="531">
        <f>SUM(P272:P279)</f>
        <v>1</v>
      </c>
      <c r="Q281" s="534">
        <f>SUM(Q272:Q279)</f>
        <v>1</v>
      </c>
      <c r="R281" s="535">
        <f>SUM(R272:R279)</f>
        <v>438</v>
      </c>
      <c r="S281" s="534">
        <f>SUM(S272:S279)</f>
        <v>1</v>
      </c>
      <c r="T281" s="419"/>
      <c r="U281" s="451"/>
      <c r="V281" s="405"/>
    </row>
    <row r="282" spans="1:22" x14ac:dyDescent="0.3">
      <c r="A282" s="428"/>
      <c r="B282" s="532"/>
      <c r="C282" s="532"/>
      <c r="D282" s="532"/>
      <c r="E282" s="532"/>
      <c r="F282" s="532"/>
      <c r="G282" s="532"/>
      <c r="H282" s="533"/>
      <c r="I282" s="533"/>
      <c r="J282" s="533"/>
      <c r="K282" s="533"/>
      <c r="L282" s="533"/>
      <c r="M282" s="533"/>
      <c r="N282" s="533"/>
      <c r="O282" s="533"/>
      <c r="P282" s="531"/>
      <c r="Q282" s="534"/>
      <c r="R282" s="535"/>
      <c r="S282" s="534"/>
      <c r="T282" s="419"/>
      <c r="U282" s="451"/>
      <c r="V282" s="405"/>
    </row>
    <row r="283" spans="1:22" x14ac:dyDescent="0.3">
      <c r="A283" s="428"/>
      <c r="B283" s="536" t="s">
        <v>180</v>
      </c>
      <c r="C283" s="532"/>
      <c r="D283" s="532"/>
      <c r="E283" s="532"/>
      <c r="F283" s="532"/>
      <c r="G283" s="532"/>
      <c r="H283" s="533"/>
      <c r="I283" s="533"/>
      <c r="J283" s="533"/>
      <c r="K283" s="533"/>
      <c r="L283" s="533"/>
      <c r="M283" s="533"/>
      <c r="N283" s="533"/>
      <c r="O283" s="533"/>
      <c r="P283" s="537">
        <f>+P257+P269+P281</f>
        <v>1660</v>
      </c>
      <c r="Q283" s="534"/>
      <c r="R283" s="538">
        <f>+R281+R269+R257</f>
        <v>201476</v>
      </c>
      <c r="S283" s="534"/>
      <c r="T283" s="419"/>
      <c r="U283" s="451"/>
      <c r="V283" s="405"/>
    </row>
    <row r="284" spans="1:22" x14ac:dyDescent="0.3">
      <c r="A284" s="430"/>
      <c r="B284" s="539"/>
      <c r="C284" s="539"/>
      <c r="D284" s="539"/>
      <c r="E284" s="539"/>
      <c r="F284" s="539"/>
      <c r="G284" s="539"/>
      <c r="H284" s="540"/>
      <c r="I284" s="540"/>
      <c r="J284" s="540"/>
      <c r="K284" s="540"/>
      <c r="L284" s="540"/>
      <c r="M284" s="540"/>
      <c r="N284" s="540"/>
      <c r="O284" s="540"/>
      <c r="P284" s="540"/>
      <c r="Q284" s="540"/>
      <c r="R284" s="541"/>
      <c r="S284" s="540"/>
      <c r="T284" s="431"/>
      <c r="U284" s="444"/>
      <c r="V284" s="405"/>
    </row>
    <row r="285" spans="1:22" x14ac:dyDescent="0.3">
      <c r="A285" s="430"/>
      <c r="B285" s="542"/>
      <c r="C285" s="542"/>
      <c r="D285" s="542"/>
      <c r="E285" s="542"/>
      <c r="F285" s="542"/>
      <c r="G285" s="542"/>
      <c r="H285" s="543"/>
      <c r="I285" s="543"/>
      <c r="J285" s="543"/>
      <c r="K285" s="543"/>
      <c r="L285" s="543"/>
      <c r="M285" s="543"/>
      <c r="N285" s="543"/>
      <c r="O285" s="543"/>
      <c r="P285" s="543"/>
      <c r="Q285" s="543"/>
      <c r="R285" s="544"/>
      <c r="S285" s="543"/>
      <c r="T285" s="434"/>
      <c r="U285" s="409"/>
      <c r="V285" s="405"/>
    </row>
    <row r="286" spans="1:22" x14ac:dyDescent="0.3">
      <c r="A286" s="430"/>
      <c r="B286" s="545" t="s">
        <v>97</v>
      </c>
      <c r="C286" s="542"/>
      <c r="D286" s="542"/>
      <c r="E286" s="542"/>
      <c r="F286" s="546" t="s">
        <v>103</v>
      </c>
      <c r="G286" s="542"/>
      <c r="H286" s="545" t="s">
        <v>105</v>
      </c>
      <c r="I286" s="542"/>
      <c r="J286" s="542"/>
      <c r="K286" s="542"/>
      <c r="L286" s="542"/>
      <c r="M286" s="542"/>
      <c r="N286" s="542"/>
      <c r="O286" s="542"/>
      <c r="P286" s="542"/>
      <c r="Q286" s="542"/>
      <c r="R286" s="542"/>
      <c r="S286" s="542"/>
      <c r="T286" s="434"/>
      <c r="U286" s="409"/>
      <c r="V286" s="405"/>
    </row>
    <row r="287" spans="1:22" x14ac:dyDescent="0.3">
      <c r="A287" s="430"/>
      <c r="B287" s="542"/>
      <c r="C287" s="542"/>
      <c r="D287" s="542"/>
      <c r="E287" s="542"/>
      <c r="F287" s="542"/>
      <c r="G287" s="542"/>
      <c r="H287" s="542"/>
      <c r="I287" s="542"/>
      <c r="J287" s="542"/>
      <c r="K287" s="542"/>
      <c r="L287" s="542"/>
      <c r="M287" s="542"/>
      <c r="N287" s="542"/>
      <c r="O287" s="542"/>
      <c r="P287" s="542"/>
      <c r="Q287" s="542"/>
      <c r="R287" s="542"/>
      <c r="S287" s="542"/>
      <c r="T287" s="434"/>
      <c r="U287" s="409"/>
      <c r="V287" s="405"/>
    </row>
    <row r="288" spans="1:22" x14ac:dyDescent="0.3">
      <c r="A288" s="430"/>
      <c r="B288" s="545" t="s">
        <v>323</v>
      </c>
      <c r="C288" s="545"/>
      <c r="D288" s="545"/>
      <c r="E288" s="545"/>
      <c r="F288" s="547" t="s">
        <v>274</v>
      </c>
      <c r="G288" s="545"/>
      <c r="H288" s="501" t="s">
        <v>348</v>
      </c>
      <c r="I288" s="542"/>
      <c r="J288" s="542"/>
      <c r="K288" s="542"/>
      <c r="L288" s="542"/>
      <c r="M288" s="542"/>
      <c r="N288" s="542"/>
      <c r="O288" s="542"/>
      <c r="P288" s="542"/>
      <c r="Q288" s="542"/>
      <c r="R288" s="542"/>
      <c r="S288" s="542"/>
      <c r="T288" s="434"/>
      <c r="U288" s="409"/>
      <c r="V288" s="405"/>
    </row>
    <row r="289" spans="1:22" x14ac:dyDescent="0.3">
      <c r="A289" s="430"/>
      <c r="B289" s="545" t="s">
        <v>324</v>
      </c>
      <c r="C289" s="545"/>
      <c r="D289" s="545"/>
      <c r="E289" s="545"/>
      <c r="F289" s="547" t="s">
        <v>158</v>
      </c>
      <c r="G289" s="545"/>
      <c r="H289" s="501" t="s">
        <v>349</v>
      </c>
      <c r="I289" s="542"/>
      <c r="J289" s="542"/>
      <c r="K289" s="542"/>
      <c r="L289" s="542"/>
      <c r="M289" s="542"/>
      <c r="N289" s="542"/>
      <c r="O289" s="542"/>
      <c r="P289" s="542"/>
      <c r="Q289" s="542"/>
      <c r="R289" s="542"/>
      <c r="S289" s="542"/>
      <c r="T289" s="434"/>
      <c r="U289" s="409"/>
      <c r="V289" s="405"/>
    </row>
    <row r="290" spans="1:22" x14ac:dyDescent="0.3">
      <c r="A290" s="430"/>
      <c r="B290" s="545"/>
      <c r="C290" s="545"/>
      <c r="D290" s="545"/>
      <c r="E290" s="545"/>
      <c r="F290" s="545"/>
      <c r="G290" s="545"/>
      <c r="H290" s="542"/>
      <c r="I290" s="542"/>
      <c r="J290" s="542"/>
      <c r="K290" s="542"/>
      <c r="L290" s="542"/>
      <c r="M290" s="542"/>
      <c r="N290" s="542"/>
      <c r="O290" s="542"/>
      <c r="P290" s="542"/>
      <c r="Q290" s="542"/>
      <c r="R290" s="542"/>
      <c r="S290" s="542"/>
      <c r="T290" s="434"/>
      <c r="U290" s="409"/>
      <c r="V290" s="405"/>
    </row>
    <row r="291" spans="1:22" x14ac:dyDescent="0.3">
      <c r="A291" s="407"/>
      <c r="B291" s="545"/>
      <c r="C291" s="545"/>
      <c r="D291" s="545"/>
      <c r="E291" s="545"/>
      <c r="F291" s="545"/>
      <c r="G291" s="545"/>
      <c r="H291" s="542"/>
      <c r="I291" s="542"/>
      <c r="J291" s="542"/>
      <c r="K291" s="542"/>
      <c r="L291" s="542"/>
      <c r="M291" s="542"/>
      <c r="N291" s="542"/>
      <c r="O291" s="542"/>
      <c r="P291" s="542"/>
      <c r="Q291" s="542"/>
      <c r="R291" s="542"/>
      <c r="S291" s="542"/>
      <c r="T291" s="409"/>
      <c r="U291" s="409"/>
      <c r="V291" s="405"/>
    </row>
    <row r="292" spans="1:22" ht="18.600000000000001" thickBot="1" x14ac:dyDescent="0.4">
      <c r="A292" s="407"/>
      <c r="B292" s="548" t="str">
        <f>B198</f>
        <v>PM9 INVESTOR REPORT QUARTER ENDING OCTOBER 2019</v>
      </c>
      <c r="C292" s="545"/>
      <c r="D292" s="545"/>
      <c r="E292" s="545"/>
      <c r="F292" s="545"/>
      <c r="G292" s="545"/>
      <c r="H292" s="542"/>
      <c r="I292" s="542"/>
      <c r="J292" s="542"/>
      <c r="K292" s="542"/>
      <c r="L292" s="542"/>
      <c r="M292" s="542"/>
      <c r="N292" s="542"/>
      <c r="O292" s="542"/>
      <c r="P292" s="542"/>
      <c r="Q292" s="542"/>
      <c r="R292" s="542"/>
      <c r="S292" s="542"/>
      <c r="T292" s="409"/>
      <c r="U292" s="409"/>
      <c r="V292" s="405"/>
    </row>
    <row r="293" spans="1:22" x14ac:dyDescent="0.3">
      <c r="A293" s="502"/>
      <c r="B293" s="502"/>
      <c r="C293" s="502"/>
      <c r="D293" s="502"/>
      <c r="E293" s="502"/>
      <c r="F293" s="502"/>
      <c r="G293" s="502"/>
      <c r="H293" s="502"/>
      <c r="I293" s="502"/>
      <c r="J293" s="502"/>
      <c r="K293" s="502"/>
      <c r="L293" s="502"/>
      <c r="M293" s="502"/>
      <c r="N293" s="502"/>
      <c r="O293" s="502"/>
      <c r="P293" s="502"/>
      <c r="Q293" s="502"/>
      <c r="R293" s="502"/>
      <c r="S293" s="502"/>
      <c r="T293" s="502"/>
      <c r="U293" s="502"/>
    </row>
  </sheetData>
  <hyperlinks>
    <hyperlink ref="J9" r:id="rId1" xr:uid="{B8F47879-9BB9-4759-B5BB-15C4D309B1FD}"/>
    <hyperlink ref="N233" r:id="rId2" xr:uid="{7052E7B7-4A4A-45A4-9D2F-DAB3DF1CB5F2}"/>
  </hyperlinks>
  <printOptions horizontalCentered="1" verticalCentered="1"/>
  <pageMargins left="0.19685039370078741" right="0.19685039370078741" top="0.27559055118110237" bottom="0.27559055118110237" header="0" footer="0"/>
  <pageSetup scale="40" orientation="landscape" r:id="rId3"/>
  <headerFooter alignWithMargins="0"/>
  <rowBreaks count="3" manualBreakCount="3">
    <brk id="61" max="20" man="1"/>
    <brk id="137" max="20" man="1"/>
    <brk id="198" max="20" man="1"/>
  </rowBreaks>
  <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FD7DE-4226-466B-8BED-513968C673B0}">
  <sheetPr>
    <tabColor rgb="FF2D2926"/>
  </sheetPr>
  <dimension ref="A1:W294"/>
  <sheetViews>
    <sheetView showGridLines="0" tabSelected="1" showOutlineSymbols="0" zoomScale="70" zoomScaleNormal="70" workbookViewId="0"/>
  </sheetViews>
  <sheetFormatPr defaultColWidth="9.6328125" defaultRowHeight="15.6" x14ac:dyDescent="0.3"/>
  <cols>
    <col min="1" max="1" width="4" style="406" customWidth="1"/>
    <col min="2" max="2" width="71.1796875" style="406" customWidth="1"/>
    <col min="3" max="3" width="2.1796875" style="406" customWidth="1"/>
    <col min="4" max="4" width="19.36328125" style="406" customWidth="1"/>
    <col min="5" max="5" width="2.1796875" style="406" customWidth="1"/>
    <col min="6" max="6" width="25.08984375" style="406" customWidth="1"/>
    <col min="7" max="7" width="2.1796875" style="406" customWidth="1"/>
    <col min="8" max="8" width="16.1796875" style="406" customWidth="1"/>
    <col min="9" max="9" width="2.1796875" style="406" customWidth="1"/>
    <col min="10" max="10" width="17.90625" style="406" customWidth="1"/>
    <col min="11" max="11" width="2.36328125" style="406" customWidth="1"/>
    <col min="12" max="12" width="14.90625" style="406" customWidth="1"/>
    <col min="13" max="13" width="2.36328125" style="406" customWidth="1"/>
    <col min="14" max="14" width="15.54296875" style="406" customWidth="1"/>
    <col min="15" max="15" width="2.1796875" style="406" customWidth="1"/>
    <col min="16" max="16" width="15.54296875" style="406" customWidth="1"/>
    <col min="17" max="18" width="12.6328125" style="406" customWidth="1"/>
    <col min="19" max="19" width="9.6328125" style="406" customWidth="1"/>
    <col min="20" max="20" width="14.6328125" style="406" customWidth="1"/>
    <col min="21" max="21" width="11.81640625" style="406" customWidth="1"/>
    <col min="22" max="16384" width="9.6328125" style="406"/>
  </cols>
  <sheetData>
    <row r="1" spans="1:22" ht="21" x14ac:dyDescent="0.4">
      <c r="A1" s="403"/>
      <c r="B1" s="602" t="s">
        <v>181</v>
      </c>
      <c r="C1" s="404" t="s">
        <v>263</v>
      </c>
      <c r="D1" s="404"/>
      <c r="E1" s="404"/>
      <c r="F1" s="404"/>
      <c r="G1" s="404"/>
      <c r="H1" s="404"/>
      <c r="I1" s="404"/>
      <c r="J1" s="404"/>
      <c r="K1" s="404"/>
      <c r="L1" s="404"/>
      <c r="M1" s="404"/>
      <c r="N1" s="404"/>
      <c r="O1" s="404"/>
      <c r="P1" s="404"/>
      <c r="Q1" s="404"/>
      <c r="R1" s="404"/>
      <c r="S1" s="404"/>
      <c r="T1" s="404"/>
      <c r="U1" s="404"/>
      <c r="V1" s="405"/>
    </row>
    <row r="2" spans="1:22" x14ac:dyDescent="0.3">
      <c r="A2" s="407"/>
      <c r="B2" s="408"/>
      <c r="C2" s="409"/>
      <c r="D2" s="409"/>
      <c r="E2" s="409"/>
      <c r="F2" s="409"/>
      <c r="G2" s="409"/>
      <c r="H2" s="409"/>
      <c r="I2" s="409"/>
      <c r="J2" s="409"/>
      <c r="K2" s="409"/>
      <c r="L2" s="409"/>
      <c r="M2" s="409"/>
      <c r="N2" s="409"/>
      <c r="O2" s="409"/>
      <c r="P2" s="409"/>
      <c r="Q2" s="409"/>
      <c r="R2" s="409"/>
      <c r="S2" s="409"/>
      <c r="T2" s="409"/>
      <c r="U2" s="409"/>
      <c r="V2" s="405"/>
    </row>
    <row r="3" spans="1:22" x14ac:dyDescent="0.3">
      <c r="A3" s="410"/>
      <c r="B3" s="411" t="s">
        <v>182</v>
      </c>
      <c r="C3" s="409"/>
      <c r="D3" s="409"/>
      <c r="E3" s="409"/>
      <c r="F3" s="409"/>
      <c r="G3" s="409"/>
      <c r="H3" s="409"/>
      <c r="I3" s="409"/>
      <c r="J3" s="409"/>
      <c r="K3" s="409"/>
      <c r="L3" s="409"/>
      <c r="M3" s="409"/>
      <c r="N3" s="409"/>
      <c r="O3" s="409"/>
      <c r="P3" s="409"/>
      <c r="Q3" s="409"/>
      <c r="R3" s="409"/>
      <c r="S3" s="409"/>
      <c r="T3" s="409"/>
      <c r="U3" s="409"/>
      <c r="V3" s="405"/>
    </row>
    <row r="4" spans="1:22" x14ac:dyDescent="0.3">
      <c r="A4" s="407"/>
      <c r="B4" s="408"/>
      <c r="C4" s="409"/>
      <c r="D4" s="409"/>
      <c r="E4" s="409"/>
      <c r="F4" s="409"/>
      <c r="G4" s="409"/>
      <c r="H4" s="409"/>
      <c r="I4" s="409"/>
      <c r="J4" s="409"/>
      <c r="K4" s="409"/>
      <c r="L4" s="409"/>
      <c r="M4" s="409"/>
      <c r="N4" s="409"/>
      <c r="O4" s="409"/>
      <c r="P4" s="409"/>
      <c r="Q4" s="409"/>
      <c r="R4" s="409"/>
      <c r="S4" s="409"/>
      <c r="T4" s="409"/>
      <c r="U4" s="409"/>
      <c r="V4" s="405"/>
    </row>
    <row r="5" spans="1:22" x14ac:dyDescent="0.3">
      <c r="A5" s="407"/>
      <c r="B5" s="601" t="s">
        <v>146</v>
      </c>
      <c r="C5" s="409"/>
      <c r="D5" s="409"/>
      <c r="E5" s="409"/>
      <c r="F5" s="409"/>
      <c r="G5" s="409"/>
      <c r="H5" s="409"/>
      <c r="I5" s="409"/>
      <c r="J5" s="409"/>
      <c r="K5" s="409"/>
      <c r="L5" s="409"/>
      <c r="M5" s="409"/>
      <c r="N5" s="409"/>
      <c r="O5" s="409"/>
      <c r="P5" s="409"/>
      <c r="Q5" s="409"/>
      <c r="R5" s="409"/>
      <c r="S5" s="409"/>
      <c r="T5" s="409"/>
      <c r="U5" s="409"/>
      <c r="V5" s="405"/>
    </row>
    <row r="6" spans="1:22" x14ac:dyDescent="0.3">
      <c r="A6" s="407"/>
      <c r="B6" s="601" t="s">
        <v>148</v>
      </c>
      <c r="C6" s="409"/>
      <c r="D6" s="409"/>
      <c r="E6" s="409"/>
      <c r="F6" s="409"/>
      <c r="G6" s="409"/>
      <c r="H6" s="409"/>
      <c r="I6" s="409"/>
      <c r="J6" s="409"/>
      <c r="K6" s="409"/>
      <c r="L6" s="409"/>
      <c r="M6" s="409"/>
      <c r="N6" s="409"/>
      <c r="O6" s="409"/>
      <c r="P6" s="409"/>
      <c r="Q6" s="409"/>
      <c r="R6" s="409"/>
      <c r="S6" s="409"/>
      <c r="T6" s="409"/>
      <c r="U6" s="409"/>
      <c r="V6" s="405"/>
    </row>
    <row r="7" spans="1:22" x14ac:dyDescent="0.3">
      <c r="A7" s="407"/>
      <c r="B7" s="601" t="s">
        <v>147</v>
      </c>
      <c r="C7" s="409"/>
      <c r="D7" s="409"/>
      <c r="E7" s="409"/>
      <c r="F7" s="409"/>
      <c r="G7" s="409"/>
      <c r="H7" s="409"/>
      <c r="I7" s="409"/>
      <c r="J7" s="409"/>
      <c r="K7" s="409"/>
      <c r="L7" s="409"/>
      <c r="M7" s="409"/>
      <c r="N7" s="409"/>
      <c r="O7" s="409"/>
      <c r="P7" s="409"/>
      <c r="Q7" s="409"/>
      <c r="R7" s="409"/>
      <c r="S7" s="409"/>
      <c r="T7" s="409"/>
      <c r="U7" s="409"/>
      <c r="V7" s="405"/>
    </row>
    <row r="8" spans="1:22" x14ac:dyDescent="0.3">
      <c r="A8" s="407"/>
      <c r="B8" s="412"/>
      <c r="C8" s="409"/>
      <c r="D8" s="409"/>
      <c r="E8" s="409"/>
      <c r="F8" s="409"/>
      <c r="G8" s="409"/>
      <c r="H8" s="409"/>
      <c r="I8" s="409"/>
      <c r="J8" s="409"/>
      <c r="K8" s="409"/>
      <c r="L8" s="409"/>
      <c r="M8" s="409"/>
      <c r="N8" s="409"/>
      <c r="O8" s="409"/>
      <c r="P8" s="409"/>
      <c r="Q8" s="409"/>
      <c r="R8" s="409"/>
      <c r="S8" s="409"/>
      <c r="T8" s="409"/>
      <c r="U8" s="409"/>
      <c r="V8" s="405"/>
    </row>
    <row r="9" spans="1:22" ht="18" x14ac:dyDescent="0.35">
      <c r="A9" s="407"/>
      <c r="B9" s="413" t="s">
        <v>206</v>
      </c>
      <c r="C9" s="409"/>
      <c r="D9" s="409"/>
      <c r="E9" s="409"/>
      <c r="F9" s="409"/>
      <c r="G9" s="409"/>
      <c r="H9" s="409"/>
      <c r="I9" s="409"/>
      <c r="J9" s="414" t="s">
        <v>347</v>
      </c>
      <c r="K9" s="409"/>
      <c r="L9" s="409"/>
      <c r="M9" s="409"/>
      <c r="N9" s="409"/>
      <c r="O9" s="409"/>
      <c r="P9" s="409"/>
      <c r="Q9" s="409"/>
      <c r="R9" s="409"/>
      <c r="S9" s="409"/>
      <c r="T9" s="409"/>
      <c r="U9" s="409"/>
      <c r="V9" s="405"/>
    </row>
    <row r="10" spans="1:22" x14ac:dyDescent="0.3">
      <c r="A10" s="407"/>
      <c r="B10" s="412"/>
      <c r="C10" s="415"/>
      <c r="D10" s="415"/>
      <c r="E10" s="415"/>
      <c r="F10" s="409"/>
      <c r="G10" s="409"/>
      <c r="H10" s="409"/>
      <c r="I10" s="409"/>
      <c r="J10" s="409"/>
      <c r="K10" s="409"/>
      <c r="L10" s="409"/>
      <c r="M10" s="409"/>
      <c r="N10" s="409"/>
      <c r="O10" s="409"/>
      <c r="P10" s="409"/>
      <c r="Q10" s="409"/>
      <c r="R10" s="409"/>
      <c r="S10" s="409"/>
      <c r="T10" s="409"/>
      <c r="U10" s="409"/>
      <c r="V10" s="405"/>
    </row>
    <row r="11" spans="1:22" x14ac:dyDescent="0.3">
      <c r="A11" s="407"/>
      <c r="B11" s="545" t="s">
        <v>0</v>
      </c>
      <c r="C11" s="542"/>
      <c r="D11" s="542"/>
      <c r="E11" s="542"/>
      <c r="F11" s="542"/>
      <c r="G11" s="542"/>
      <c r="H11" s="542"/>
      <c r="I11" s="542"/>
      <c r="J11" s="542"/>
      <c r="K11" s="542"/>
      <c r="L11" s="542"/>
      <c r="M11" s="542"/>
      <c r="N11" s="542"/>
      <c r="O11" s="542"/>
      <c r="P11" s="542"/>
      <c r="Q11" s="542"/>
      <c r="R11" s="542"/>
      <c r="S11" s="542"/>
      <c r="T11" s="542"/>
      <c r="U11" s="409"/>
      <c r="V11" s="405"/>
    </row>
    <row r="12" spans="1:22" ht="16.2" thickBot="1" x14ac:dyDescent="0.35">
      <c r="A12" s="407"/>
      <c r="B12" s="545"/>
      <c r="C12" s="542"/>
      <c r="D12" s="542"/>
      <c r="E12" s="542"/>
      <c r="F12" s="542"/>
      <c r="G12" s="542"/>
      <c r="H12" s="542"/>
      <c r="I12" s="542"/>
      <c r="J12" s="542"/>
      <c r="K12" s="542"/>
      <c r="L12" s="542"/>
      <c r="M12" s="542"/>
      <c r="N12" s="542"/>
      <c r="O12" s="542"/>
      <c r="P12" s="542"/>
      <c r="Q12" s="542"/>
      <c r="R12" s="542"/>
      <c r="S12" s="542"/>
      <c r="T12" s="542"/>
      <c r="U12" s="409"/>
      <c r="V12" s="405"/>
    </row>
    <row r="13" spans="1:22" x14ac:dyDescent="0.3">
      <c r="A13" s="403"/>
      <c r="B13" s="593"/>
      <c r="C13" s="593"/>
      <c r="D13" s="593"/>
      <c r="E13" s="593"/>
      <c r="F13" s="593"/>
      <c r="G13" s="593"/>
      <c r="H13" s="593"/>
      <c r="I13" s="593"/>
      <c r="J13" s="593"/>
      <c r="K13" s="593"/>
      <c r="L13" s="593"/>
      <c r="M13" s="593"/>
      <c r="N13" s="593"/>
      <c r="O13" s="593"/>
      <c r="P13" s="593"/>
      <c r="Q13" s="593"/>
      <c r="R13" s="593"/>
      <c r="S13" s="593"/>
      <c r="T13" s="593"/>
      <c r="U13" s="404"/>
      <c r="V13" s="405"/>
    </row>
    <row r="14" spans="1:22" x14ac:dyDescent="0.3">
      <c r="A14" s="407"/>
      <c r="B14" s="545" t="s">
        <v>1</v>
      </c>
      <c r="C14" s="542"/>
      <c r="D14" s="542"/>
      <c r="E14" s="542"/>
      <c r="F14" s="542"/>
      <c r="G14" s="542"/>
      <c r="H14" s="542"/>
      <c r="I14" s="542"/>
      <c r="J14" s="542"/>
      <c r="K14" s="542"/>
      <c r="L14" s="542"/>
      <c r="M14" s="542"/>
      <c r="N14" s="542"/>
      <c r="O14" s="542"/>
      <c r="P14" s="542"/>
      <c r="Q14" s="542"/>
      <c r="R14" s="542"/>
      <c r="S14" s="542"/>
      <c r="T14" s="594" t="s">
        <v>183</v>
      </c>
      <c r="U14" s="416"/>
      <c r="V14" s="405"/>
    </row>
    <row r="15" spans="1:22" x14ac:dyDescent="0.3">
      <c r="A15" s="407"/>
      <c r="B15" s="545" t="s">
        <v>2</v>
      </c>
      <c r="C15" s="542"/>
      <c r="D15" s="542"/>
      <c r="E15" s="542"/>
      <c r="F15" s="542"/>
      <c r="G15" s="542"/>
      <c r="H15" s="595"/>
      <c r="I15" s="595"/>
      <c r="J15" s="595"/>
      <c r="K15" s="595"/>
      <c r="L15" s="595"/>
      <c r="M15" s="595"/>
      <c r="N15" s="595"/>
      <c r="O15" s="595"/>
      <c r="P15" s="595" t="s">
        <v>110</v>
      </c>
      <c r="Q15" s="596">
        <v>0.59430000000000005</v>
      </c>
      <c r="R15" s="546" t="s">
        <v>149</v>
      </c>
      <c r="S15" s="596">
        <v>0.40570000000000001</v>
      </c>
      <c r="T15" s="594"/>
      <c r="U15" s="416"/>
      <c r="V15" s="405"/>
    </row>
    <row r="16" spans="1:22" x14ac:dyDescent="0.3">
      <c r="A16" s="407"/>
      <c r="B16" s="545" t="s">
        <v>3</v>
      </c>
      <c r="C16" s="542"/>
      <c r="D16" s="542"/>
      <c r="E16" s="542"/>
      <c r="F16" s="542"/>
      <c r="G16" s="542"/>
      <c r="H16" s="595"/>
      <c r="I16" s="595"/>
      <c r="J16" s="595"/>
      <c r="K16" s="595"/>
      <c r="L16" s="595"/>
      <c r="M16" s="595"/>
      <c r="N16" s="595"/>
      <c r="O16" s="595"/>
      <c r="P16" s="595" t="s">
        <v>110</v>
      </c>
      <c r="Q16" s="596">
        <v>0</v>
      </c>
      <c r="R16" s="546" t="s">
        <v>149</v>
      </c>
      <c r="S16" s="596">
        <v>0</v>
      </c>
      <c r="T16" s="594"/>
      <c r="U16" s="416"/>
      <c r="V16" s="405"/>
    </row>
    <row r="17" spans="1:22" x14ac:dyDescent="0.3">
      <c r="A17" s="407"/>
      <c r="B17" s="545" t="s">
        <v>4</v>
      </c>
      <c r="C17" s="542"/>
      <c r="D17" s="542"/>
      <c r="E17" s="542"/>
      <c r="F17" s="542"/>
      <c r="G17" s="542"/>
      <c r="H17" s="542"/>
      <c r="I17" s="542"/>
      <c r="J17" s="542"/>
      <c r="K17" s="542"/>
      <c r="L17" s="542"/>
      <c r="M17" s="542"/>
      <c r="N17" s="542"/>
      <c r="O17" s="542"/>
      <c r="P17" s="542"/>
      <c r="Q17" s="597"/>
      <c r="R17" s="542"/>
      <c r="S17" s="542"/>
      <c r="T17" s="598">
        <v>38552</v>
      </c>
      <c r="U17" s="416"/>
      <c r="V17" s="405"/>
    </row>
    <row r="18" spans="1:22" x14ac:dyDescent="0.3">
      <c r="A18" s="407"/>
      <c r="B18" s="545" t="s">
        <v>5</v>
      </c>
      <c r="C18" s="542"/>
      <c r="D18" s="542"/>
      <c r="E18" s="542"/>
      <c r="F18" s="542"/>
      <c r="G18" s="542"/>
      <c r="H18" s="542"/>
      <c r="I18" s="542"/>
      <c r="J18" s="542"/>
      <c r="K18" s="542"/>
      <c r="L18" s="542"/>
      <c r="M18" s="542"/>
      <c r="N18" s="542"/>
      <c r="O18" s="542"/>
      <c r="P18" s="542"/>
      <c r="Q18" s="542"/>
      <c r="R18" s="542"/>
      <c r="S18" s="542"/>
      <c r="T18" s="598">
        <v>43879</v>
      </c>
      <c r="U18" s="416"/>
      <c r="V18" s="405"/>
    </row>
    <row r="19" spans="1:22" x14ac:dyDescent="0.3">
      <c r="A19" s="407"/>
      <c r="B19" s="542"/>
      <c r="C19" s="542"/>
      <c r="D19" s="542"/>
      <c r="E19" s="542"/>
      <c r="F19" s="542"/>
      <c r="G19" s="542"/>
      <c r="H19" s="542"/>
      <c r="I19" s="542"/>
      <c r="J19" s="542"/>
      <c r="K19" s="542"/>
      <c r="L19" s="542"/>
      <c r="M19" s="542"/>
      <c r="N19" s="542"/>
      <c r="O19" s="542"/>
      <c r="P19" s="542"/>
      <c r="Q19" s="542"/>
      <c r="R19" s="542"/>
      <c r="S19" s="542"/>
      <c r="T19" s="599"/>
      <c r="U19" s="409"/>
      <c r="V19" s="405"/>
    </row>
    <row r="20" spans="1:22" x14ac:dyDescent="0.3">
      <c r="A20" s="407"/>
      <c r="B20" s="600" t="s">
        <v>6</v>
      </c>
      <c r="C20" s="542"/>
      <c r="D20" s="542"/>
      <c r="E20" s="542"/>
      <c r="F20" s="542"/>
      <c r="G20" s="542"/>
      <c r="H20" s="542"/>
      <c r="I20" s="542"/>
      <c r="J20" s="542"/>
      <c r="K20" s="542"/>
      <c r="L20" s="542"/>
      <c r="M20" s="542"/>
      <c r="N20" s="542"/>
      <c r="O20" s="542"/>
      <c r="P20" s="542"/>
      <c r="Q20" s="542"/>
      <c r="R20" s="599" t="s">
        <v>111</v>
      </c>
      <c r="S20" s="542"/>
      <c r="T20" s="542"/>
      <c r="U20" s="409"/>
      <c r="V20" s="405"/>
    </row>
    <row r="21" spans="1:22" x14ac:dyDescent="0.3">
      <c r="A21" s="407"/>
      <c r="B21" s="409"/>
      <c r="C21" s="409"/>
      <c r="D21" s="409"/>
      <c r="E21" s="409"/>
      <c r="F21" s="409"/>
      <c r="G21" s="409"/>
      <c r="H21" s="409"/>
      <c r="I21" s="409"/>
      <c r="J21" s="409"/>
      <c r="K21" s="409"/>
      <c r="L21" s="409"/>
      <c r="M21" s="409"/>
      <c r="N21" s="409"/>
      <c r="O21" s="409"/>
      <c r="P21" s="409"/>
      <c r="Q21" s="409"/>
      <c r="R21" s="409"/>
      <c r="S21" s="409"/>
      <c r="T21" s="417"/>
      <c r="U21" s="409"/>
      <c r="V21" s="405"/>
    </row>
    <row r="22" spans="1:22" x14ac:dyDescent="0.3">
      <c r="A22" s="503"/>
      <c r="B22" s="608"/>
      <c r="C22" s="609"/>
      <c r="D22" s="609" t="s">
        <v>185</v>
      </c>
      <c r="E22" s="609"/>
      <c r="F22" s="609" t="s">
        <v>186</v>
      </c>
      <c r="G22" s="609"/>
      <c r="H22" s="609" t="s">
        <v>187</v>
      </c>
      <c r="I22" s="609"/>
      <c r="J22" s="609" t="s">
        <v>188</v>
      </c>
      <c r="K22" s="609"/>
      <c r="L22" s="609" t="s">
        <v>189</v>
      </c>
      <c r="M22" s="609"/>
      <c r="N22" s="609" t="s">
        <v>190</v>
      </c>
      <c r="O22" s="609"/>
      <c r="P22" s="609" t="s">
        <v>191</v>
      </c>
      <c r="Q22" s="610"/>
      <c r="R22" s="610"/>
      <c r="S22" s="608"/>
      <c r="T22" s="608"/>
      <c r="U22" s="611"/>
      <c r="V22" s="405"/>
    </row>
    <row r="23" spans="1:22" x14ac:dyDescent="0.3">
      <c r="A23" s="604"/>
      <c r="B23" s="605" t="s">
        <v>7</v>
      </c>
      <c r="C23" s="606"/>
      <c r="D23" s="606" t="s">
        <v>150</v>
      </c>
      <c r="E23" s="606"/>
      <c r="F23" s="606" t="s">
        <v>150</v>
      </c>
      <c r="G23" s="606"/>
      <c r="H23" s="606" t="s">
        <v>150</v>
      </c>
      <c r="I23" s="606"/>
      <c r="J23" s="606" t="s">
        <v>192</v>
      </c>
      <c r="K23" s="606"/>
      <c r="L23" s="606" t="s">
        <v>192</v>
      </c>
      <c r="M23" s="606"/>
      <c r="N23" s="606" t="s">
        <v>151</v>
      </c>
      <c r="O23" s="606"/>
      <c r="P23" s="606" t="s">
        <v>151</v>
      </c>
      <c r="Q23" s="606"/>
      <c r="R23" s="606"/>
      <c r="S23" s="605"/>
      <c r="T23" s="605"/>
      <c r="U23" s="607"/>
      <c r="V23" s="405"/>
    </row>
    <row r="24" spans="1:22" x14ac:dyDescent="0.3">
      <c r="A24" s="418"/>
      <c r="B24" s="532" t="s">
        <v>8</v>
      </c>
      <c r="C24" s="582"/>
      <c r="D24" s="582" t="s">
        <v>152</v>
      </c>
      <c r="E24" s="582"/>
      <c r="F24" s="582" t="s">
        <v>152</v>
      </c>
      <c r="G24" s="582"/>
      <c r="H24" s="582" t="s">
        <v>152</v>
      </c>
      <c r="I24" s="582"/>
      <c r="J24" s="582" t="s">
        <v>193</v>
      </c>
      <c r="K24" s="582"/>
      <c r="L24" s="582" t="s">
        <v>193</v>
      </c>
      <c r="M24" s="582"/>
      <c r="N24" s="582" t="s">
        <v>153</v>
      </c>
      <c r="O24" s="582"/>
      <c r="P24" s="582" t="s">
        <v>153</v>
      </c>
      <c r="Q24" s="582"/>
      <c r="R24" s="582"/>
      <c r="S24" s="532"/>
      <c r="T24" s="532"/>
      <c r="U24" s="420"/>
      <c r="V24" s="405"/>
    </row>
    <row r="25" spans="1:22" x14ac:dyDescent="0.3">
      <c r="A25" s="421"/>
      <c r="B25" s="536" t="s">
        <v>9</v>
      </c>
      <c r="C25" s="583"/>
      <c r="D25" s="583" t="s">
        <v>329</v>
      </c>
      <c r="E25" s="583"/>
      <c r="F25" s="583" t="s">
        <v>329</v>
      </c>
      <c r="G25" s="583"/>
      <c r="H25" s="583" t="s">
        <v>329</v>
      </c>
      <c r="I25" s="583"/>
      <c r="J25" s="583" t="s">
        <v>334</v>
      </c>
      <c r="K25" s="583"/>
      <c r="L25" s="583" t="s">
        <v>334</v>
      </c>
      <c r="M25" s="583"/>
      <c r="N25" s="583" t="s">
        <v>330</v>
      </c>
      <c r="O25" s="583"/>
      <c r="P25" s="583" t="s">
        <v>330</v>
      </c>
      <c r="Q25" s="583"/>
      <c r="R25" s="582"/>
      <c r="S25" s="532"/>
      <c r="T25" s="532"/>
      <c r="U25" s="420"/>
      <c r="V25" s="405"/>
    </row>
    <row r="26" spans="1:22" x14ac:dyDescent="0.3">
      <c r="A26" s="421"/>
      <c r="B26" s="536" t="s">
        <v>10</v>
      </c>
      <c r="C26" s="583"/>
      <c r="D26" s="583" t="s">
        <v>153</v>
      </c>
      <c r="E26" s="583"/>
      <c r="F26" s="583" t="s">
        <v>153</v>
      </c>
      <c r="G26" s="583"/>
      <c r="H26" s="583" t="s">
        <v>153</v>
      </c>
      <c r="I26" s="583"/>
      <c r="J26" s="583" t="s">
        <v>153</v>
      </c>
      <c r="K26" s="583"/>
      <c r="L26" s="583" t="s">
        <v>153</v>
      </c>
      <c r="M26" s="583"/>
      <c r="N26" s="583" t="s">
        <v>153</v>
      </c>
      <c r="O26" s="583"/>
      <c r="P26" s="583" t="s">
        <v>153</v>
      </c>
      <c r="Q26" s="583"/>
      <c r="R26" s="582"/>
      <c r="S26" s="532"/>
      <c r="T26" s="532"/>
      <c r="U26" s="420"/>
      <c r="V26" s="405"/>
    </row>
    <row r="27" spans="1:22" x14ac:dyDescent="0.3">
      <c r="A27" s="418"/>
      <c r="B27" s="532" t="s">
        <v>11</v>
      </c>
      <c r="C27" s="582"/>
      <c r="D27" s="582" t="s">
        <v>194</v>
      </c>
      <c r="E27" s="582"/>
      <c r="F27" s="552" t="s">
        <v>195</v>
      </c>
      <c r="G27" s="582"/>
      <c r="H27" s="582" t="s">
        <v>196</v>
      </c>
      <c r="I27" s="582"/>
      <c r="J27" s="582" t="s">
        <v>198</v>
      </c>
      <c r="K27" s="582"/>
      <c r="L27" s="582" t="s">
        <v>199</v>
      </c>
      <c r="M27" s="582"/>
      <c r="N27" s="582" t="s">
        <v>200</v>
      </c>
      <c r="O27" s="582"/>
      <c r="P27" s="582" t="s">
        <v>201</v>
      </c>
      <c r="Q27" s="582"/>
      <c r="R27" s="552"/>
      <c r="S27" s="532"/>
      <c r="T27" s="532"/>
      <c r="U27" s="420"/>
      <c r="V27" s="405"/>
    </row>
    <row r="28" spans="1:22" x14ac:dyDescent="0.3">
      <c r="A28" s="418"/>
      <c r="B28" s="532" t="s">
        <v>11</v>
      </c>
      <c r="C28" s="582"/>
      <c r="D28" s="582" t="s">
        <v>127</v>
      </c>
      <c r="E28" s="582"/>
      <c r="F28" s="552" t="s">
        <v>127</v>
      </c>
      <c r="G28" s="582"/>
      <c r="H28" s="582" t="s">
        <v>197</v>
      </c>
      <c r="I28" s="582"/>
      <c r="J28" s="582" t="s">
        <v>127</v>
      </c>
      <c r="K28" s="582"/>
      <c r="L28" s="582" t="s">
        <v>127</v>
      </c>
      <c r="M28" s="582"/>
      <c r="N28" s="582" t="s">
        <v>127</v>
      </c>
      <c r="O28" s="582"/>
      <c r="P28" s="582" t="s">
        <v>127</v>
      </c>
      <c r="Q28" s="582"/>
      <c r="R28" s="552"/>
      <c r="S28" s="532"/>
      <c r="T28" s="532"/>
      <c r="U28" s="420"/>
      <c r="V28" s="405"/>
    </row>
    <row r="29" spans="1:22" x14ac:dyDescent="0.3">
      <c r="A29" s="418"/>
      <c r="B29" s="532" t="s">
        <v>142</v>
      </c>
      <c r="C29" s="584"/>
      <c r="D29" s="577">
        <v>346000</v>
      </c>
      <c r="E29" s="584"/>
      <c r="F29" s="585">
        <v>355000</v>
      </c>
      <c r="G29" s="577"/>
      <c r="H29" s="586">
        <v>60000</v>
      </c>
      <c r="I29" s="577"/>
      <c r="J29" s="577">
        <v>7000</v>
      </c>
      <c r="K29" s="577"/>
      <c r="L29" s="585">
        <v>29500</v>
      </c>
      <c r="M29" s="577"/>
      <c r="N29" s="587">
        <v>3000</v>
      </c>
      <c r="O29" s="577"/>
      <c r="P29" s="585">
        <v>66000</v>
      </c>
      <c r="Q29" s="577"/>
      <c r="R29" s="577"/>
      <c r="S29" s="584"/>
      <c r="T29" s="577"/>
      <c r="U29" s="423"/>
      <c r="V29" s="405"/>
    </row>
    <row r="30" spans="1:22" x14ac:dyDescent="0.3">
      <c r="A30" s="418"/>
      <c r="B30" s="532" t="s">
        <v>141</v>
      </c>
      <c r="C30" s="584"/>
      <c r="D30" s="577">
        <f>D29*D36</f>
        <v>87529.419200000004</v>
      </c>
      <c r="E30" s="584"/>
      <c r="F30" s="585">
        <f>F29*F36</f>
        <v>89806.196000000011</v>
      </c>
      <c r="G30" s="577"/>
      <c r="H30" s="586">
        <f>H29*H36</f>
        <v>15178.361999999999</v>
      </c>
      <c r="I30" s="577"/>
      <c r="J30" s="577">
        <f>J29*J36</f>
        <v>4029.4996000000001</v>
      </c>
      <c r="K30" s="577"/>
      <c r="L30" s="585">
        <f>L29*L36</f>
        <v>16981.462599999999</v>
      </c>
      <c r="M30" s="577"/>
      <c r="N30" s="587">
        <f>N29*N36</f>
        <v>1726.9284</v>
      </c>
      <c r="O30" s="577"/>
      <c r="P30" s="585">
        <f>P29*P36</f>
        <v>37992.424800000001</v>
      </c>
      <c r="Q30" s="577"/>
      <c r="R30" s="577"/>
      <c r="S30" s="584"/>
      <c r="T30" s="577"/>
      <c r="U30" s="423"/>
      <c r="V30" s="405"/>
    </row>
    <row r="31" spans="1:22" x14ac:dyDescent="0.3">
      <c r="A31" s="421"/>
      <c r="B31" s="536" t="s">
        <v>143</v>
      </c>
      <c r="C31" s="588"/>
      <c r="D31" s="589">
        <f>D35*D29</f>
        <v>0</v>
      </c>
      <c r="E31" s="588"/>
      <c r="F31" s="590">
        <f>F35*F29</f>
        <v>0</v>
      </c>
      <c r="G31" s="589"/>
      <c r="H31" s="591">
        <f>H35*H29</f>
        <v>0</v>
      </c>
      <c r="I31" s="589"/>
      <c r="J31" s="589">
        <f>J35*J29</f>
        <v>0</v>
      </c>
      <c r="K31" s="589"/>
      <c r="L31" s="590">
        <f>L35*L29</f>
        <v>0</v>
      </c>
      <c r="M31" s="589"/>
      <c r="N31" s="592">
        <f>N35*N29</f>
        <v>0</v>
      </c>
      <c r="O31" s="589"/>
      <c r="P31" s="590">
        <f>P35*P29</f>
        <v>0</v>
      </c>
      <c r="Q31" s="589"/>
      <c r="R31" s="589"/>
      <c r="S31" s="588"/>
      <c r="T31" s="589"/>
      <c r="U31" s="423"/>
      <c r="V31" s="405"/>
    </row>
    <row r="32" spans="1:22" x14ac:dyDescent="0.3">
      <c r="A32" s="418"/>
      <c r="B32" s="532" t="s">
        <v>289</v>
      </c>
      <c r="C32" s="584"/>
      <c r="D32" s="577">
        <v>346000</v>
      </c>
      <c r="E32" s="584"/>
      <c r="F32" s="577">
        <v>244500</v>
      </c>
      <c r="G32" s="577"/>
      <c r="H32" s="577">
        <v>33900</v>
      </c>
      <c r="I32" s="577"/>
      <c r="J32" s="577">
        <v>7000</v>
      </c>
      <c r="K32" s="577"/>
      <c r="L32" s="577">
        <v>20300</v>
      </c>
      <c r="M32" s="577"/>
      <c r="N32" s="577">
        <v>3000</v>
      </c>
      <c r="O32" s="577"/>
      <c r="P32" s="577">
        <v>45300</v>
      </c>
      <c r="Q32" s="577"/>
      <c r="R32" s="577"/>
      <c r="S32" s="584"/>
      <c r="T32" s="577">
        <f>SUM(C32:P32)</f>
        <v>700000</v>
      </c>
      <c r="U32" s="423"/>
      <c r="V32" s="405"/>
    </row>
    <row r="33" spans="1:22" x14ac:dyDescent="0.3">
      <c r="A33" s="418"/>
      <c r="B33" s="532" t="s">
        <v>290</v>
      </c>
      <c r="C33" s="584"/>
      <c r="D33" s="577">
        <f>D32*D36</f>
        <v>87529.419200000004</v>
      </c>
      <c r="E33" s="584"/>
      <c r="F33" s="577">
        <f>F32*F36</f>
        <v>61852.436400000006</v>
      </c>
      <c r="G33" s="577"/>
      <c r="H33" s="577">
        <f>H32*H36</f>
        <v>8575.7745300000006</v>
      </c>
      <c r="I33" s="577"/>
      <c r="J33" s="577">
        <f>J32*J36</f>
        <v>4029.4996000000001</v>
      </c>
      <c r="K33" s="577"/>
      <c r="L33" s="577">
        <f>L32*L36</f>
        <v>11685.548839999999</v>
      </c>
      <c r="M33" s="577"/>
      <c r="N33" s="577">
        <f>N32*N36</f>
        <v>1726.9284</v>
      </c>
      <c r="O33" s="577"/>
      <c r="P33" s="577">
        <f>P32*P36</f>
        <v>26076.618839999999</v>
      </c>
      <c r="Q33" s="577"/>
      <c r="R33" s="577"/>
      <c r="S33" s="584"/>
      <c r="T33" s="577">
        <f>SUM(C33:P33)</f>
        <v>201476.22581000003</v>
      </c>
      <c r="U33" s="423"/>
      <c r="V33" s="405"/>
    </row>
    <row r="34" spans="1:22" x14ac:dyDescent="0.3">
      <c r="A34" s="421"/>
      <c r="B34" s="536" t="s">
        <v>291</v>
      </c>
      <c r="C34" s="588"/>
      <c r="D34" s="589">
        <f>D35*D32</f>
        <v>0</v>
      </c>
      <c r="E34" s="588"/>
      <c r="F34" s="589">
        <f>F35*F32</f>
        <v>0</v>
      </c>
      <c r="G34" s="589"/>
      <c r="H34" s="589">
        <f>H35*H32</f>
        <v>0</v>
      </c>
      <c r="I34" s="589"/>
      <c r="J34" s="589">
        <f>J35*J32</f>
        <v>0</v>
      </c>
      <c r="K34" s="589"/>
      <c r="L34" s="589">
        <f>L35*L32</f>
        <v>0</v>
      </c>
      <c r="M34" s="589"/>
      <c r="N34" s="589">
        <f>N35*N32</f>
        <v>0</v>
      </c>
      <c r="O34" s="589"/>
      <c r="P34" s="589">
        <f>P35*P32</f>
        <v>0</v>
      </c>
      <c r="Q34" s="589"/>
      <c r="R34" s="589"/>
      <c r="S34" s="588"/>
      <c r="T34" s="589">
        <f>SUM(C34:P34)</f>
        <v>0</v>
      </c>
      <c r="U34" s="423"/>
      <c r="V34" s="405"/>
    </row>
    <row r="35" spans="1:22" x14ac:dyDescent="0.3">
      <c r="A35" s="421"/>
      <c r="B35" s="514" t="s">
        <v>139</v>
      </c>
      <c r="C35" s="515"/>
      <c r="D35" s="516">
        <v>0</v>
      </c>
      <c r="E35" s="517"/>
      <c r="F35" s="516">
        <v>0</v>
      </c>
      <c r="G35" s="516"/>
      <c r="H35" s="516">
        <v>0</v>
      </c>
      <c r="I35" s="518"/>
      <c r="J35" s="516">
        <v>0</v>
      </c>
      <c r="K35" s="516"/>
      <c r="L35" s="516">
        <v>0</v>
      </c>
      <c r="M35" s="518"/>
      <c r="N35" s="516">
        <v>0</v>
      </c>
      <c r="O35" s="516"/>
      <c r="P35" s="516">
        <v>0</v>
      </c>
      <c r="Q35" s="424"/>
      <c r="R35" s="424"/>
      <c r="S35" s="425"/>
      <c r="T35" s="424"/>
      <c r="U35" s="426"/>
      <c r="V35" s="405"/>
    </row>
    <row r="36" spans="1:22" x14ac:dyDescent="0.3">
      <c r="A36" s="421"/>
      <c r="B36" s="514" t="s">
        <v>140</v>
      </c>
      <c r="C36" s="515"/>
      <c r="D36" s="516">
        <v>0.25297520000000001</v>
      </c>
      <c r="E36" s="517"/>
      <c r="F36" s="516">
        <v>0.25297520000000001</v>
      </c>
      <c r="G36" s="516"/>
      <c r="H36" s="516">
        <v>0.25297269999999999</v>
      </c>
      <c r="I36" s="518"/>
      <c r="J36" s="516">
        <v>0.57564280000000001</v>
      </c>
      <c r="K36" s="516"/>
      <c r="L36" s="516">
        <v>0.57564280000000001</v>
      </c>
      <c r="M36" s="518"/>
      <c r="N36" s="516">
        <v>0.57564280000000001</v>
      </c>
      <c r="O36" s="516"/>
      <c r="P36" s="516">
        <v>0.57564280000000001</v>
      </c>
      <c r="Q36" s="427"/>
      <c r="R36" s="427"/>
      <c r="S36" s="425"/>
      <c r="T36" s="424"/>
      <c r="U36" s="426"/>
      <c r="V36" s="405"/>
    </row>
    <row r="37" spans="1:22" x14ac:dyDescent="0.3">
      <c r="A37" s="428"/>
      <c r="B37" s="532" t="s">
        <v>12</v>
      </c>
      <c r="C37" s="532"/>
      <c r="D37" s="552" t="s">
        <v>166</v>
      </c>
      <c r="E37" s="532"/>
      <c r="F37" s="552" t="s">
        <v>166</v>
      </c>
      <c r="G37" s="552"/>
      <c r="H37" s="552" t="s">
        <v>166</v>
      </c>
      <c r="I37" s="552"/>
      <c r="J37" s="552" t="s">
        <v>204</v>
      </c>
      <c r="K37" s="552"/>
      <c r="L37" s="552" t="s">
        <v>204</v>
      </c>
      <c r="M37" s="552"/>
      <c r="N37" s="552" t="s">
        <v>205</v>
      </c>
      <c r="O37" s="552"/>
      <c r="P37" s="552" t="s">
        <v>205</v>
      </c>
      <c r="Q37" s="552"/>
      <c r="R37" s="552"/>
      <c r="S37" s="532"/>
      <c r="T37" s="532"/>
      <c r="U37" s="562"/>
      <c r="V37" s="405"/>
    </row>
    <row r="38" spans="1:22" x14ac:dyDescent="0.3">
      <c r="A38" s="428"/>
      <c r="B38" s="532" t="s">
        <v>13</v>
      </c>
      <c r="C38" s="532"/>
      <c r="D38" s="574">
        <v>1.14713E-2</v>
      </c>
      <c r="E38" s="532"/>
      <c r="F38" s="574">
        <v>0</v>
      </c>
      <c r="G38" s="558"/>
      <c r="H38" s="574">
        <v>2.2698800000000002E-2</v>
      </c>
      <c r="I38" s="558"/>
      <c r="J38" s="574">
        <v>1.3671300000000001E-2</v>
      </c>
      <c r="K38" s="558"/>
      <c r="L38" s="574">
        <v>1.7799999999999999E-3</v>
      </c>
      <c r="M38" s="558"/>
      <c r="N38" s="574">
        <v>1.8271300000000001E-2</v>
      </c>
      <c r="O38" s="558"/>
      <c r="P38" s="574">
        <v>6.3800000000000003E-3</v>
      </c>
      <c r="Q38" s="558"/>
      <c r="R38" s="574"/>
      <c r="S38" s="532"/>
      <c r="T38" s="558"/>
      <c r="U38" s="562"/>
      <c r="V38" s="405"/>
    </row>
    <row r="39" spans="1:22" x14ac:dyDescent="0.3">
      <c r="A39" s="428"/>
      <c r="B39" s="532" t="s">
        <v>14</v>
      </c>
      <c r="C39" s="532"/>
      <c r="D39" s="574">
        <v>1.1281299999999999E-2</v>
      </c>
      <c r="E39" s="532"/>
      <c r="F39" s="574">
        <v>0</v>
      </c>
      <c r="G39" s="558"/>
      <c r="H39" s="574">
        <v>2.51813E-2</v>
      </c>
      <c r="I39" s="558"/>
      <c r="J39" s="574">
        <v>1.34813E-2</v>
      </c>
      <c r="K39" s="558"/>
      <c r="L39" s="574">
        <v>1.7799999999999999E-3</v>
      </c>
      <c r="M39" s="558"/>
      <c r="N39" s="574">
        <v>1.8081300000000002E-2</v>
      </c>
      <c r="O39" s="558"/>
      <c r="P39" s="574">
        <v>6.3800000000000003E-3</v>
      </c>
      <c r="Q39" s="558"/>
      <c r="R39" s="574"/>
      <c r="S39" s="532"/>
      <c r="T39" s="532"/>
      <c r="U39" s="562"/>
      <c r="V39" s="405"/>
    </row>
    <row r="40" spans="1:22" x14ac:dyDescent="0.3">
      <c r="A40" s="428"/>
      <c r="B40" s="532" t="s">
        <v>292</v>
      </c>
      <c r="C40" s="532"/>
      <c r="D40" s="552" t="s">
        <v>166</v>
      </c>
      <c r="E40" s="532"/>
      <c r="F40" s="552" t="s">
        <v>209</v>
      </c>
      <c r="G40" s="552"/>
      <c r="H40" s="552" t="s">
        <v>210</v>
      </c>
      <c r="I40" s="552"/>
      <c r="J40" s="552" t="s">
        <v>204</v>
      </c>
      <c r="K40" s="552"/>
      <c r="L40" s="552" t="s">
        <v>211</v>
      </c>
      <c r="M40" s="552"/>
      <c r="N40" s="552" t="s">
        <v>205</v>
      </c>
      <c r="O40" s="552"/>
      <c r="P40" s="552" t="s">
        <v>212</v>
      </c>
      <c r="Q40" s="558"/>
      <c r="R40" s="574"/>
      <c r="S40" s="532"/>
      <c r="T40" s="558"/>
      <c r="U40" s="562"/>
      <c r="V40" s="405"/>
    </row>
    <row r="41" spans="1:22" x14ac:dyDescent="0.3">
      <c r="A41" s="428"/>
      <c r="B41" s="532" t="s">
        <v>293</v>
      </c>
      <c r="C41" s="532"/>
      <c r="D41" s="574">
        <f>+D38</f>
        <v>1.14713E-2</v>
      </c>
      <c r="E41" s="532"/>
      <c r="F41" s="574">
        <v>1.1671300000000001E-2</v>
      </c>
      <c r="G41" s="558"/>
      <c r="H41" s="574">
        <v>1.1931300000000001E-2</v>
      </c>
      <c r="I41" s="558"/>
      <c r="J41" s="574">
        <f>+J38</f>
        <v>1.3671300000000001E-2</v>
      </c>
      <c r="K41" s="558"/>
      <c r="L41" s="574">
        <v>1.4261299999999999E-2</v>
      </c>
      <c r="M41" s="558"/>
      <c r="N41" s="574">
        <f>+N38</f>
        <v>1.8271300000000001E-2</v>
      </c>
      <c r="O41" s="558"/>
      <c r="P41" s="574">
        <v>1.91513E-2</v>
      </c>
      <c r="Q41" s="558"/>
      <c r="R41" s="574"/>
      <c r="S41" s="532"/>
      <c r="T41" s="558">
        <f>SUMPRODUCT(D41:P41,D33:P33)/T33</f>
        <v>1.2810388364763326E-2</v>
      </c>
      <c r="U41" s="562"/>
      <c r="V41" s="405"/>
    </row>
    <row r="42" spans="1:22" x14ac:dyDescent="0.3">
      <c r="A42" s="428"/>
      <c r="B42" s="532" t="s">
        <v>294</v>
      </c>
      <c r="C42" s="532"/>
      <c r="D42" s="574">
        <f>+D39</f>
        <v>1.1281299999999999E-2</v>
      </c>
      <c r="E42" s="532"/>
      <c r="F42" s="574">
        <v>1.14813E-2</v>
      </c>
      <c r="G42" s="558"/>
      <c r="H42" s="574">
        <v>1.17413E-2</v>
      </c>
      <c r="I42" s="558"/>
      <c r="J42" s="574">
        <f>+J39</f>
        <v>1.34813E-2</v>
      </c>
      <c r="K42" s="558"/>
      <c r="L42" s="574">
        <v>1.40713E-2</v>
      </c>
      <c r="M42" s="558"/>
      <c r="N42" s="574">
        <f>+N39</f>
        <v>1.8081300000000002E-2</v>
      </c>
      <c r="O42" s="558"/>
      <c r="P42" s="574">
        <v>1.89613E-2</v>
      </c>
      <c r="Q42" s="558"/>
      <c r="R42" s="574"/>
      <c r="S42" s="532"/>
      <c r="T42" s="532"/>
      <c r="U42" s="562"/>
      <c r="V42" s="405"/>
    </row>
    <row r="43" spans="1:22" x14ac:dyDescent="0.3">
      <c r="A43" s="428"/>
      <c r="B43" s="532" t="s">
        <v>15</v>
      </c>
      <c r="C43" s="575"/>
      <c r="D43" s="575">
        <v>39948</v>
      </c>
      <c r="E43" s="575"/>
      <c r="F43" s="575">
        <v>39948</v>
      </c>
      <c r="G43" s="575"/>
      <c r="H43" s="575">
        <v>39948</v>
      </c>
      <c r="I43" s="575"/>
      <c r="J43" s="575">
        <v>39948</v>
      </c>
      <c r="K43" s="575"/>
      <c r="L43" s="575">
        <v>39948</v>
      </c>
      <c r="M43" s="575"/>
      <c r="N43" s="575">
        <v>39948</v>
      </c>
      <c r="O43" s="575"/>
      <c r="P43" s="575">
        <v>39948</v>
      </c>
      <c r="Q43" s="552"/>
      <c r="R43" s="552"/>
      <c r="S43" s="532"/>
      <c r="T43" s="532"/>
      <c r="U43" s="562"/>
      <c r="V43" s="405"/>
    </row>
    <row r="44" spans="1:22" x14ac:dyDescent="0.3">
      <c r="A44" s="428"/>
      <c r="B44" s="532" t="s">
        <v>16</v>
      </c>
      <c r="C44" s="575"/>
      <c r="D44" s="575">
        <v>40313</v>
      </c>
      <c r="E44" s="575"/>
      <c r="F44" s="575">
        <v>40313</v>
      </c>
      <c r="G44" s="575"/>
      <c r="H44" s="575">
        <v>40313</v>
      </c>
      <c r="I44" s="552"/>
      <c r="J44" s="575">
        <v>40313</v>
      </c>
      <c r="K44" s="552"/>
      <c r="L44" s="575">
        <v>40313</v>
      </c>
      <c r="M44" s="552"/>
      <c r="N44" s="575">
        <v>40313</v>
      </c>
      <c r="O44" s="552"/>
      <c r="P44" s="575">
        <v>40313</v>
      </c>
      <c r="Q44" s="552"/>
      <c r="R44" s="552"/>
      <c r="S44" s="532"/>
      <c r="T44" s="532"/>
      <c r="U44" s="562"/>
      <c r="V44" s="405"/>
    </row>
    <row r="45" spans="1:22" x14ac:dyDescent="0.3">
      <c r="A45" s="428"/>
      <c r="B45" s="532" t="s">
        <v>128</v>
      </c>
      <c r="C45" s="532"/>
      <c r="D45" s="552" t="s">
        <v>166</v>
      </c>
      <c r="E45" s="532"/>
      <c r="F45" s="552" t="s">
        <v>166</v>
      </c>
      <c r="G45" s="552"/>
      <c r="H45" s="552" t="s">
        <v>166</v>
      </c>
      <c r="I45" s="552"/>
      <c r="J45" s="552" t="s">
        <v>204</v>
      </c>
      <c r="K45" s="552"/>
      <c r="L45" s="552" t="s">
        <v>204</v>
      </c>
      <c r="M45" s="552"/>
      <c r="N45" s="552" t="s">
        <v>205</v>
      </c>
      <c r="O45" s="552"/>
      <c r="P45" s="552" t="s">
        <v>205</v>
      </c>
      <c r="Q45" s="552"/>
      <c r="R45" s="552"/>
      <c r="S45" s="532"/>
      <c r="T45" s="532"/>
      <c r="U45" s="562"/>
      <c r="V45" s="405"/>
    </row>
    <row r="46" spans="1:22" x14ac:dyDescent="0.3">
      <c r="A46" s="428"/>
      <c r="B46" s="532" t="s">
        <v>295</v>
      </c>
      <c r="C46" s="532"/>
      <c r="D46" s="552" t="s">
        <v>166</v>
      </c>
      <c r="E46" s="532"/>
      <c r="F46" s="552" t="s">
        <v>209</v>
      </c>
      <c r="G46" s="552"/>
      <c r="H46" s="552" t="s">
        <v>210</v>
      </c>
      <c r="I46" s="552"/>
      <c r="J46" s="552" t="s">
        <v>204</v>
      </c>
      <c r="K46" s="552"/>
      <c r="L46" s="552" t="s">
        <v>211</v>
      </c>
      <c r="M46" s="552"/>
      <c r="N46" s="552" t="s">
        <v>205</v>
      </c>
      <c r="O46" s="552"/>
      <c r="P46" s="552" t="s">
        <v>212</v>
      </c>
      <c r="Q46" s="552"/>
      <c r="R46" s="552"/>
      <c r="S46" s="532"/>
      <c r="T46" s="532"/>
      <c r="U46" s="562"/>
      <c r="V46" s="405"/>
    </row>
    <row r="47" spans="1:22" x14ac:dyDescent="0.3">
      <c r="A47" s="428"/>
      <c r="B47" s="532"/>
      <c r="C47" s="532"/>
      <c r="D47" s="532"/>
      <c r="E47" s="532"/>
      <c r="F47" s="552"/>
      <c r="G47" s="552"/>
      <c r="H47" s="550"/>
      <c r="I47" s="550"/>
      <c r="J47" s="550"/>
      <c r="K47" s="550"/>
      <c r="L47" s="550"/>
      <c r="M47" s="550"/>
      <c r="N47" s="550"/>
      <c r="O47" s="550"/>
      <c r="P47" s="550"/>
      <c r="Q47" s="550"/>
      <c r="R47" s="550"/>
      <c r="S47" s="550"/>
      <c r="T47" s="550"/>
      <c r="U47" s="562"/>
      <c r="V47" s="405"/>
    </row>
    <row r="48" spans="1:22" x14ac:dyDescent="0.3">
      <c r="A48" s="428"/>
      <c r="B48" s="532" t="s">
        <v>224</v>
      </c>
      <c r="C48" s="532"/>
      <c r="D48" s="532"/>
      <c r="E48" s="532"/>
      <c r="F48" s="576"/>
      <c r="G48" s="532"/>
      <c r="H48" s="532"/>
      <c r="I48" s="532"/>
      <c r="J48" s="532"/>
      <c r="K48" s="532"/>
      <c r="L48" s="532"/>
      <c r="M48" s="532"/>
      <c r="N48" s="532"/>
      <c r="O48" s="532"/>
      <c r="P48" s="532"/>
      <c r="Q48" s="532"/>
      <c r="R48" s="532"/>
      <c r="S48" s="532"/>
      <c r="T48" s="558">
        <f>SUM(J32:P32)/SUM(D32:H32)</f>
        <v>0.1210762331838565</v>
      </c>
      <c r="U48" s="562"/>
      <c r="V48" s="405"/>
    </row>
    <row r="49" spans="1:23" x14ac:dyDescent="0.3">
      <c r="A49" s="428"/>
      <c r="B49" s="532" t="s">
        <v>225</v>
      </c>
      <c r="C49" s="532"/>
      <c r="D49" s="532"/>
      <c r="E49" s="532"/>
      <c r="F49" s="576"/>
      <c r="G49" s="532"/>
      <c r="H49" s="532"/>
      <c r="I49" s="532"/>
      <c r="J49" s="532"/>
      <c r="K49" s="532"/>
      <c r="L49" s="532"/>
      <c r="M49" s="532"/>
      <c r="N49" s="532"/>
      <c r="O49" s="532"/>
      <c r="P49" s="532"/>
      <c r="Q49" s="532"/>
      <c r="R49" s="532"/>
      <c r="S49" s="532"/>
      <c r="T49" s="558" t="s">
        <v>116</v>
      </c>
      <c r="U49" s="562"/>
      <c r="V49" s="405"/>
    </row>
    <row r="50" spans="1:23" x14ac:dyDescent="0.3">
      <c r="A50" s="428"/>
      <c r="B50" s="532" t="s">
        <v>226</v>
      </c>
      <c r="C50" s="532"/>
      <c r="D50" s="532"/>
      <c r="E50" s="532"/>
      <c r="F50" s="532"/>
      <c r="G50" s="532"/>
      <c r="H50" s="532"/>
      <c r="I50" s="532"/>
      <c r="J50" s="532"/>
      <c r="K50" s="532"/>
      <c r="L50" s="532"/>
      <c r="M50" s="532"/>
      <c r="N50" s="532"/>
      <c r="O50" s="532"/>
      <c r="P50" s="532"/>
      <c r="Q50" s="532"/>
      <c r="R50" s="552" t="s">
        <v>112</v>
      </c>
      <c r="S50" s="552" t="s">
        <v>118</v>
      </c>
      <c r="T50" s="577">
        <f>+T32/2-SUM(J32:P32)</f>
        <v>274400</v>
      </c>
      <c r="U50" s="562"/>
      <c r="V50" s="405"/>
    </row>
    <row r="51" spans="1:23" x14ac:dyDescent="0.3">
      <c r="A51" s="428"/>
      <c r="B51" s="532"/>
      <c r="C51" s="532"/>
      <c r="D51" s="532"/>
      <c r="E51" s="532"/>
      <c r="F51" s="532"/>
      <c r="G51" s="532"/>
      <c r="H51" s="532"/>
      <c r="I51" s="532"/>
      <c r="J51" s="532"/>
      <c r="K51" s="532"/>
      <c r="L51" s="532"/>
      <c r="M51" s="532"/>
      <c r="N51" s="532"/>
      <c r="O51" s="532"/>
      <c r="P51" s="532"/>
      <c r="Q51" s="532"/>
      <c r="R51" s="532" t="s">
        <v>284</v>
      </c>
      <c r="S51" s="532"/>
      <c r="T51" s="560"/>
      <c r="U51" s="562"/>
      <c r="V51" s="405"/>
    </row>
    <row r="52" spans="1:23" x14ac:dyDescent="0.3">
      <c r="A52" s="428"/>
      <c r="B52" s="532" t="s">
        <v>154</v>
      </c>
      <c r="C52" s="532"/>
      <c r="D52" s="532"/>
      <c r="E52" s="532"/>
      <c r="F52" s="532"/>
      <c r="G52" s="532"/>
      <c r="H52" s="532"/>
      <c r="I52" s="532"/>
      <c r="J52" s="532"/>
      <c r="K52" s="532"/>
      <c r="L52" s="532"/>
      <c r="M52" s="532"/>
      <c r="N52" s="532"/>
      <c r="O52" s="532"/>
      <c r="P52" s="532"/>
      <c r="Q52" s="532"/>
      <c r="R52" s="552"/>
      <c r="S52" s="552"/>
      <c r="T52" s="552" t="s">
        <v>120</v>
      </c>
      <c r="U52" s="562"/>
      <c r="V52" s="405"/>
    </row>
    <row r="53" spans="1:23" x14ac:dyDescent="0.3">
      <c r="A53" s="428"/>
      <c r="B53" s="536" t="s">
        <v>155</v>
      </c>
      <c r="C53" s="536"/>
      <c r="D53" s="536"/>
      <c r="E53" s="536"/>
      <c r="F53" s="536"/>
      <c r="G53" s="536"/>
      <c r="H53" s="536"/>
      <c r="I53" s="536"/>
      <c r="J53" s="536"/>
      <c r="K53" s="536"/>
      <c r="L53" s="536"/>
      <c r="M53" s="536"/>
      <c r="N53" s="536"/>
      <c r="O53" s="536"/>
      <c r="P53" s="536"/>
      <c r="Q53" s="536"/>
      <c r="R53" s="557"/>
      <c r="S53" s="557"/>
      <c r="T53" s="578">
        <v>43879</v>
      </c>
      <c r="U53" s="562"/>
      <c r="V53" s="405"/>
    </row>
    <row r="54" spans="1:23" x14ac:dyDescent="0.3">
      <c r="A54" s="428"/>
      <c r="B54" s="532" t="s">
        <v>130</v>
      </c>
      <c r="C54" s="532"/>
      <c r="D54" s="532"/>
      <c r="E54" s="532"/>
      <c r="F54" s="532"/>
      <c r="G54" s="532"/>
      <c r="H54" s="579"/>
      <c r="I54" s="579"/>
      <c r="J54" s="579"/>
      <c r="K54" s="579"/>
      <c r="L54" s="579"/>
      <c r="M54" s="579"/>
      <c r="N54" s="579"/>
      <c r="O54" s="579"/>
      <c r="P54" s="532">
        <f>+T54-R54+1</f>
        <v>92</v>
      </c>
      <c r="Q54" s="532"/>
      <c r="R54" s="580">
        <v>43692</v>
      </c>
      <c r="S54" s="581"/>
      <c r="T54" s="580">
        <v>43783</v>
      </c>
      <c r="U54" s="562"/>
      <c r="V54" s="405"/>
    </row>
    <row r="55" spans="1:23" x14ac:dyDescent="0.3">
      <c r="A55" s="428"/>
      <c r="B55" s="532" t="s">
        <v>131</v>
      </c>
      <c r="C55" s="532"/>
      <c r="D55" s="532"/>
      <c r="E55" s="532"/>
      <c r="F55" s="532"/>
      <c r="G55" s="532"/>
      <c r="H55" s="532"/>
      <c r="I55" s="532"/>
      <c r="J55" s="532"/>
      <c r="K55" s="532"/>
      <c r="L55" s="532"/>
      <c r="M55" s="532"/>
      <c r="N55" s="532"/>
      <c r="O55" s="532"/>
      <c r="P55" s="532">
        <f>+T55-R55+1</f>
        <v>95</v>
      </c>
      <c r="Q55" s="532"/>
      <c r="R55" s="580">
        <v>43784</v>
      </c>
      <c r="S55" s="581"/>
      <c r="T55" s="580">
        <v>43878</v>
      </c>
      <c r="U55" s="562"/>
      <c r="V55" s="405"/>
    </row>
    <row r="56" spans="1:23" x14ac:dyDescent="0.3">
      <c r="A56" s="428"/>
      <c r="B56" s="532" t="s">
        <v>213</v>
      </c>
      <c r="C56" s="532"/>
      <c r="D56" s="532"/>
      <c r="E56" s="532"/>
      <c r="F56" s="532"/>
      <c r="G56" s="532"/>
      <c r="H56" s="532"/>
      <c r="I56" s="532"/>
      <c r="J56" s="532"/>
      <c r="K56" s="532"/>
      <c r="L56" s="532"/>
      <c r="M56" s="532"/>
      <c r="N56" s="532"/>
      <c r="O56" s="532"/>
      <c r="P56" s="532"/>
      <c r="Q56" s="532"/>
      <c r="R56" s="580"/>
      <c r="S56" s="581"/>
      <c r="T56" s="580" t="s">
        <v>129</v>
      </c>
      <c r="U56" s="562"/>
      <c r="V56" s="405"/>
    </row>
    <row r="57" spans="1:23" x14ac:dyDescent="0.3">
      <c r="A57" s="428"/>
      <c r="B57" s="532" t="s">
        <v>227</v>
      </c>
      <c r="C57" s="532"/>
      <c r="D57" s="532"/>
      <c r="E57" s="532"/>
      <c r="F57" s="532"/>
      <c r="G57" s="532"/>
      <c r="H57" s="532"/>
      <c r="I57" s="532"/>
      <c r="J57" s="532"/>
      <c r="K57" s="532"/>
      <c r="L57" s="532"/>
      <c r="M57" s="532"/>
      <c r="N57" s="532"/>
      <c r="O57" s="532"/>
      <c r="P57" s="532"/>
      <c r="Q57" s="532"/>
      <c r="R57" s="580"/>
      <c r="S57" s="581"/>
      <c r="T57" s="580" t="s">
        <v>169</v>
      </c>
      <c r="U57" s="562"/>
      <c r="V57" s="405"/>
      <c r="W57" s="429"/>
    </row>
    <row r="58" spans="1:23" x14ac:dyDescent="0.3">
      <c r="A58" s="428"/>
      <c r="B58" s="532" t="s">
        <v>17</v>
      </c>
      <c r="C58" s="532"/>
      <c r="D58" s="532"/>
      <c r="E58" s="532"/>
      <c r="F58" s="532"/>
      <c r="G58" s="532"/>
      <c r="H58" s="532"/>
      <c r="I58" s="532"/>
      <c r="J58" s="532"/>
      <c r="K58" s="532"/>
      <c r="L58" s="532"/>
      <c r="M58" s="532"/>
      <c r="N58" s="532"/>
      <c r="O58" s="532"/>
      <c r="P58" s="532"/>
      <c r="Q58" s="532"/>
      <c r="R58" s="580"/>
      <c r="S58" s="581"/>
      <c r="T58" s="580">
        <v>43770</v>
      </c>
      <c r="U58" s="562"/>
      <c r="V58" s="405"/>
    </row>
    <row r="59" spans="1:23" x14ac:dyDescent="0.3">
      <c r="A59" s="430"/>
      <c r="B59" s="431"/>
      <c r="C59" s="431"/>
      <c r="D59" s="431"/>
      <c r="E59" s="431"/>
      <c r="F59" s="431"/>
      <c r="G59" s="431"/>
      <c r="H59" s="431"/>
      <c r="I59" s="431"/>
      <c r="J59" s="431"/>
      <c r="K59" s="431"/>
      <c r="L59" s="431"/>
      <c r="M59" s="431"/>
      <c r="N59" s="431"/>
      <c r="O59" s="431"/>
      <c r="P59" s="431"/>
      <c r="Q59" s="431"/>
      <c r="R59" s="432"/>
      <c r="S59" s="433"/>
      <c r="T59" s="432"/>
      <c r="U59" s="431"/>
      <c r="V59" s="405"/>
    </row>
    <row r="60" spans="1:23" x14ac:dyDescent="0.3">
      <c r="A60" s="430"/>
      <c r="B60" s="434"/>
      <c r="C60" s="434"/>
      <c r="D60" s="434"/>
      <c r="E60" s="434"/>
      <c r="F60" s="434"/>
      <c r="G60" s="434"/>
      <c r="H60" s="434"/>
      <c r="I60" s="434"/>
      <c r="J60" s="434"/>
      <c r="K60" s="434"/>
      <c r="L60" s="434"/>
      <c r="M60" s="434"/>
      <c r="N60" s="434"/>
      <c r="O60" s="434"/>
      <c r="P60" s="434"/>
      <c r="Q60" s="434"/>
      <c r="R60" s="435"/>
      <c r="S60" s="436"/>
      <c r="T60" s="435"/>
      <c r="U60" s="434"/>
      <c r="V60" s="405"/>
    </row>
    <row r="61" spans="1:23" ht="18.600000000000001" thickBot="1" x14ac:dyDescent="0.4">
      <c r="A61" s="437"/>
      <c r="B61" s="565" t="s">
        <v>363</v>
      </c>
      <c r="C61" s="438"/>
      <c r="D61" s="438"/>
      <c r="E61" s="438"/>
      <c r="F61" s="438"/>
      <c r="G61" s="438"/>
      <c r="H61" s="438"/>
      <c r="I61" s="438"/>
      <c r="J61" s="438"/>
      <c r="K61" s="438"/>
      <c r="L61" s="438"/>
      <c r="M61" s="438"/>
      <c r="N61" s="438"/>
      <c r="O61" s="438"/>
      <c r="P61" s="438"/>
      <c r="Q61" s="438"/>
      <c r="R61" s="438"/>
      <c r="S61" s="438"/>
      <c r="T61" s="439"/>
      <c r="U61" s="440"/>
      <c r="V61" s="405"/>
    </row>
    <row r="62" spans="1:23" x14ac:dyDescent="0.3">
      <c r="A62" s="503"/>
      <c r="B62" s="505" t="s">
        <v>18</v>
      </c>
      <c r="C62" s="504"/>
      <c r="D62" s="504"/>
      <c r="E62" s="504"/>
      <c r="F62" s="504"/>
      <c r="G62" s="504"/>
      <c r="H62" s="504"/>
      <c r="I62" s="504"/>
      <c r="J62" s="504"/>
      <c r="K62" s="504"/>
      <c r="L62" s="504"/>
      <c r="M62" s="504"/>
      <c r="N62" s="504"/>
      <c r="O62" s="504"/>
      <c r="P62" s="504"/>
      <c r="Q62" s="504"/>
      <c r="R62" s="504"/>
      <c r="S62" s="504"/>
      <c r="T62" s="506"/>
      <c r="U62" s="504"/>
      <c r="V62" s="405"/>
    </row>
    <row r="63" spans="1:23" x14ac:dyDescent="0.3">
      <c r="A63" s="407"/>
      <c r="B63" s="415"/>
      <c r="C63" s="409"/>
      <c r="D63" s="409"/>
      <c r="E63" s="409"/>
      <c r="F63" s="409"/>
      <c r="G63" s="409"/>
      <c r="H63" s="409"/>
      <c r="I63" s="409"/>
      <c r="J63" s="409"/>
      <c r="K63" s="409"/>
      <c r="L63" s="409"/>
      <c r="M63" s="409"/>
      <c r="N63" s="409"/>
      <c r="O63" s="409"/>
      <c r="P63" s="409"/>
      <c r="Q63" s="409"/>
      <c r="R63" s="409"/>
      <c r="S63" s="409"/>
      <c r="T63" s="441"/>
      <c r="U63" s="409"/>
      <c r="V63" s="405"/>
    </row>
    <row r="64" spans="1:23" ht="46.8" x14ac:dyDescent="0.3">
      <c r="A64" s="407"/>
      <c r="B64" s="519" t="s">
        <v>19</v>
      </c>
      <c r="C64" s="520"/>
      <c r="D64" s="520"/>
      <c r="E64" s="520"/>
      <c r="F64" s="520"/>
      <c r="G64" s="520"/>
      <c r="H64" s="520"/>
      <c r="I64" s="520"/>
      <c r="J64" s="520" t="s">
        <v>100</v>
      </c>
      <c r="K64" s="520"/>
      <c r="L64" s="520" t="s">
        <v>102</v>
      </c>
      <c r="M64" s="520"/>
      <c r="N64" s="520" t="s">
        <v>104</v>
      </c>
      <c r="O64" s="520"/>
      <c r="P64" s="520" t="s">
        <v>106</v>
      </c>
      <c r="Q64" s="520"/>
      <c r="R64" s="520" t="s">
        <v>113</v>
      </c>
      <c r="S64" s="520"/>
      <c r="T64" s="521" t="s">
        <v>121</v>
      </c>
      <c r="U64" s="442"/>
      <c r="V64" s="405"/>
    </row>
    <row r="65" spans="1:22" x14ac:dyDescent="0.3">
      <c r="A65" s="418"/>
      <c r="B65" s="532" t="s">
        <v>20</v>
      </c>
      <c r="C65" s="531"/>
      <c r="D65" s="531"/>
      <c r="E65" s="531"/>
      <c r="F65" s="531"/>
      <c r="G65" s="531"/>
      <c r="H65" s="531"/>
      <c r="I65" s="531"/>
      <c r="J65" s="531">
        <v>699958</v>
      </c>
      <c r="K65" s="531"/>
      <c r="L65" s="535">
        <v>201476</v>
      </c>
      <c r="M65" s="531"/>
      <c r="N65" s="531">
        <v>201476</v>
      </c>
      <c r="O65" s="531"/>
      <c r="P65" s="531">
        <v>0</v>
      </c>
      <c r="Q65" s="531"/>
      <c r="R65" s="531">
        <v>0</v>
      </c>
      <c r="S65" s="531"/>
      <c r="T65" s="535">
        <f>+L65-N65+P65-R65</f>
        <v>0</v>
      </c>
      <c r="U65" s="420"/>
      <c r="V65" s="405"/>
    </row>
    <row r="66" spans="1:22" x14ac:dyDescent="0.3">
      <c r="A66" s="418"/>
      <c r="B66" s="532" t="s">
        <v>21</v>
      </c>
      <c r="C66" s="531"/>
      <c r="D66" s="531"/>
      <c r="E66" s="531"/>
      <c r="F66" s="531"/>
      <c r="G66" s="531"/>
      <c r="H66" s="531"/>
      <c r="I66" s="531"/>
      <c r="J66" s="531">
        <v>42</v>
      </c>
      <c r="K66" s="531"/>
      <c r="L66" s="535">
        <v>0</v>
      </c>
      <c r="M66" s="531"/>
      <c r="N66" s="531">
        <v>0</v>
      </c>
      <c r="O66" s="531"/>
      <c r="P66" s="531">
        <v>0</v>
      </c>
      <c r="Q66" s="531"/>
      <c r="R66" s="531">
        <v>0</v>
      </c>
      <c r="S66" s="531"/>
      <c r="T66" s="535">
        <f>+L66-N66</f>
        <v>0</v>
      </c>
      <c r="U66" s="420"/>
      <c r="V66" s="405"/>
    </row>
    <row r="67" spans="1:22" x14ac:dyDescent="0.3">
      <c r="A67" s="418"/>
      <c r="B67" s="532"/>
      <c r="C67" s="531"/>
      <c r="D67" s="531"/>
      <c r="E67" s="531"/>
      <c r="F67" s="531"/>
      <c r="G67" s="531"/>
      <c r="H67" s="531"/>
      <c r="I67" s="531"/>
      <c r="J67" s="531"/>
      <c r="K67" s="531"/>
      <c r="L67" s="535"/>
      <c r="M67" s="531"/>
      <c r="N67" s="531"/>
      <c r="O67" s="531"/>
      <c r="P67" s="531"/>
      <c r="Q67" s="531"/>
      <c r="R67" s="531"/>
      <c r="S67" s="531"/>
      <c r="T67" s="535"/>
      <c r="U67" s="420"/>
      <c r="V67" s="405"/>
    </row>
    <row r="68" spans="1:22" x14ac:dyDescent="0.3">
      <c r="A68" s="418"/>
      <c r="B68" s="532" t="s">
        <v>22</v>
      </c>
      <c r="C68" s="531"/>
      <c r="D68" s="531"/>
      <c r="E68" s="531"/>
      <c r="F68" s="531"/>
      <c r="G68" s="531"/>
      <c r="H68" s="531"/>
      <c r="I68" s="531"/>
      <c r="J68" s="531">
        <f>SUM(J65:J67)</f>
        <v>700000</v>
      </c>
      <c r="K68" s="531"/>
      <c r="L68" s="531">
        <f>L65+L66</f>
        <v>201476</v>
      </c>
      <c r="M68" s="531"/>
      <c r="N68" s="531">
        <f>SUM(N65:N67)</f>
        <v>201476</v>
      </c>
      <c r="O68" s="531"/>
      <c r="P68" s="531">
        <f>SUM(P65:P67)</f>
        <v>0</v>
      </c>
      <c r="Q68" s="531"/>
      <c r="R68" s="531">
        <f>SUM(R65:R67)</f>
        <v>0</v>
      </c>
      <c r="S68" s="531"/>
      <c r="T68" s="531">
        <f>SUM(T65:T67)</f>
        <v>0</v>
      </c>
      <c r="U68" s="420"/>
      <c r="V68" s="405"/>
    </row>
    <row r="69" spans="1:22" x14ac:dyDescent="0.3">
      <c r="A69" s="407"/>
      <c r="B69" s="539"/>
      <c r="C69" s="572"/>
      <c r="D69" s="572"/>
      <c r="E69" s="572"/>
      <c r="F69" s="572"/>
      <c r="G69" s="572"/>
      <c r="H69" s="572"/>
      <c r="I69" s="572"/>
      <c r="J69" s="572"/>
      <c r="K69" s="572"/>
      <c r="L69" s="572"/>
      <c r="M69" s="572"/>
      <c r="N69" s="572"/>
      <c r="O69" s="572"/>
      <c r="P69" s="572"/>
      <c r="Q69" s="572"/>
      <c r="R69" s="572"/>
      <c r="S69" s="572"/>
      <c r="T69" s="572"/>
      <c r="U69" s="444"/>
      <c r="V69" s="405"/>
    </row>
    <row r="70" spans="1:22" x14ac:dyDescent="0.3">
      <c r="A70" s="407"/>
      <c r="B70" s="545" t="s">
        <v>23</v>
      </c>
      <c r="C70" s="573"/>
      <c r="D70" s="573"/>
      <c r="E70" s="573"/>
      <c r="F70" s="573"/>
      <c r="G70" s="573"/>
      <c r="H70" s="573"/>
      <c r="I70" s="573"/>
      <c r="J70" s="573"/>
      <c r="K70" s="573"/>
      <c r="L70" s="573"/>
      <c r="M70" s="573"/>
      <c r="N70" s="573"/>
      <c r="O70" s="573"/>
      <c r="P70" s="573"/>
      <c r="Q70" s="573"/>
      <c r="R70" s="573"/>
      <c r="S70" s="573"/>
      <c r="T70" s="573"/>
      <c r="U70" s="409"/>
      <c r="V70" s="405"/>
    </row>
    <row r="71" spans="1:22" x14ac:dyDescent="0.3">
      <c r="A71" s="407"/>
      <c r="B71" s="542"/>
      <c r="C71" s="573"/>
      <c r="D71" s="573"/>
      <c r="E71" s="573"/>
      <c r="F71" s="573"/>
      <c r="G71" s="573"/>
      <c r="H71" s="573"/>
      <c r="I71" s="573"/>
      <c r="J71" s="573"/>
      <c r="K71" s="573"/>
      <c r="L71" s="573"/>
      <c r="M71" s="573"/>
      <c r="N71" s="573"/>
      <c r="O71" s="573"/>
      <c r="P71" s="573"/>
      <c r="Q71" s="573"/>
      <c r="R71" s="573"/>
      <c r="S71" s="573"/>
      <c r="T71" s="573"/>
      <c r="U71" s="409"/>
      <c r="V71" s="405"/>
    </row>
    <row r="72" spans="1:22" x14ac:dyDescent="0.3">
      <c r="A72" s="418"/>
      <c r="B72" s="532" t="s">
        <v>20</v>
      </c>
      <c r="C72" s="531"/>
      <c r="D72" s="531"/>
      <c r="E72" s="531"/>
      <c r="F72" s="531"/>
      <c r="G72" s="531"/>
      <c r="H72" s="531"/>
      <c r="I72" s="531"/>
      <c r="J72" s="531"/>
      <c r="K72" s="531"/>
      <c r="L72" s="531"/>
      <c r="M72" s="531"/>
      <c r="N72" s="531"/>
      <c r="O72" s="531"/>
      <c r="P72" s="531"/>
      <c r="Q72" s="531"/>
      <c r="R72" s="531"/>
      <c r="S72" s="531"/>
      <c r="T72" s="531"/>
      <c r="U72" s="420"/>
      <c r="V72" s="405"/>
    </row>
    <row r="73" spans="1:22" x14ac:dyDescent="0.3">
      <c r="A73" s="418"/>
      <c r="B73" s="532" t="s">
        <v>21</v>
      </c>
      <c r="C73" s="531"/>
      <c r="D73" s="531"/>
      <c r="E73" s="531"/>
      <c r="F73" s="531"/>
      <c r="G73" s="531"/>
      <c r="H73" s="531"/>
      <c r="I73" s="531"/>
      <c r="J73" s="531"/>
      <c r="K73" s="531"/>
      <c r="L73" s="531"/>
      <c r="M73" s="531"/>
      <c r="N73" s="531"/>
      <c r="O73" s="531"/>
      <c r="P73" s="531"/>
      <c r="Q73" s="531"/>
      <c r="R73" s="531"/>
      <c r="S73" s="531"/>
      <c r="T73" s="531"/>
      <c r="U73" s="420"/>
      <c r="V73" s="405"/>
    </row>
    <row r="74" spans="1:22" x14ac:dyDescent="0.3">
      <c r="A74" s="418"/>
      <c r="B74" s="532"/>
      <c r="C74" s="531"/>
      <c r="D74" s="531"/>
      <c r="E74" s="531"/>
      <c r="F74" s="531"/>
      <c r="G74" s="531"/>
      <c r="H74" s="531"/>
      <c r="I74" s="531"/>
      <c r="J74" s="531"/>
      <c r="K74" s="531"/>
      <c r="L74" s="531"/>
      <c r="M74" s="531"/>
      <c r="N74" s="531"/>
      <c r="O74" s="531"/>
      <c r="P74" s="531"/>
      <c r="Q74" s="531"/>
      <c r="R74" s="531"/>
      <c r="S74" s="531"/>
      <c r="T74" s="531"/>
      <c r="U74" s="420"/>
      <c r="V74" s="405"/>
    </row>
    <row r="75" spans="1:22" x14ac:dyDescent="0.3">
      <c r="A75" s="418"/>
      <c r="B75" s="532" t="s">
        <v>22</v>
      </c>
      <c r="C75" s="531"/>
      <c r="D75" s="531"/>
      <c r="E75" s="531"/>
      <c r="F75" s="531"/>
      <c r="G75" s="531"/>
      <c r="H75" s="531"/>
      <c r="I75" s="531"/>
      <c r="J75" s="531"/>
      <c r="K75" s="531"/>
      <c r="L75" s="531"/>
      <c r="M75" s="531"/>
      <c r="N75" s="531"/>
      <c r="O75" s="531"/>
      <c r="P75" s="531"/>
      <c r="Q75" s="531"/>
      <c r="R75" s="531"/>
      <c r="S75" s="531"/>
      <c r="T75" s="531"/>
      <c r="U75" s="420"/>
      <c r="V75" s="405"/>
    </row>
    <row r="76" spans="1:22" x14ac:dyDescent="0.3">
      <c r="A76" s="418"/>
      <c r="B76" s="532"/>
      <c r="C76" s="531"/>
      <c r="D76" s="531"/>
      <c r="E76" s="531"/>
      <c r="F76" s="531"/>
      <c r="G76" s="531"/>
      <c r="H76" s="531"/>
      <c r="I76" s="531"/>
      <c r="J76" s="531"/>
      <c r="K76" s="531"/>
      <c r="L76" s="531"/>
      <c r="M76" s="531"/>
      <c r="N76" s="531"/>
      <c r="O76" s="531"/>
      <c r="P76" s="531"/>
      <c r="Q76" s="531"/>
      <c r="R76" s="531"/>
      <c r="S76" s="531"/>
      <c r="T76" s="531"/>
      <c r="U76" s="420"/>
      <c r="V76" s="405"/>
    </row>
    <row r="77" spans="1:22" x14ac:dyDescent="0.3">
      <c r="A77" s="418"/>
      <c r="B77" s="532" t="s">
        <v>24</v>
      </c>
      <c r="C77" s="531"/>
      <c r="D77" s="531"/>
      <c r="E77" s="531"/>
      <c r="F77" s="531"/>
      <c r="G77" s="531"/>
      <c r="H77" s="531"/>
      <c r="I77" s="531"/>
      <c r="J77" s="531">
        <v>0</v>
      </c>
      <c r="K77" s="531"/>
      <c r="L77" s="531">
        <v>0</v>
      </c>
      <c r="M77" s="531"/>
      <c r="N77" s="531"/>
      <c r="O77" s="531"/>
      <c r="P77" s="531"/>
      <c r="Q77" s="531"/>
      <c r="R77" s="531"/>
      <c r="S77" s="531"/>
      <c r="T77" s="535">
        <v>0</v>
      </c>
      <c r="U77" s="420"/>
      <c r="V77" s="405"/>
    </row>
    <row r="78" spans="1:22" x14ac:dyDescent="0.3">
      <c r="A78" s="418"/>
      <c r="B78" s="532" t="s">
        <v>126</v>
      </c>
      <c r="C78" s="531"/>
      <c r="D78" s="531"/>
      <c r="E78" s="531"/>
      <c r="F78" s="531"/>
      <c r="G78" s="531"/>
      <c r="H78" s="531"/>
      <c r="I78" s="531"/>
      <c r="J78" s="531">
        <v>0</v>
      </c>
      <c r="K78" s="531"/>
      <c r="L78" s="531">
        <v>0</v>
      </c>
      <c r="M78" s="531"/>
      <c r="N78" s="531"/>
      <c r="O78" s="531"/>
      <c r="P78" s="531"/>
      <c r="Q78" s="531"/>
      <c r="R78" s="531"/>
      <c r="S78" s="531"/>
      <c r="T78" s="531">
        <f>SUM(J78:P78)</f>
        <v>0</v>
      </c>
      <c r="U78" s="420"/>
      <c r="V78" s="405"/>
    </row>
    <row r="79" spans="1:22" x14ac:dyDescent="0.3">
      <c r="A79" s="418"/>
      <c r="B79" s="532" t="s">
        <v>157</v>
      </c>
      <c r="C79" s="531"/>
      <c r="D79" s="531"/>
      <c r="E79" s="531"/>
      <c r="F79" s="531"/>
      <c r="G79" s="531"/>
      <c r="H79" s="531"/>
      <c r="I79" s="531"/>
      <c r="J79" s="531">
        <v>0</v>
      </c>
      <c r="K79" s="531"/>
      <c r="L79" s="531">
        <v>0</v>
      </c>
      <c r="M79" s="531"/>
      <c r="N79" s="531"/>
      <c r="O79" s="531"/>
      <c r="P79" s="531"/>
      <c r="Q79" s="531"/>
      <c r="R79" s="531"/>
      <c r="S79" s="531"/>
      <c r="T79" s="531">
        <v>0</v>
      </c>
      <c r="U79" s="420"/>
      <c r="V79" s="405"/>
    </row>
    <row r="80" spans="1:22" x14ac:dyDescent="0.3">
      <c r="A80" s="418"/>
      <c r="B80" s="532" t="s">
        <v>26</v>
      </c>
      <c r="C80" s="531"/>
      <c r="D80" s="531"/>
      <c r="E80" s="531"/>
      <c r="F80" s="531"/>
      <c r="G80" s="531"/>
      <c r="H80" s="531"/>
      <c r="I80" s="531"/>
      <c r="J80" s="531">
        <v>0</v>
      </c>
      <c r="K80" s="531"/>
      <c r="L80" s="531">
        <v>0</v>
      </c>
      <c r="M80" s="531"/>
      <c r="N80" s="531"/>
      <c r="O80" s="531"/>
      <c r="P80" s="531"/>
      <c r="Q80" s="531"/>
      <c r="R80" s="531"/>
      <c r="S80" s="531"/>
      <c r="T80" s="531">
        <v>0</v>
      </c>
      <c r="U80" s="420"/>
      <c r="V80" s="405"/>
    </row>
    <row r="81" spans="1:22" x14ac:dyDescent="0.3">
      <c r="A81" s="418"/>
      <c r="B81" s="532" t="s">
        <v>27</v>
      </c>
      <c r="C81" s="531"/>
      <c r="D81" s="531"/>
      <c r="E81" s="531"/>
      <c r="F81" s="531"/>
      <c r="G81" s="531"/>
      <c r="H81" s="531"/>
      <c r="I81" s="531"/>
      <c r="J81" s="531">
        <f>SUM(J68:J80)</f>
        <v>700000</v>
      </c>
      <c r="K81" s="531"/>
      <c r="L81" s="531">
        <f>SUM(L68:L80)</f>
        <v>201476</v>
      </c>
      <c r="M81" s="531"/>
      <c r="N81" s="531"/>
      <c r="O81" s="531"/>
      <c r="P81" s="531"/>
      <c r="Q81" s="531"/>
      <c r="R81" s="531"/>
      <c r="S81" s="531"/>
      <c r="T81" s="531">
        <f>SUM(T68:T80)</f>
        <v>0</v>
      </c>
      <c r="U81" s="420"/>
      <c r="V81" s="405"/>
    </row>
    <row r="82" spans="1:22" x14ac:dyDescent="0.3">
      <c r="A82" s="407"/>
      <c r="B82" s="444"/>
      <c r="C82" s="445"/>
      <c r="D82" s="445"/>
      <c r="E82" s="445"/>
      <c r="F82" s="445"/>
      <c r="G82" s="445"/>
      <c r="H82" s="445"/>
      <c r="I82" s="445"/>
      <c r="J82" s="445"/>
      <c r="K82" s="445"/>
      <c r="L82" s="445"/>
      <c r="M82" s="445"/>
      <c r="N82" s="445"/>
      <c r="O82" s="445"/>
      <c r="P82" s="445"/>
      <c r="Q82" s="445"/>
      <c r="R82" s="445"/>
      <c r="S82" s="445"/>
      <c r="T82" s="446"/>
      <c r="U82" s="444"/>
      <c r="V82" s="405"/>
    </row>
    <row r="83" spans="1:22" x14ac:dyDescent="0.3">
      <c r="A83" s="407"/>
      <c r="B83" s="409"/>
      <c r="C83" s="409"/>
      <c r="D83" s="409"/>
      <c r="E83" s="409"/>
      <c r="F83" s="409"/>
      <c r="G83" s="409"/>
      <c r="H83" s="409"/>
      <c r="I83" s="409"/>
      <c r="J83" s="409"/>
      <c r="K83" s="409"/>
      <c r="L83" s="409"/>
      <c r="M83" s="409"/>
      <c r="N83" s="409"/>
      <c r="O83" s="409"/>
      <c r="P83" s="409"/>
      <c r="Q83" s="409"/>
      <c r="R83" s="409"/>
      <c r="S83" s="409"/>
      <c r="T83" s="409"/>
      <c r="U83" s="409"/>
      <c r="V83" s="405"/>
    </row>
    <row r="84" spans="1:22" x14ac:dyDescent="0.3">
      <c r="A84" s="503"/>
      <c r="B84" s="612" t="s">
        <v>28</v>
      </c>
      <c r="C84" s="612"/>
      <c r="D84" s="612"/>
      <c r="E84" s="612"/>
      <c r="F84" s="612"/>
      <c r="G84" s="612"/>
      <c r="H84" s="613"/>
      <c r="I84" s="613"/>
      <c r="J84" s="614" t="s">
        <v>101</v>
      </c>
      <c r="K84" s="613"/>
      <c r="L84" s="615">
        <f>+R200</f>
        <v>43861</v>
      </c>
      <c r="M84" s="613"/>
      <c r="N84" s="613"/>
      <c r="O84" s="613"/>
      <c r="P84" s="613"/>
      <c r="Q84" s="613"/>
      <c r="R84" s="613" t="s">
        <v>114</v>
      </c>
      <c r="S84" s="613"/>
      <c r="T84" s="613" t="s">
        <v>122</v>
      </c>
      <c r="U84" s="611"/>
      <c r="V84" s="405"/>
    </row>
    <row r="85" spans="1:22" x14ac:dyDescent="0.3">
      <c r="A85" s="430"/>
      <c r="B85" s="539" t="s">
        <v>29</v>
      </c>
      <c r="C85" s="539"/>
      <c r="D85" s="539"/>
      <c r="E85" s="539"/>
      <c r="F85" s="539"/>
      <c r="G85" s="539"/>
      <c r="H85" s="539"/>
      <c r="I85" s="539"/>
      <c r="J85" s="539"/>
      <c r="K85" s="539"/>
      <c r="L85" s="539"/>
      <c r="M85" s="539"/>
      <c r="N85" s="539"/>
      <c r="O85" s="539"/>
      <c r="P85" s="539"/>
      <c r="Q85" s="539"/>
      <c r="R85" s="572">
        <v>0</v>
      </c>
      <c r="S85" s="539"/>
      <c r="T85" s="541">
        <v>0</v>
      </c>
      <c r="U85" s="539"/>
      <c r="V85" s="405"/>
    </row>
    <row r="86" spans="1:22" x14ac:dyDescent="0.3">
      <c r="A86" s="428"/>
      <c r="B86" s="532" t="s">
        <v>30</v>
      </c>
      <c r="C86" s="532"/>
      <c r="D86" s="532"/>
      <c r="E86" s="532"/>
      <c r="F86" s="532"/>
      <c r="G86" s="532"/>
      <c r="H86" s="550"/>
      <c r="I86" s="570"/>
      <c r="J86" s="550"/>
      <c r="K86" s="532"/>
      <c r="L86" s="571"/>
      <c r="M86" s="532"/>
      <c r="N86" s="532"/>
      <c r="O86" s="532"/>
      <c r="P86" s="532"/>
      <c r="Q86" s="532"/>
      <c r="R86" s="531">
        <f>N68-171</f>
        <v>201305</v>
      </c>
      <c r="S86" s="532"/>
      <c r="T86" s="535"/>
      <c r="U86" s="562"/>
      <c r="V86" s="405"/>
    </row>
    <row r="87" spans="1:22" x14ac:dyDescent="0.3">
      <c r="A87" s="428"/>
      <c r="B87" s="532" t="s">
        <v>254</v>
      </c>
      <c r="C87" s="532"/>
      <c r="D87" s="532"/>
      <c r="E87" s="532"/>
      <c r="F87" s="532"/>
      <c r="G87" s="532"/>
      <c r="H87" s="550"/>
      <c r="I87" s="570"/>
      <c r="J87" s="550"/>
      <c r="K87" s="532"/>
      <c r="L87" s="571"/>
      <c r="M87" s="532"/>
      <c r="N87" s="532"/>
      <c r="O87" s="532"/>
      <c r="P87" s="532"/>
      <c r="Q87" s="532"/>
      <c r="R87" s="531"/>
      <c r="S87" s="532"/>
      <c r="T87" s="535">
        <f>1537+451-571-106</f>
        <v>1311</v>
      </c>
      <c r="U87" s="562"/>
      <c r="V87" s="405"/>
    </row>
    <row r="88" spans="1:22" x14ac:dyDescent="0.3">
      <c r="A88" s="428"/>
      <c r="B88" s="532" t="s">
        <v>255</v>
      </c>
      <c r="C88" s="532"/>
      <c r="D88" s="532"/>
      <c r="E88" s="532"/>
      <c r="F88" s="532"/>
      <c r="G88" s="532"/>
      <c r="H88" s="550"/>
      <c r="I88" s="570"/>
      <c r="J88" s="550"/>
      <c r="K88" s="532"/>
      <c r="L88" s="571"/>
      <c r="M88" s="532"/>
      <c r="N88" s="532"/>
      <c r="O88" s="532"/>
      <c r="P88" s="532"/>
      <c r="Q88" s="532"/>
      <c r="R88" s="531"/>
      <c r="S88" s="532"/>
      <c r="T88" s="535">
        <f>21+4</f>
        <v>25</v>
      </c>
      <c r="U88" s="562"/>
      <c r="V88" s="405"/>
    </row>
    <row r="89" spans="1:22" x14ac:dyDescent="0.3">
      <c r="A89" s="428"/>
      <c r="B89" s="532" t="s">
        <v>256</v>
      </c>
      <c r="C89" s="532"/>
      <c r="D89" s="532"/>
      <c r="E89" s="532"/>
      <c r="F89" s="532"/>
      <c r="G89" s="532"/>
      <c r="H89" s="550"/>
      <c r="I89" s="570"/>
      <c r="J89" s="550"/>
      <c r="K89" s="532"/>
      <c r="L89" s="571"/>
      <c r="M89" s="532"/>
      <c r="N89" s="532"/>
      <c r="O89" s="532"/>
      <c r="P89" s="532"/>
      <c r="Q89" s="532"/>
      <c r="R89" s="531"/>
      <c r="S89" s="532"/>
      <c r="T89" s="535">
        <v>29</v>
      </c>
      <c r="U89" s="562"/>
      <c r="V89" s="405"/>
    </row>
    <row r="90" spans="1:22" x14ac:dyDescent="0.3">
      <c r="A90" s="428"/>
      <c r="B90" s="532" t="s">
        <v>270</v>
      </c>
      <c r="C90" s="532"/>
      <c r="D90" s="532"/>
      <c r="E90" s="532"/>
      <c r="F90" s="532"/>
      <c r="G90" s="532"/>
      <c r="H90" s="550"/>
      <c r="I90" s="570"/>
      <c r="J90" s="550"/>
      <c r="K90" s="532"/>
      <c r="L90" s="571"/>
      <c r="M90" s="532"/>
      <c r="N90" s="532"/>
      <c r="O90" s="532"/>
      <c r="P90" s="532"/>
      <c r="Q90" s="532"/>
      <c r="R90" s="531"/>
      <c r="S90" s="532"/>
      <c r="T90" s="535">
        <v>0</v>
      </c>
      <c r="U90" s="562"/>
      <c r="V90" s="405"/>
    </row>
    <row r="91" spans="1:22" x14ac:dyDescent="0.3">
      <c r="A91" s="428"/>
      <c r="B91" s="532" t="s">
        <v>144</v>
      </c>
      <c r="C91" s="532"/>
      <c r="D91" s="532"/>
      <c r="E91" s="532"/>
      <c r="F91" s="532"/>
      <c r="G91" s="532"/>
      <c r="H91" s="532"/>
      <c r="I91" s="532"/>
      <c r="J91" s="532"/>
      <c r="K91" s="532"/>
      <c r="L91" s="532"/>
      <c r="M91" s="532"/>
      <c r="N91" s="532"/>
      <c r="O91" s="532"/>
      <c r="P91" s="532"/>
      <c r="Q91" s="532"/>
      <c r="R91" s="531"/>
      <c r="S91" s="532"/>
      <c r="T91" s="535">
        <v>0</v>
      </c>
      <c r="U91" s="562"/>
      <c r="V91" s="405"/>
    </row>
    <row r="92" spans="1:22" x14ac:dyDescent="0.3">
      <c r="A92" s="428"/>
      <c r="B92" s="532" t="s">
        <v>233</v>
      </c>
      <c r="C92" s="532"/>
      <c r="D92" s="532"/>
      <c r="E92" s="532"/>
      <c r="F92" s="532"/>
      <c r="G92" s="532"/>
      <c r="H92" s="532"/>
      <c r="I92" s="532"/>
      <c r="J92" s="532"/>
      <c r="K92" s="532"/>
      <c r="L92" s="532"/>
      <c r="M92" s="532"/>
      <c r="N92" s="532"/>
      <c r="O92" s="532"/>
      <c r="P92" s="532"/>
      <c r="Q92" s="532"/>
      <c r="R92" s="531"/>
      <c r="S92" s="532"/>
      <c r="T92" s="535">
        <v>57</v>
      </c>
      <c r="U92" s="562"/>
      <c r="V92" s="405"/>
    </row>
    <row r="93" spans="1:22" x14ac:dyDescent="0.3">
      <c r="A93" s="428"/>
      <c r="B93" s="629" t="s">
        <v>365</v>
      </c>
      <c r="C93" s="532"/>
      <c r="D93" s="532"/>
      <c r="E93" s="532"/>
      <c r="F93" s="532"/>
      <c r="G93" s="532"/>
      <c r="H93" s="532"/>
      <c r="I93" s="532"/>
      <c r="J93" s="532"/>
      <c r="K93" s="532"/>
      <c r="L93" s="532"/>
      <c r="M93" s="532"/>
      <c r="N93" s="532"/>
      <c r="O93" s="532"/>
      <c r="P93" s="532"/>
      <c r="Q93" s="532"/>
      <c r="R93" s="531"/>
      <c r="S93" s="532"/>
      <c r="T93" s="535">
        <f>-T144</f>
        <v>12320</v>
      </c>
      <c r="U93" s="562"/>
      <c r="V93" s="405"/>
    </row>
    <row r="94" spans="1:22" x14ac:dyDescent="0.3">
      <c r="A94" s="428"/>
      <c r="B94" s="532" t="s">
        <v>32</v>
      </c>
      <c r="C94" s="532"/>
      <c r="D94" s="532"/>
      <c r="E94" s="532"/>
      <c r="F94" s="532"/>
      <c r="G94" s="532"/>
      <c r="H94" s="532"/>
      <c r="I94" s="532"/>
      <c r="J94" s="532"/>
      <c r="K94" s="532"/>
      <c r="L94" s="532"/>
      <c r="M94" s="532"/>
      <c r="N94" s="532"/>
      <c r="O94" s="532"/>
      <c r="P94" s="532"/>
      <c r="Q94" s="532"/>
      <c r="R94" s="531">
        <f>SUM(R85:R92)</f>
        <v>201305</v>
      </c>
      <c r="S94" s="532"/>
      <c r="T94" s="531">
        <f>SUM(T85:T93)</f>
        <v>13742</v>
      </c>
      <c r="U94" s="562"/>
      <c r="V94" s="405"/>
    </row>
    <row r="95" spans="1:22" x14ac:dyDescent="0.3">
      <c r="A95" s="428"/>
      <c r="B95" s="532" t="s">
        <v>176</v>
      </c>
      <c r="C95" s="532"/>
      <c r="D95" s="532"/>
      <c r="E95" s="532"/>
      <c r="F95" s="532"/>
      <c r="G95" s="532"/>
      <c r="H95" s="532"/>
      <c r="I95" s="532"/>
      <c r="J95" s="532"/>
      <c r="K95" s="532"/>
      <c r="L95" s="532"/>
      <c r="M95" s="532"/>
      <c r="N95" s="532"/>
      <c r="O95" s="532"/>
      <c r="P95" s="532"/>
      <c r="Q95" s="532"/>
      <c r="R95" s="531">
        <v>0</v>
      </c>
      <c r="S95" s="532"/>
      <c r="T95" s="531">
        <f>-R95</f>
        <v>0</v>
      </c>
      <c r="U95" s="562"/>
      <c r="V95" s="405"/>
    </row>
    <row r="96" spans="1:22" x14ac:dyDescent="0.3">
      <c r="A96" s="428"/>
      <c r="B96" s="532" t="s">
        <v>33</v>
      </c>
      <c r="C96" s="532"/>
      <c r="D96" s="532"/>
      <c r="E96" s="532"/>
      <c r="F96" s="532"/>
      <c r="G96" s="532"/>
      <c r="H96" s="532"/>
      <c r="I96" s="532"/>
      <c r="J96" s="532"/>
      <c r="K96" s="532"/>
      <c r="L96" s="532"/>
      <c r="M96" s="532"/>
      <c r="N96" s="532"/>
      <c r="O96" s="532"/>
      <c r="P96" s="532"/>
      <c r="Q96" s="532"/>
      <c r="R96" s="531">
        <f>-T96</f>
        <v>0</v>
      </c>
      <c r="S96" s="532"/>
      <c r="T96" s="535">
        <v>0</v>
      </c>
      <c r="U96" s="562"/>
      <c r="V96" s="405"/>
    </row>
    <row r="97" spans="1:23" x14ac:dyDescent="0.3">
      <c r="A97" s="428"/>
      <c r="B97" s="532" t="s">
        <v>278</v>
      </c>
      <c r="C97" s="532"/>
      <c r="D97" s="532"/>
      <c r="E97" s="532"/>
      <c r="F97" s="532"/>
      <c r="G97" s="532"/>
      <c r="H97" s="532"/>
      <c r="I97" s="532"/>
      <c r="J97" s="532"/>
      <c r="K97" s="532"/>
      <c r="L97" s="532"/>
      <c r="M97" s="532"/>
      <c r="N97" s="532"/>
      <c r="O97" s="532"/>
      <c r="P97" s="532"/>
      <c r="Q97" s="532"/>
      <c r="R97" s="531"/>
      <c r="S97" s="532"/>
      <c r="T97" s="535">
        <v>109</v>
      </c>
      <c r="U97" s="562"/>
      <c r="V97" s="405"/>
    </row>
    <row r="98" spans="1:23" x14ac:dyDescent="0.3">
      <c r="A98" s="428"/>
      <c r="B98" s="532" t="s">
        <v>34</v>
      </c>
      <c r="C98" s="532"/>
      <c r="D98" s="532"/>
      <c r="E98" s="532"/>
      <c r="F98" s="532"/>
      <c r="G98" s="532"/>
      <c r="H98" s="532"/>
      <c r="I98" s="532"/>
      <c r="J98" s="532"/>
      <c r="K98" s="532"/>
      <c r="L98" s="532"/>
      <c r="M98" s="532"/>
      <c r="N98" s="532"/>
      <c r="O98" s="532"/>
      <c r="P98" s="532"/>
      <c r="Q98" s="532"/>
      <c r="R98" s="531">
        <f>R94+R96+R95</f>
        <v>201305</v>
      </c>
      <c r="S98" s="532"/>
      <c r="T98" s="531">
        <f>T94+T96+T95+T97</f>
        <v>13851</v>
      </c>
      <c r="U98" s="562"/>
      <c r="V98" s="405"/>
      <c r="W98" s="447"/>
    </row>
    <row r="99" spans="1:23" x14ac:dyDescent="0.3">
      <c r="A99" s="418"/>
      <c r="B99" s="522" t="s">
        <v>35</v>
      </c>
      <c r="C99" s="448"/>
      <c r="D99" s="448"/>
      <c r="E99" s="448"/>
      <c r="F99" s="448"/>
      <c r="G99" s="448"/>
      <c r="H99" s="448"/>
      <c r="I99" s="448"/>
      <c r="J99" s="448"/>
      <c r="K99" s="448"/>
      <c r="L99" s="448"/>
      <c r="M99" s="448"/>
      <c r="N99" s="448"/>
      <c r="O99" s="448"/>
      <c r="P99" s="448"/>
      <c r="Q99" s="448"/>
      <c r="R99" s="449"/>
      <c r="S99" s="448"/>
      <c r="T99" s="450"/>
      <c r="U99" s="451"/>
      <c r="V99" s="405"/>
    </row>
    <row r="100" spans="1:23" x14ac:dyDescent="0.3">
      <c r="A100" s="569">
        <v>1</v>
      </c>
      <c r="B100" s="532" t="s">
        <v>36</v>
      </c>
      <c r="C100" s="532"/>
      <c r="D100" s="532"/>
      <c r="E100" s="532"/>
      <c r="F100" s="532"/>
      <c r="G100" s="532"/>
      <c r="H100" s="532"/>
      <c r="I100" s="532"/>
      <c r="J100" s="532"/>
      <c r="K100" s="532"/>
      <c r="L100" s="532"/>
      <c r="M100" s="532"/>
      <c r="N100" s="532"/>
      <c r="O100" s="532"/>
      <c r="P100" s="532"/>
      <c r="Q100" s="532"/>
      <c r="R100" s="532"/>
      <c r="S100" s="532"/>
      <c r="T100" s="535">
        <v>0</v>
      </c>
      <c r="U100" s="451"/>
      <c r="V100" s="405"/>
    </row>
    <row r="101" spans="1:23" x14ac:dyDescent="0.3">
      <c r="A101" s="569">
        <f>+A100+1</f>
        <v>2</v>
      </c>
      <c r="B101" s="532" t="s">
        <v>317</v>
      </c>
      <c r="C101" s="532"/>
      <c r="D101" s="532"/>
      <c r="E101" s="532"/>
      <c r="F101" s="532"/>
      <c r="G101" s="532"/>
      <c r="H101" s="532"/>
      <c r="I101" s="532"/>
      <c r="J101" s="532"/>
      <c r="K101" s="532"/>
      <c r="L101" s="532"/>
      <c r="M101" s="532"/>
      <c r="N101" s="532"/>
      <c r="O101" s="532"/>
      <c r="P101" s="532"/>
      <c r="Q101" s="532"/>
      <c r="R101" s="532"/>
      <c r="S101" s="532"/>
      <c r="T101" s="535">
        <v>-2</v>
      </c>
      <c r="U101" s="451"/>
      <c r="V101" s="405"/>
    </row>
    <row r="102" spans="1:23" x14ac:dyDescent="0.3">
      <c r="A102" s="569">
        <f>+A101+1</f>
        <v>3</v>
      </c>
      <c r="B102" s="532" t="s">
        <v>319</v>
      </c>
      <c r="C102" s="532"/>
      <c r="D102" s="532"/>
      <c r="E102" s="532"/>
      <c r="F102" s="532"/>
      <c r="G102" s="532"/>
      <c r="H102" s="532"/>
      <c r="I102" s="532"/>
      <c r="J102" s="532"/>
      <c r="K102" s="532"/>
      <c r="L102" s="532"/>
      <c r="M102" s="532"/>
      <c r="N102" s="532"/>
      <c r="O102" s="532"/>
      <c r="P102" s="532"/>
      <c r="Q102" s="532"/>
      <c r="R102" s="532"/>
      <c r="S102" s="532"/>
      <c r="T102" s="535">
        <f>-78-38-3</f>
        <v>-119</v>
      </c>
      <c r="U102" s="451"/>
      <c r="V102" s="405"/>
    </row>
    <row r="103" spans="1:23" x14ac:dyDescent="0.3">
      <c r="A103" s="569" t="s">
        <v>136</v>
      </c>
      <c r="B103" s="532" t="s">
        <v>125</v>
      </c>
      <c r="C103" s="532"/>
      <c r="D103" s="532"/>
      <c r="E103" s="532"/>
      <c r="F103" s="532"/>
      <c r="G103" s="532"/>
      <c r="H103" s="532"/>
      <c r="I103" s="532"/>
      <c r="J103" s="532"/>
      <c r="K103" s="532"/>
      <c r="L103" s="532"/>
      <c r="M103" s="532"/>
      <c r="N103" s="532"/>
      <c r="O103" s="532"/>
      <c r="P103" s="532"/>
      <c r="Q103" s="532"/>
      <c r="R103" s="532"/>
      <c r="S103" s="532"/>
      <c r="T103" s="535">
        <v>0</v>
      </c>
      <c r="U103" s="451"/>
      <c r="V103" s="405"/>
    </row>
    <row r="104" spans="1:23" x14ac:dyDescent="0.3">
      <c r="A104" s="569" t="s">
        <v>137</v>
      </c>
      <c r="B104" s="532" t="s">
        <v>267</v>
      </c>
      <c r="C104" s="532"/>
      <c r="D104" s="532"/>
      <c r="E104" s="532"/>
      <c r="F104" s="532"/>
      <c r="G104" s="532"/>
      <c r="H104" s="532"/>
      <c r="I104" s="532"/>
      <c r="J104" s="532"/>
      <c r="K104" s="532"/>
      <c r="L104" s="532"/>
      <c r="M104" s="532"/>
      <c r="N104" s="532"/>
      <c r="O104" s="532"/>
      <c r="P104" s="532"/>
      <c r="Q104" s="532"/>
      <c r="R104" s="532"/>
      <c r="S104" s="532"/>
      <c r="T104" s="535">
        <v>0</v>
      </c>
      <c r="U104" s="451"/>
      <c r="V104" s="405"/>
    </row>
    <row r="105" spans="1:23" x14ac:dyDescent="0.3">
      <c r="A105" s="569" t="s">
        <v>162</v>
      </c>
      <c r="B105" s="532" t="s">
        <v>218</v>
      </c>
      <c r="C105" s="532"/>
      <c r="D105" s="532"/>
      <c r="E105" s="532"/>
      <c r="F105" s="532"/>
      <c r="G105" s="532"/>
      <c r="H105" s="532"/>
      <c r="I105" s="532"/>
      <c r="J105" s="532"/>
      <c r="K105" s="532"/>
      <c r="L105" s="532"/>
      <c r="M105" s="532"/>
      <c r="N105" s="532"/>
      <c r="O105" s="532"/>
      <c r="P105" s="532"/>
      <c r="Q105" s="532"/>
      <c r="R105" s="532"/>
      <c r="S105" s="532"/>
      <c r="T105" s="535">
        <v>-261</v>
      </c>
      <c r="U105" s="451"/>
      <c r="V105" s="405"/>
      <c r="W105" s="452"/>
    </row>
    <row r="106" spans="1:23" x14ac:dyDescent="0.3">
      <c r="A106" s="569" t="s">
        <v>163</v>
      </c>
      <c r="B106" s="532" t="s">
        <v>219</v>
      </c>
      <c r="C106" s="532"/>
      <c r="D106" s="532"/>
      <c r="E106" s="532"/>
      <c r="F106" s="532"/>
      <c r="G106" s="532"/>
      <c r="H106" s="532"/>
      <c r="I106" s="532"/>
      <c r="J106" s="532"/>
      <c r="K106" s="532"/>
      <c r="L106" s="532"/>
      <c r="M106" s="532"/>
      <c r="N106" s="532"/>
      <c r="O106" s="532"/>
      <c r="P106" s="532"/>
      <c r="Q106" s="532"/>
      <c r="R106" s="532"/>
      <c r="S106" s="532"/>
      <c r="T106" s="535">
        <v>-188</v>
      </c>
      <c r="U106" s="451"/>
      <c r="V106" s="405"/>
      <c r="W106" s="452"/>
    </row>
    <row r="107" spans="1:23" x14ac:dyDescent="0.3">
      <c r="A107" s="569" t="s">
        <v>252</v>
      </c>
      <c r="B107" s="532" t="s">
        <v>242</v>
      </c>
      <c r="C107" s="532"/>
      <c r="D107" s="532"/>
      <c r="E107" s="532"/>
      <c r="F107" s="532"/>
      <c r="G107" s="532"/>
      <c r="H107" s="532"/>
      <c r="I107" s="532"/>
      <c r="J107" s="532"/>
      <c r="K107" s="532"/>
      <c r="L107" s="532"/>
      <c r="M107" s="532"/>
      <c r="N107" s="532"/>
      <c r="O107" s="532"/>
      <c r="P107" s="532"/>
      <c r="Q107" s="532"/>
      <c r="R107" s="532"/>
      <c r="S107" s="532"/>
      <c r="T107" s="535">
        <v>-27</v>
      </c>
      <c r="U107" s="451"/>
      <c r="V107" s="453"/>
      <c r="W107" s="452"/>
    </row>
    <row r="108" spans="1:23" x14ac:dyDescent="0.3">
      <c r="A108" s="569" t="s">
        <v>245</v>
      </c>
      <c r="B108" s="532" t="s">
        <v>220</v>
      </c>
      <c r="C108" s="532"/>
      <c r="D108" s="532"/>
      <c r="E108" s="532"/>
      <c r="F108" s="532"/>
      <c r="G108" s="532"/>
      <c r="H108" s="532"/>
      <c r="I108" s="532"/>
      <c r="J108" s="532"/>
      <c r="K108" s="532"/>
      <c r="L108" s="532"/>
      <c r="M108" s="532"/>
      <c r="N108" s="532"/>
      <c r="O108" s="532"/>
      <c r="P108" s="532"/>
      <c r="Q108" s="532"/>
      <c r="R108" s="532"/>
      <c r="S108" s="532"/>
      <c r="T108" s="535">
        <v>-14</v>
      </c>
      <c r="U108" s="451"/>
      <c r="V108" s="405"/>
      <c r="W108" s="452"/>
    </row>
    <row r="109" spans="1:23" x14ac:dyDescent="0.3">
      <c r="A109" s="569" t="s">
        <v>246</v>
      </c>
      <c r="B109" s="532" t="s">
        <v>221</v>
      </c>
      <c r="C109" s="532"/>
      <c r="D109" s="532"/>
      <c r="E109" s="532"/>
      <c r="F109" s="532"/>
      <c r="G109" s="532"/>
      <c r="H109" s="532"/>
      <c r="I109" s="532"/>
      <c r="J109" s="532"/>
      <c r="K109" s="532"/>
      <c r="L109" s="532"/>
      <c r="M109" s="532"/>
      <c r="N109" s="532"/>
      <c r="O109" s="532"/>
      <c r="P109" s="532"/>
      <c r="Q109" s="532"/>
      <c r="R109" s="532"/>
      <c r="S109" s="532"/>
      <c r="T109" s="535">
        <v>-43</v>
      </c>
      <c r="U109" s="451"/>
      <c r="V109" s="405"/>
      <c r="W109" s="452"/>
    </row>
    <row r="110" spans="1:23" x14ac:dyDescent="0.3">
      <c r="A110" s="569" t="s">
        <v>247</v>
      </c>
      <c r="B110" s="532" t="s">
        <v>222</v>
      </c>
      <c r="C110" s="532"/>
      <c r="D110" s="532"/>
      <c r="E110" s="532"/>
      <c r="F110" s="532"/>
      <c r="G110" s="532"/>
      <c r="H110" s="532"/>
      <c r="I110" s="532"/>
      <c r="J110" s="532"/>
      <c r="K110" s="532"/>
      <c r="L110" s="532"/>
      <c r="M110" s="532"/>
      <c r="N110" s="532"/>
      <c r="O110" s="532"/>
      <c r="P110" s="532"/>
      <c r="Q110" s="532"/>
      <c r="R110" s="532"/>
      <c r="S110" s="532"/>
      <c r="T110" s="535">
        <v>-8</v>
      </c>
      <c r="U110" s="451"/>
      <c r="V110" s="405"/>
      <c r="W110" s="452"/>
    </row>
    <row r="111" spans="1:23" x14ac:dyDescent="0.3">
      <c r="A111" s="569" t="s">
        <v>248</v>
      </c>
      <c r="B111" s="532" t="s">
        <v>223</v>
      </c>
      <c r="C111" s="532"/>
      <c r="D111" s="532"/>
      <c r="E111" s="532"/>
      <c r="F111" s="532"/>
      <c r="G111" s="532"/>
      <c r="H111" s="532"/>
      <c r="I111" s="532"/>
      <c r="J111" s="532"/>
      <c r="K111" s="532"/>
      <c r="L111" s="532"/>
      <c r="M111" s="532"/>
      <c r="N111" s="532"/>
      <c r="O111" s="532"/>
      <c r="P111" s="532"/>
      <c r="Q111" s="532"/>
      <c r="R111" s="532"/>
      <c r="S111" s="532"/>
      <c r="T111" s="535">
        <v>-130</v>
      </c>
      <c r="U111" s="451"/>
      <c r="V111" s="405"/>
      <c r="W111" s="452"/>
    </row>
    <row r="112" spans="1:23" x14ac:dyDescent="0.3">
      <c r="A112" s="569">
        <v>7</v>
      </c>
      <c r="B112" s="532" t="s">
        <v>318</v>
      </c>
      <c r="C112" s="532"/>
      <c r="D112" s="532"/>
      <c r="E112" s="532"/>
      <c r="F112" s="532"/>
      <c r="G112" s="532"/>
      <c r="H112" s="532"/>
      <c r="I112" s="532"/>
      <c r="J112" s="532"/>
      <c r="K112" s="532"/>
      <c r="L112" s="532"/>
      <c r="M112" s="532"/>
      <c r="N112" s="532"/>
      <c r="O112" s="532"/>
      <c r="P112" s="532"/>
      <c r="Q112" s="532"/>
      <c r="R112" s="532"/>
      <c r="S112" s="532"/>
      <c r="T112" s="535">
        <v>0</v>
      </c>
      <c r="U112" s="451"/>
      <c r="V112" s="405"/>
      <c r="W112" s="452"/>
    </row>
    <row r="113" spans="1:22" x14ac:dyDescent="0.3">
      <c r="A113" s="569">
        <v>8</v>
      </c>
      <c r="B113" s="532" t="s">
        <v>38</v>
      </c>
      <c r="C113" s="532"/>
      <c r="D113" s="532"/>
      <c r="E113" s="532"/>
      <c r="F113" s="532"/>
      <c r="G113" s="532"/>
      <c r="H113" s="532"/>
      <c r="I113" s="532"/>
      <c r="J113" s="532"/>
      <c r="K113" s="532"/>
      <c r="L113" s="532"/>
      <c r="M113" s="532"/>
      <c r="N113" s="532"/>
      <c r="O113" s="532"/>
      <c r="P113" s="532"/>
      <c r="Q113" s="532"/>
      <c r="R113" s="532"/>
      <c r="S113" s="532"/>
      <c r="T113" s="535">
        <v>-8</v>
      </c>
      <c r="U113" s="451"/>
      <c r="V113" s="405"/>
    </row>
    <row r="114" spans="1:22" x14ac:dyDescent="0.3">
      <c r="A114" s="569">
        <f t="shared" ref="A114:A122" si="0">+A113+1</f>
        <v>9</v>
      </c>
      <c r="B114" s="532" t="s">
        <v>49</v>
      </c>
      <c r="C114" s="532"/>
      <c r="D114" s="532"/>
      <c r="E114" s="532"/>
      <c r="F114" s="532"/>
      <c r="G114" s="532"/>
      <c r="H114" s="532"/>
      <c r="I114" s="532"/>
      <c r="J114" s="532"/>
      <c r="K114" s="532"/>
      <c r="L114" s="532"/>
      <c r="M114" s="532"/>
      <c r="N114" s="532"/>
      <c r="O114" s="532"/>
      <c r="P114" s="532"/>
      <c r="Q114" s="532"/>
      <c r="R114" s="531">
        <f>-T114</f>
        <v>171</v>
      </c>
      <c r="S114" s="532"/>
      <c r="T114" s="535">
        <v>-171</v>
      </c>
      <c r="U114" s="451"/>
      <c r="V114" s="405"/>
    </row>
    <row r="115" spans="1:22" x14ac:dyDescent="0.3">
      <c r="A115" s="569">
        <f t="shared" si="0"/>
        <v>10</v>
      </c>
      <c r="B115" s="532" t="s">
        <v>134</v>
      </c>
      <c r="C115" s="532"/>
      <c r="D115" s="532"/>
      <c r="E115" s="532"/>
      <c r="F115" s="532"/>
      <c r="G115" s="532"/>
      <c r="H115" s="532"/>
      <c r="I115" s="532"/>
      <c r="J115" s="532"/>
      <c r="K115" s="532"/>
      <c r="L115" s="532"/>
      <c r="M115" s="532"/>
      <c r="N115" s="532"/>
      <c r="O115" s="532"/>
      <c r="P115" s="532"/>
      <c r="Q115" s="532"/>
      <c r="R115" s="532"/>
      <c r="S115" s="532"/>
      <c r="T115" s="535">
        <v>0</v>
      </c>
      <c r="U115" s="451"/>
      <c r="V115" s="405"/>
    </row>
    <row r="116" spans="1:22" x14ac:dyDescent="0.3">
      <c r="A116" s="569">
        <f t="shared" si="0"/>
        <v>11</v>
      </c>
      <c r="B116" s="532" t="s">
        <v>39</v>
      </c>
      <c r="C116" s="532"/>
      <c r="D116" s="532"/>
      <c r="E116" s="532"/>
      <c r="F116" s="532"/>
      <c r="G116" s="532"/>
      <c r="H116" s="532"/>
      <c r="I116" s="532"/>
      <c r="J116" s="532"/>
      <c r="K116" s="532"/>
      <c r="L116" s="532"/>
      <c r="M116" s="532"/>
      <c r="N116" s="532"/>
      <c r="O116" s="532"/>
      <c r="P116" s="532"/>
      <c r="Q116" s="532"/>
      <c r="R116" s="532"/>
      <c r="S116" s="532"/>
      <c r="T116" s="535">
        <v>0</v>
      </c>
      <c r="U116" s="451"/>
      <c r="V116" s="405"/>
    </row>
    <row r="117" spans="1:22" x14ac:dyDescent="0.3">
      <c r="A117" s="569">
        <f t="shared" si="0"/>
        <v>12</v>
      </c>
      <c r="B117" s="532" t="s">
        <v>40</v>
      </c>
      <c r="C117" s="532"/>
      <c r="D117" s="532"/>
      <c r="E117" s="532"/>
      <c r="F117" s="532"/>
      <c r="G117" s="532"/>
      <c r="H117" s="532"/>
      <c r="I117" s="532"/>
      <c r="J117" s="532"/>
      <c r="K117" s="532"/>
      <c r="L117" s="532"/>
      <c r="M117" s="532"/>
      <c r="N117" s="532"/>
      <c r="O117" s="532"/>
      <c r="P117" s="532"/>
      <c r="Q117" s="532"/>
      <c r="R117" s="532"/>
      <c r="S117" s="532"/>
      <c r="T117" s="535">
        <v>0</v>
      </c>
      <c r="U117" s="451"/>
      <c r="V117" s="405"/>
    </row>
    <row r="118" spans="1:22" x14ac:dyDescent="0.3">
      <c r="A118" s="569">
        <f t="shared" si="0"/>
        <v>13</v>
      </c>
      <c r="B118" s="532" t="s">
        <v>161</v>
      </c>
      <c r="C118" s="532"/>
      <c r="D118" s="532"/>
      <c r="E118" s="532"/>
      <c r="F118" s="532"/>
      <c r="G118" s="532"/>
      <c r="H118" s="532"/>
      <c r="I118" s="532"/>
      <c r="J118" s="532"/>
      <c r="K118" s="532"/>
      <c r="L118" s="532"/>
      <c r="M118" s="532"/>
      <c r="N118" s="532"/>
      <c r="O118" s="532"/>
      <c r="P118" s="532"/>
      <c r="Q118" s="532"/>
      <c r="R118" s="532"/>
      <c r="S118" s="532"/>
      <c r="T118" s="535">
        <v>-78</v>
      </c>
      <c r="U118" s="451"/>
      <c r="V118" s="405"/>
    </row>
    <row r="119" spans="1:22" x14ac:dyDescent="0.3">
      <c r="A119" s="569">
        <f t="shared" si="0"/>
        <v>14</v>
      </c>
      <c r="B119" s="532" t="s">
        <v>361</v>
      </c>
      <c r="C119" s="532"/>
      <c r="D119" s="532"/>
      <c r="E119" s="532"/>
      <c r="F119" s="532"/>
      <c r="G119" s="532"/>
      <c r="H119" s="532"/>
      <c r="I119" s="532"/>
      <c r="J119" s="532"/>
      <c r="K119" s="532"/>
      <c r="L119" s="532"/>
      <c r="M119" s="532"/>
      <c r="N119" s="532"/>
      <c r="O119" s="532"/>
      <c r="P119" s="532"/>
      <c r="Q119" s="532"/>
      <c r="R119" s="532"/>
      <c r="S119" s="532"/>
      <c r="T119" s="535">
        <v>-154</v>
      </c>
      <c r="U119" s="451"/>
      <c r="V119" s="405"/>
    </row>
    <row r="120" spans="1:22" x14ac:dyDescent="0.3">
      <c r="A120" s="569">
        <f t="shared" si="0"/>
        <v>15</v>
      </c>
      <c r="B120" s="532" t="s">
        <v>366</v>
      </c>
      <c r="C120" s="532"/>
      <c r="D120" s="532"/>
      <c r="E120" s="532"/>
      <c r="F120" s="532"/>
      <c r="G120" s="532"/>
      <c r="H120" s="532"/>
      <c r="I120" s="532"/>
      <c r="J120" s="532"/>
      <c r="K120" s="532"/>
      <c r="L120" s="532"/>
      <c r="M120" s="532"/>
      <c r="N120" s="532"/>
      <c r="O120" s="532"/>
      <c r="P120" s="532"/>
      <c r="Q120" s="532"/>
      <c r="R120" s="532"/>
      <c r="S120" s="532"/>
      <c r="T120" s="535">
        <f>-57-12320</f>
        <v>-12377</v>
      </c>
      <c r="U120" s="451"/>
      <c r="V120" s="405"/>
    </row>
    <row r="121" spans="1:22" x14ac:dyDescent="0.3">
      <c r="A121" s="569">
        <f t="shared" si="0"/>
        <v>16</v>
      </c>
      <c r="B121" s="532" t="s">
        <v>358</v>
      </c>
      <c r="C121" s="532"/>
      <c r="D121" s="532"/>
      <c r="E121" s="532"/>
      <c r="F121" s="532"/>
      <c r="G121" s="532"/>
      <c r="H121" s="532"/>
      <c r="I121" s="532"/>
      <c r="J121" s="532"/>
      <c r="K121" s="532"/>
      <c r="L121" s="532"/>
      <c r="M121" s="532"/>
      <c r="N121" s="532"/>
      <c r="O121" s="532"/>
      <c r="P121" s="532"/>
      <c r="Q121" s="532"/>
      <c r="R121" s="532"/>
      <c r="S121" s="532"/>
      <c r="T121" s="535">
        <v>0</v>
      </c>
      <c r="U121" s="451"/>
      <c r="V121" s="405"/>
    </row>
    <row r="122" spans="1:22" x14ac:dyDescent="0.3">
      <c r="A122" s="569">
        <f t="shared" si="0"/>
        <v>17</v>
      </c>
      <c r="B122" s="532" t="s">
        <v>360</v>
      </c>
      <c r="C122" s="532"/>
      <c r="D122" s="532"/>
      <c r="E122" s="532"/>
      <c r="F122" s="532"/>
      <c r="G122" s="532"/>
      <c r="H122" s="532"/>
      <c r="I122" s="532"/>
      <c r="J122" s="532"/>
      <c r="K122" s="532"/>
      <c r="L122" s="532"/>
      <c r="M122" s="532"/>
      <c r="N122" s="532"/>
      <c r="O122" s="532"/>
      <c r="P122" s="532"/>
      <c r="Q122" s="532"/>
      <c r="R122" s="532"/>
      <c r="S122" s="532"/>
      <c r="T122" s="535">
        <f>-T98-SUM(T100:T121)</f>
        <v>-271</v>
      </c>
      <c r="U122" s="451"/>
      <c r="V122" s="405"/>
    </row>
    <row r="123" spans="1:22" x14ac:dyDescent="0.3">
      <c r="A123" s="418"/>
      <c r="B123" s="522" t="s">
        <v>41</v>
      </c>
      <c r="C123" s="448"/>
      <c r="D123" s="448"/>
      <c r="E123" s="448"/>
      <c r="F123" s="448"/>
      <c r="G123" s="448"/>
      <c r="H123" s="448"/>
      <c r="I123" s="448"/>
      <c r="J123" s="448"/>
      <c r="K123" s="448"/>
      <c r="L123" s="448"/>
      <c r="M123" s="448"/>
      <c r="N123" s="448"/>
      <c r="O123" s="448"/>
      <c r="P123" s="448"/>
      <c r="Q123" s="448"/>
      <c r="R123" s="448"/>
      <c r="S123" s="448"/>
      <c r="T123" s="454"/>
      <c r="U123" s="451"/>
      <c r="V123" s="405"/>
    </row>
    <row r="124" spans="1:22" x14ac:dyDescent="0.3">
      <c r="A124" s="428"/>
      <c r="B124" s="532" t="s">
        <v>229</v>
      </c>
      <c r="C124" s="532"/>
      <c r="D124" s="532"/>
      <c r="E124" s="532"/>
      <c r="F124" s="532"/>
      <c r="G124" s="532"/>
      <c r="H124" s="532"/>
      <c r="I124" s="532"/>
      <c r="J124" s="532"/>
      <c r="K124" s="532"/>
      <c r="L124" s="532"/>
      <c r="M124" s="532"/>
      <c r="N124" s="532"/>
      <c r="O124" s="532"/>
      <c r="P124" s="532"/>
      <c r="Q124" s="532"/>
      <c r="R124" s="531">
        <f>-R184</f>
        <v>0</v>
      </c>
      <c r="S124" s="531"/>
      <c r="T124" s="535"/>
      <c r="U124" s="562"/>
      <c r="V124" s="405"/>
    </row>
    <row r="125" spans="1:22" x14ac:dyDescent="0.3">
      <c r="A125" s="428"/>
      <c r="B125" s="532" t="s">
        <v>230</v>
      </c>
      <c r="C125" s="532"/>
      <c r="D125" s="532"/>
      <c r="E125" s="532"/>
      <c r="F125" s="532"/>
      <c r="G125" s="532"/>
      <c r="H125" s="532"/>
      <c r="I125" s="532"/>
      <c r="J125" s="532"/>
      <c r="K125" s="532"/>
      <c r="L125" s="532"/>
      <c r="M125" s="532"/>
      <c r="N125" s="532"/>
      <c r="O125" s="532"/>
      <c r="P125" s="532"/>
      <c r="Q125" s="532"/>
      <c r="R125" s="531">
        <v>0</v>
      </c>
      <c r="S125" s="531"/>
      <c r="T125" s="535"/>
      <c r="U125" s="562"/>
      <c r="V125" s="405"/>
    </row>
    <row r="126" spans="1:22" x14ac:dyDescent="0.3">
      <c r="A126" s="428"/>
      <c r="B126" s="532" t="s">
        <v>42</v>
      </c>
      <c r="C126" s="532"/>
      <c r="D126" s="532"/>
      <c r="E126" s="532"/>
      <c r="F126" s="532"/>
      <c r="G126" s="532"/>
      <c r="H126" s="532"/>
      <c r="I126" s="532"/>
      <c r="J126" s="532"/>
      <c r="K126" s="532"/>
      <c r="L126" s="532"/>
      <c r="M126" s="532"/>
      <c r="N126" s="532"/>
      <c r="O126" s="532"/>
      <c r="P126" s="532"/>
      <c r="Q126" s="532"/>
      <c r="R126" s="531">
        <f>-Q184</f>
        <v>0</v>
      </c>
      <c r="S126" s="531"/>
      <c r="T126" s="535"/>
      <c r="U126" s="562"/>
      <c r="V126" s="405"/>
    </row>
    <row r="127" spans="1:22" x14ac:dyDescent="0.3">
      <c r="A127" s="428"/>
      <c r="B127" s="532" t="s">
        <v>235</v>
      </c>
      <c r="C127" s="532"/>
      <c r="D127" s="532"/>
      <c r="E127" s="532"/>
      <c r="F127" s="532"/>
      <c r="G127" s="532"/>
      <c r="H127" s="532"/>
      <c r="I127" s="532"/>
      <c r="J127" s="532"/>
      <c r="K127" s="532"/>
      <c r="L127" s="532"/>
      <c r="M127" s="532"/>
      <c r="N127" s="532"/>
      <c r="O127" s="532"/>
      <c r="P127" s="532"/>
      <c r="Q127" s="532"/>
      <c r="R127" s="531">
        <v>-87529</v>
      </c>
      <c r="S127" s="531"/>
      <c r="T127" s="535"/>
      <c r="U127" s="562"/>
      <c r="V127" s="405"/>
    </row>
    <row r="128" spans="1:22" x14ac:dyDescent="0.3">
      <c r="A128" s="428"/>
      <c r="B128" s="532" t="s">
        <v>236</v>
      </c>
      <c r="C128" s="532"/>
      <c r="D128" s="532"/>
      <c r="E128" s="532"/>
      <c r="F128" s="532"/>
      <c r="G128" s="532"/>
      <c r="H128" s="532"/>
      <c r="I128" s="532"/>
      <c r="J128" s="532"/>
      <c r="K128" s="532"/>
      <c r="L128" s="532"/>
      <c r="M128" s="532"/>
      <c r="N128" s="532"/>
      <c r="O128" s="532"/>
      <c r="P128" s="532"/>
      <c r="Q128" s="532"/>
      <c r="R128" s="531">
        <v>-61852</v>
      </c>
      <c r="S128" s="531"/>
      <c r="T128" s="535"/>
      <c r="U128" s="562"/>
      <c r="V128" s="405"/>
    </row>
    <row r="129" spans="1:22" x14ac:dyDescent="0.3">
      <c r="A129" s="428"/>
      <c r="B129" s="532" t="s">
        <v>241</v>
      </c>
      <c r="C129" s="532"/>
      <c r="D129" s="532"/>
      <c r="E129" s="532"/>
      <c r="F129" s="532"/>
      <c r="G129" s="532"/>
      <c r="H129" s="532"/>
      <c r="I129" s="532"/>
      <c r="J129" s="532"/>
      <c r="K129" s="532"/>
      <c r="L129" s="532"/>
      <c r="M129" s="532"/>
      <c r="N129" s="532"/>
      <c r="O129" s="532"/>
      <c r="P129" s="532"/>
      <c r="Q129" s="532"/>
      <c r="R129" s="531">
        <v>-8575</v>
      </c>
      <c r="S129" s="531"/>
      <c r="T129" s="535"/>
      <c r="U129" s="562"/>
      <c r="V129" s="405"/>
    </row>
    <row r="130" spans="1:22" x14ac:dyDescent="0.3">
      <c r="A130" s="428"/>
      <c r="B130" s="532" t="s">
        <v>237</v>
      </c>
      <c r="C130" s="532"/>
      <c r="D130" s="532"/>
      <c r="E130" s="532"/>
      <c r="F130" s="532"/>
      <c r="G130" s="532"/>
      <c r="H130" s="532"/>
      <c r="I130" s="532"/>
      <c r="J130" s="532"/>
      <c r="K130" s="532"/>
      <c r="L130" s="532"/>
      <c r="M130" s="532"/>
      <c r="N130" s="532"/>
      <c r="O130" s="532"/>
      <c r="P130" s="532"/>
      <c r="Q130" s="532"/>
      <c r="R130" s="531">
        <v>-4030</v>
      </c>
      <c r="S130" s="531"/>
      <c r="T130" s="535"/>
      <c r="U130" s="562"/>
      <c r="V130" s="405"/>
    </row>
    <row r="131" spans="1:22" x14ac:dyDescent="0.3">
      <c r="A131" s="428"/>
      <c r="B131" s="532" t="s">
        <v>238</v>
      </c>
      <c r="C131" s="532"/>
      <c r="D131" s="532"/>
      <c r="E131" s="532"/>
      <c r="F131" s="532"/>
      <c r="G131" s="532"/>
      <c r="H131" s="532"/>
      <c r="I131" s="532"/>
      <c r="J131" s="532"/>
      <c r="K131" s="532"/>
      <c r="L131" s="532"/>
      <c r="M131" s="532"/>
      <c r="N131" s="532"/>
      <c r="O131" s="532"/>
      <c r="P131" s="532"/>
      <c r="Q131" s="532"/>
      <c r="R131" s="531">
        <v>-11686</v>
      </c>
      <c r="S131" s="531"/>
      <c r="T131" s="535"/>
      <c r="U131" s="562"/>
      <c r="V131" s="405"/>
    </row>
    <row r="132" spans="1:22" x14ac:dyDescent="0.3">
      <c r="A132" s="428"/>
      <c r="B132" s="532" t="s">
        <v>239</v>
      </c>
      <c r="C132" s="532"/>
      <c r="D132" s="532"/>
      <c r="E132" s="532"/>
      <c r="F132" s="532"/>
      <c r="G132" s="532"/>
      <c r="H132" s="532"/>
      <c r="I132" s="532"/>
      <c r="J132" s="532"/>
      <c r="K132" s="532"/>
      <c r="L132" s="532"/>
      <c r="M132" s="532"/>
      <c r="N132" s="532"/>
      <c r="O132" s="532"/>
      <c r="P132" s="532"/>
      <c r="Q132" s="532"/>
      <c r="R132" s="531">
        <v>-1727</v>
      </c>
      <c r="S132" s="531"/>
      <c r="T132" s="535"/>
      <c r="U132" s="562"/>
      <c r="V132" s="405"/>
    </row>
    <row r="133" spans="1:22" x14ac:dyDescent="0.3">
      <c r="A133" s="428"/>
      <c r="B133" s="532" t="s">
        <v>240</v>
      </c>
      <c r="C133" s="532"/>
      <c r="D133" s="532"/>
      <c r="E133" s="532"/>
      <c r="F133" s="532"/>
      <c r="G133" s="532"/>
      <c r="H133" s="532"/>
      <c r="I133" s="532"/>
      <c r="J133" s="532"/>
      <c r="K133" s="532"/>
      <c r="L133" s="532"/>
      <c r="M133" s="532"/>
      <c r="N133" s="532"/>
      <c r="O133" s="532"/>
      <c r="P133" s="532"/>
      <c r="Q133" s="532"/>
      <c r="R133" s="531">
        <v>-26077</v>
      </c>
      <c r="S133" s="531"/>
      <c r="T133" s="535"/>
      <c r="U133" s="562"/>
      <c r="V133" s="405"/>
    </row>
    <row r="134" spans="1:22" x14ac:dyDescent="0.3">
      <c r="A134" s="428"/>
      <c r="B134" s="532" t="s">
        <v>43</v>
      </c>
      <c r="C134" s="532"/>
      <c r="D134" s="532"/>
      <c r="E134" s="532"/>
      <c r="F134" s="532"/>
      <c r="G134" s="532"/>
      <c r="H134" s="532"/>
      <c r="I134" s="532"/>
      <c r="J134" s="532"/>
      <c r="K134" s="532"/>
      <c r="L134" s="532"/>
      <c r="M134" s="532"/>
      <c r="N134" s="532"/>
      <c r="O134" s="532"/>
      <c r="P134" s="532"/>
      <c r="Q134" s="532"/>
      <c r="R134" s="531">
        <f>SUM(R124:R133)</f>
        <v>-201476</v>
      </c>
      <c r="S134" s="531"/>
      <c r="T134" s="531">
        <f>SUM(T99:T132)</f>
        <v>-13851</v>
      </c>
      <c r="U134" s="562"/>
      <c r="V134" s="405"/>
    </row>
    <row r="135" spans="1:22" x14ac:dyDescent="0.3">
      <c r="A135" s="428"/>
      <c r="B135" s="532" t="s">
        <v>44</v>
      </c>
      <c r="C135" s="532"/>
      <c r="D135" s="532"/>
      <c r="E135" s="532"/>
      <c r="F135" s="532"/>
      <c r="G135" s="532"/>
      <c r="H135" s="532"/>
      <c r="I135" s="532"/>
      <c r="J135" s="532"/>
      <c r="K135" s="532"/>
      <c r="L135" s="532"/>
      <c r="M135" s="532"/>
      <c r="N135" s="532"/>
      <c r="O135" s="532"/>
      <c r="P135" s="532"/>
      <c r="Q135" s="532"/>
      <c r="R135" s="531">
        <f>R98+R134+R114</f>
        <v>0</v>
      </c>
      <c r="S135" s="531"/>
      <c r="T135" s="531">
        <f>T98+T134</f>
        <v>0</v>
      </c>
      <c r="U135" s="562"/>
      <c r="V135" s="405"/>
    </row>
    <row r="136" spans="1:22" x14ac:dyDescent="0.3">
      <c r="A136" s="430"/>
      <c r="B136" s="431"/>
      <c r="C136" s="431"/>
      <c r="D136" s="431"/>
      <c r="E136" s="431"/>
      <c r="F136" s="431"/>
      <c r="G136" s="431"/>
      <c r="H136" s="431"/>
      <c r="I136" s="431"/>
      <c r="J136" s="431"/>
      <c r="K136" s="431"/>
      <c r="L136" s="431"/>
      <c r="M136" s="431"/>
      <c r="N136" s="431"/>
      <c r="O136" s="431"/>
      <c r="P136" s="431"/>
      <c r="Q136" s="431"/>
      <c r="R136" s="455"/>
      <c r="S136" s="455"/>
      <c r="T136" s="455"/>
      <c r="U136" s="431"/>
      <c r="V136" s="405"/>
    </row>
    <row r="137" spans="1:22" x14ac:dyDescent="0.3">
      <c r="A137" s="430"/>
      <c r="B137" s="434"/>
      <c r="C137" s="434"/>
      <c r="D137" s="434"/>
      <c r="E137" s="434"/>
      <c r="F137" s="434"/>
      <c r="G137" s="434"/>
      <c r="H137" s="434"/>
      <c r="I137" s="434"/>
      <c r="J137" s="434"/>
      <c r="K137" s="434"/>
      <c r="L137" s="434"/>
      <c r="M137" s="434"/>
      <c r="N137" s="434"/>
      <c r="O137" s="434"/>
      <c r="P137" s="434"/>
      <c r="Q137" s="434"/>
      <c r="R137" s="434"/>
      <c r="S137" s="434"/>
      <c r="T137" s="456"/>
      <c r="U137" s="434"/>
      <c r="V137" s="405"/>
    </row>
    <row r="138" spans="1:22" ht="18.600000000000001" thickBot="1" x14ac:dyDescent="0.4">
      <c r="A138" s="437"/>
      <c r="B138" s="565" t="str">
        <f>B61</f>
        <v>PM9 INVESTOR REPORT QUARTER ENDING JANUARY 2020</v>
      </c>
      <c r="C138" s="438"/>
      <c r="D138" s="438"/>
      <c r="E138" s="438"/>
      <c r="F138" s="438"/>
      <c r="G138" s="438"/>
      <c r="H138" s="438"/>
      <c r="I138" s="438"/>
      <c r="J138" s="438"/>
      <c r="K138" s="438"/>
      <c r="L138" s="438"/>
      <c r="M138" s="438"/>
      <c r="N138" s="438"/>
      <c r="O138" s="438"/>
      <c r="P138" s="438"/>
      <c r="Q138" s="438"/>
      <c r="R138" s="438"/>
      <c r="S138" s="438"/>
      <c r="T138" s="457"/>
      <c r="U138" s="440"/>
      <c r="V138" s="405"/>
    </row>
    <row r="139" spans="1:22" x14ac:dyDescent="0.3">
      <c r="A139" s="507"/>
      <c r="B139" s="508" t="s">
        <v>45</v>
      </c>
      <c r="C139" s="509"/>
      <c r="D139" s="509"/>
      <c r="E139" s="509"/>
      <c r="F139" s="509"/>
      <c r="G139" s="509"/>
      <c r="H139" s="509"/>
      <c r="I139" s="509"/>
      <c r="J139" s="509"/>
      <c r="K139" s="509"/>
      <c r="L139" s="509"/>
      <c r="M139" s="509"/>
      <c r="N139" s="509"/>
      <c r="O139" s="509"/>
      <c r="P139" s="509"/>
      <c r="Q139" s="509"/>
      <c r="R139" s="509"/>
      <c r="S139" s="509"/>
      <c r="T139" s="510"/>
      <c r="U139" s="509"/>
      <c r="V139" s="405"/>
    </row>
    <row r="140" spans="1:22" x14ac:dyDescent="0.3">
      <c r="A140" s="407"/>
      <c r="B140" s="458"/>
      <c r="C140" s="409"/>
      <c r="D140" s="409"/>
      <c r="E140" s="409"/>
      <c r="F140" s="409"/>
      <c r="G140" s="409"/>
      <c r="H140" s="409"/>
      <c r="I140" s="409"/>
      <c r="J140" s="409"/>
      <c r="K140" s="409"/>
      <c r="L140" s="409"/>
      <c r="M140" s="409"/>
      <c r="N140" s="409"/>
      <c r="O140" s="409"/>
      <c r="P140" s="409"/>
      <c r="Q140" s="409"/>
      <c r="R140" s="409"/>
      <c r="S140" s="409"/>
      <c r="T140" s="441"/>
      <c r="U140" s="409"/>
      <c r="V140" s="405"/>
    </row>
    <row r="141" spans="1:22" x14ac:dyDescent="0.3">
      <c r="A141" s="407"/>
      <c r="B141" s="523" t="s">
        <v>46</v>
      </c>
      <c r="C141" s="409"/>
      <c r="D141" s="409"/>
      <c r="E141" s="409"/>
      <c r="F141" s="409"/>
      <c r="G141" s="409"/>
      <c r="H141" s="409"/>
      <c r="I141" s="409"/>
      <c r="J141" s="409"/>
      <c r="K141" s="409"/>
      <c r="L141" s="409"/>
      <c r="M141" s="409"/>
      <c r="N141" s="409"/>
      <c r="O141" s="409"/>
      <c r="P141" s="409"/>
      <c r="Q141" s="409"/>
      <c r="R141" s="409"/>
      <c r="S141" s="409"/>
      <c r="T141" s="441"/>
      <c r="U141" s="409"/>
      <c r="V141" s="405"/>
    </row>
    <row r="142" spans="1:22" x14ac:dyDescent="0.3">
      <c r="A142" s="418"/>
      <c r="B142" s="532" t="s">
        <v>47</v>
      </c>
      <c r="C142" s="532"/>
      <c r="D142" s="532"/>
      <c r="E142" s="532"/>
      <c r="F142" s="532"/>
      <c r="G142" s="532"/>
      <c r="H142" s="532"/>
      <c r="I142" s="532"/>
      <c r="J142" s="532"/>
      <c r="K142" s="532"/>
      <c r="L142" s="532"/>
      <c r="M142" s="532"/>
      <c r="N142" s="532"/>
      <c r="O142" s="532"/>
      <c r="P142" s="532"/>
      <c r="Q142" s="532"/>
      <c r="R142" s="532"/>
      <c r="S142" s="532"/>
      <c r="T142" s="535">
        <f>+T32*0.0176</f>
        <v>12320</v>
      </c>
      <c r="U142" s="420"/>
      <c r="V142" s="405"/>
    </row>
    <row r="143" spans="1:22" x14ac:dyDescent="0.3">
      <c r="A143" s="418"/>
      <c r="B143" s="532" t="s">
        <v>48</v>
      </c>
      <c r="C143" s="532"/>
      <c r="D143" s="532"/>
      <c r="E143" s="532"/>
      <c r="F143" s="532"/>
      <c r="G143" s="532"/>
      <c r="H143" s="532"/>
      <c r="I143" s="532"/>
      <c r="J143" s="532"/>
      <c r="K143" s="532"/>
      <c r="L143" s="532"/>
      <c r="M143" s="532"/>
      <c r="N143" s="532"/>
      <c r="O143" s="532"/>
      <c r="P143" s="532"/>
      <c r="Q143" s="532"/>
      <c r="R143" s="532"/>
      <c r="S143" s="532"/>
      <c r="T143" s="535">
        <v>12320</v>
      </c>
      <c r="U143" s="420"/>
      <c r="V143" s="405"/>
    </row>
    <row r="144" spans="1:22" x14ac:dyDescent="0.3">
      <c r="A144" s="418"/>
      <c r="B144" s="532" t="s">
        <v>364</v>
      </c>
      <c r="C144" s="532"/>
      <c r="D144" s="532"/>
      <c r="E144" s="532"/>
      <c r="F144" s="532"/>
      <c r="G144" s="532"/>
      <c r="H144" s="532"/>
      <c r="I144" s="532"/>
      <c r="J144" s="532"/>
      <c r="K144" s="532"/>
      <c r="L144" s="532"/>
      <c r="M144" s="532"/>
      <c r="N144" s="532"/>
      <c r="O144" s="532"/>
      <c r="P144" s="532"/>
      <c r="Q144" s="532"/>
      <c r="R144" s="532"/>
      <c r="S144" s="532"/>
      <c r="T144" s="535">
        <v>-12320</v>
      </c>
      <c r="U144" s="420"/>
      <c r="V144" s="405"/>
    </row>
    <row r="145" spans="1:23" x14ac:dyDescent="0.3">
      <c r="A145" s="418"/>
      <c r="B145" s="532" t="s">
        <v>132</v>
      </c>
      <c r="C145" s="532"/>
      <c r="D145" s="532"/>
      <c r="E145" s="532"/>
      <c r="F145" s="532"/>
      <c r="G145" s="532"/>
      <c r="H145" s="532"/>
      <c r="I145" s="532"/>
      <c r="J145" s="532"/>
      <c r="K145" s="532"/>
      <c r="L145" s="532"/>
      <c r="M145" s="532"/>
      <c r="N145" s="532"/>
      <c r="O145" s="532"/>
      <c r="P145" s="532"/>
      <c r="Q145" s="532"/>
      <c r="R145" s="532"/>
      <c r="S145" s="532"/>
      <c r="T145" s="535">
        <v>0</v>
      </c>
      <c r="U145" s="420"/>
      <c r="V145" s="405"/>
    </row>
    <row r="146" spans="1:23" x14ac:dyDescent="0.3">
      <c r="A146" s="418"/>
      <c r="B146" s="532" t="s">
        <v>133</v>
      </c>
      <c r="C146" s="532"/>
      <c r="D146" s="532"/>
      <c r="E146" s="532"/>
      <c r="F146" s="532"/>
      <c r="G146" s="532"/>
      <c r="H146" s="532"/>
      <c r="I146" s="532"/>
      <c r="J146" s="532"/>
      <c r="K146" s="532"/>
      <c r="L146" s="532"/>
      <c r="M146" s="532"/>
      <c r="N146" s="532"/>
      <c r="O146" s="532"/>
      <c r="P146" s="532"/>
      <c r="Q146" s="532"/>
      <c r="R146" s="532"/>
      <c r="S146" s="532"/>
      <c r="T146" s="535">
        <v>0</v>
      </c>
      <c r="U146" s="420"/>
      <c r="V146" s="405"/>
    </row>
    <row r="147" spans="1:23" x14ac:dyDescent="0.3">
      <c r="A147" s="418"/>
      <c r="B147" s="532" t="s">
        <v>232</v>
      </c>
      <c r="C147" s="532"/>
      <c r="D147" s="532"/>
      <c r="E147" s="532"/>
      <c r="F147" s="532"/>
      <c r="G147" s="532"/>
      <c r="H147" s="532"/>
      <c r="I147" s="532"/>
      <c r="J147" s="532"/>
      <c r="K147" s="532"/>
      <c r="L147" s="532"/>
      <c r="M147" s="532"/>
      <c r="N147" s="532"/>
      <c r="O147" s="532"/>
      <c r="P147" s="532"/>
      <c r="Q147" s="532"/>
      <c r="R147" s="532"/>
      <c r="S147" s="532"/>
      <c r="T147" s="535">
        <v>0</v>
      </c>
      <c r="U147" s="420"/>
      <c r="V147" s="405"/>
    </row>
    <row r="148" spans="1:23" x14ac:dyDescent="0.3">
      <c r="A148" s="418"/>
      <c r="B148" s="532" t="s">
        <v>49</v>
      </c>
      <c r="C148" s="532"/>
      <c r="D148" s="532"/>
      <c r="E148" s="532"/>
      <c r="F148" s="532"/>
      <c r="G148" s="532"/>
      <c r="H148" s="532"/>
      <c r="I148" s="532"/>
      <c r="J148" s="532"/>
      <c r="K148" s="532"/>
      <c r="L148" s="532"/>
      <c r="M148" s="532"/>
      <c r="N148" s="532"/>
      <c r="O148" s="532"/>
      <c r="P148" s="532"/>
      <c r="Q148" s="532"/>
      <c r="R148" s="532"/>
      <c r="S148" s="532"/>
      <c r="T148" s="535">
        <v>0</v>
      </c>
      <c r="U148" s="420"/>
      <c r="V148" s="405"/>
    </row>
    <row r="149" spans="1:23" x14ac:dyDescent="0.3">
      <c r="A149" s="418"/>
      <c r="B149" s="532" t="s">
        <v>138</v>
      </c>
      <c r="C149" s="532"/>
      <c r="D149" s="532"/>
      <c r="E149" s="532"/>
      <c r="F149" s="532"/>
      <c r="G149" s="532"/>
      <c r="H149" s="532"/>
      <c r="I149" s="532"/>
      <c r="J149" s="532"/>
      <c r="K149" s="532"/>
      <c r="L149" s="532"/>
      <c r="M149" s="532"/>
      <c r="N149" s="532"/>
      <c r="O149" s="532"/>
      <c r="P149" s="532"/>
      <c r="Q149" s="532"/>
      <c r="R149" s="532"/>
      <c r="S149" s="532"/>
      <c r="T149" s="535">
        <v>0</v>
      </c>
      <c r="U149" s="420"/>
      <c r="V149" s="405"/>
    </row>
    <row r="150" spans="1:23" x14ac:dyDescent="0.3">
      <c r="A150" s="418"/>
      <c r="B150" s="532" t="s">
        <v>231</v>
      </c>
      <c r="C150" s="532"/>
      <c r="D150" s="532"/>
      <c r="E150" s="532"/>
      <c r="F150" s="532"/>
      <c r="G150" s="532"/>
      <c r="H150" s="532"/>
      <c r="I150" s="532"/>
      <c r="J150" s="532"/>
      <c r="K150" s="532"/>
      <c r="L150" s="532"/>
      <c r="M150" s="532"/>
      <c r="N150" s="532"/>
      <c r="O150" s="532"/>
      <c r="P150" s="532"/>
      <c r="Q150" s="532"/>
      <c r="R150" s="532"/>
      <c r="S150" s="532"/>
      <c r="T150" s="535">
        <v>0</v>
      </c>
      <c r="U150" s="420"/>
      <c r="V150" s="405"/>
      <c r="W150" s="452"/>
    </row>
    <row r="151" spans="1:23" x14ac:dyDescent="0.3">
      <c r="A151" s="418"/>
      <c r="B151" s="532" t="s">
        <v>50</v>
      </c>
      <c r="C151" s="532"/>
      <c r="D151" s="532"/>
      <c r="E151" s="532"/>
      <c r="F151" s="532"/>
      <c r="G151" s="532"/>
      <c r="H151" s="532"/>
      <c r="I151" s="532"/>
      <c r="J151" s="532"/>
      <c r="K151" s="532"/>
      <c r="L151" s="532"/>
      <c r="M151" s="532"/>
      <c r="N151" s="532"/>
      <c r="O151" s="532"/>
      <c r="P151" s="532"/>
      <c r="Q151" s="532"/>
      <c r="R151" s="532"/>
      <c r="S151" s="532"/>
      <c r="T151" s="535">
        <f>SUM(T143:T150)</f>
        <v>0</v>
      </c>
      <c r="U151" s="420"/>
      <c r="V151" s="405"/>
    </row>
    <row r="152" spans="1:23" x14ac:dyDescent="0.3">
      <c r="A152" s="418"/>
      <c r="B152" s="448"/>
      <c r="C152" s="448"/>
      <c r="D152" s="448"/>
      <c r="E152" s="448"/>
      <c r="F152" s="448"/>
      <c r="G152" s="448"/>
      <c r="H152" s="448"/>
      <c r="I152" s="448"/>
      <c r="J152" s="448"/>
      <c r="K152" s="448"/>
      <c r="L152" s="448"/>
      <c r="M152" s="448"/>
      <c r="N152" s="448"/>
      <c r="O152" s="448"/>
      <c r="P152" s="448"/>
      <c r="Q152" s="448"/>
      <c r="R152" s="448"/>
      <c r="S152" s="448"/>
      <c r="T152" s="450"/>
      <c r="U152" s="451"/>
      <c r="V152" s="405"/>
    </row>
    <row r="153" spans="1:23" x14ac:dyDescent="0.3">
      <c r="A153" s="418"/>
      <c r="B153" s="522" t="s">
        <v>264</v>
      </c>
      <c r="C153" s="448"/>
      <c r="D153" s="448"/>
      <c r="E153" s="448"/>
      <c r="F153" s="448"/>
      <c r="G153" s="448"/>
      <c r="H153" s="448"/>
      <c r="I153" s="448"/>
      <c r="J153" s="448"/>
      <c r="K153" s="448"/>
      <c r="L153" s="448"/>
      <c r="M153" s="448"/>
      <c r="N153" s="448"/>
      <c r="O153" s="448"/>
      <c r="P153" s="448"/>
      <c r="Q153" s="448"/>
      <c r="R153" s="448"/>
      <c r="S153" s="448"/>
      <c r="T153" s="450"/>
      <c r="U153" s="451"/>
      <c r="V153" s="405"/>
    </row>
    <row r="154" spans="1:23" x14ac:dyDescent="0.3">
      <c r="A154" s="418"/>
      <c r="B154" s="532" t="s">
        <v>170</v>
      </c>
      <c r="C154" s="532"/>
      <c r="D154" s="532"/>
      <c r="E154" s="532"/>
      <c r="F154" s="532"/>
      <c r="G154" s="532"/>
      <c r="H154" s="532"/>
      <c r="I154" s="532"/>
      <c r="J154" s="532"/>
      <c r="K154" s="532"/>
      <c r="L154" s="532"/>
      <c r="M154" s="532"/>
      <c r="N154" s="532"/>
      <c r="O154" s="532"/>
      <c r="P154" s="532"/>
      <c r="Q154" s="532"/>
      <c r="R154" s="532"/>
      <c r="S154" s="532"/>
      <c r="T154" s="535">
        <v>10000</v>
      </c>
      <c r="U154" s="420"/>
      <c r="V154" s="405"/>
    </row>
    <row r="155" spans="1:23" x14ac:dyDescent="0.3">
      <c r="A155" s="418"/>
      <c r="B155" s="532" t="s">
        <v>260</v>
      </c>
      <c r="C155" s="532"/>
      <c r="D155" s="532"/>
      <c r="E155" s="532"/>
      <c r="F155" s="532"/>
      <c r="G155" s="532"/>
      <c r="H155" s="532"/>
      <c r="I155" s="532"/>
      <c r="J155" s="532"/>
      <c r="K155" s="532"/>
      <c r="L155" s="532"/>
      <c r="M155" s="532"/>
      <c r="N155" s="532"/>
      <c r="O155" s="532"/>
      <c r="P155" s="532"/>
      <c r="Q155" s="532"/>
      <c r="R155" s="532"/>
      <c r="S155" s="532"/>
      <c r="T155" s="535">
        <v>0</v>
      </c>
      <c r="U155" s="420"/>
      <c r="V155" s="405"/>
    </row>
    <row r="156" spans="1:23" x14ac:dyDescent="0.3">
      <c r="A156" s="418"/>
      <c r="B156" s="532" t="s">
        <v>228</v>
      </c>
      <c r="C156" s="532"/>
      <c r="D156" s="532"/>
      <c r="E156" s="532"/>
      <c r="F156" s="532"/>
      <c r="G156" s="532"/>
      <c r="H156" s="532"/>
      <c r="I156" s="532"/>
      <c r="J156" s="532"/>
      <c r="K156" s="532"/>
      <c r="L156" s="532"/>
      <c r="M156" s="532"/>
      <c r="N156" s="532"/>
      <c r="O156" s="532"/>
      <c r="P156" s="532"/>
      <c r="Q156" s="532"/>
      <c r="R156" s="532"/>
      <c r="S156" s="532"/>
      <c r="T156" s="535">
        <v>0</v>
      </c>
      <c r="U156" s="420"/>
      <c r="V156" s="405"/>
    </row>
    <row r="157" spans="1:23" x14ac:dyDescent="0.3">
      <c r="A157" s="418"/>
      <c r="B157" s="568" t="s">
        <v>327</v>
      </c>
      <c r="C157" s="532"/>
      <c r="D157" s="532"/>
      <c r="E157" s="532"/>
      <c r="F157" s="532"/>
      <c r="G157" s="532"/>
      <c r="H157" s="532"/>
      <c r="I157" s="532"/>
      <c r="J157" s="532"/>
      <c r="K157" s="532"/>
      <c r="L157" s="532"/>
      <c r="M157" s="532"/>
      <c r="N157" s="532"/>
      <c r="O157" s="532"/>
      <c r="P157" s="532"/>
      <c r="Q157" s="532"/>
      <c r="R157" s="532"/>
      <c r="S157" s="532"/>
      <c r="T157" s="535">
        <v>0</v>
      </c>
      <c r="U157" s="420"/>
      <c r="V157" s="405"/>
    </row>
    <row r="158" spans="1:23" x14ac:dyDescent="0.3">
      <c r="A158" s="418"/>
      <c r="B158" s="448"/>
      <c r="C158" s="448"/>
      <c r="D158" s="448"/>
      <c r="E158" s="448"/>
      <c r="F158" s="448"/>
      <c r="G158" s="448"/>
      <c r="H158" s="448"/>
      <c r="I158" s="448"/>
      <c r="J158" s="448"/>
      <c r="K158" s="448"/>
      <c r="L158" s="448"/>
      <c r="M158" s="448"/>
      <c r="N158" s="448"/>
      <c r="O158" s="448"/>
      <c r="P158" s="448"/>
      <c r="Q158" s="448"/>
      <c r="R158" s="448"/>
      <c r="S158" s="448"/>
      <c r="T158" s="450"/>
      <c r="U158" s="451"/>
      <c r="V158" s="405"/>
    </row>
    <row r="159" spans="1:23" x14ac:dyDescent="0.3">
      <c r="A159" s="407"/>
      <c r="B159" s="444"/>
      <c r="C159" s="444"/>
      <c r="D159" s="444"/>
      <c r="E159" s="444"/>
      <c r="F159" s="444"/>
      <c r="G159" s="444"/>
      <c r="H159" s="444"/>
      <c r="I159" s="444"/>
      <c r="J159" s="444"/>
      <c r="K159" s="444"/>
      <c r="L159" s="444"/>
      <c r="M159" s="444"/>
      <c r="N159" s="444"/>
      <c r="O159" s="444"/>
      <c r="P159" s="444"/>
      <c r="Q159" s="444"/>
      <c r="R159" s="444"/>
      <c r="S159" s="444"/>
      <c r="T159" s="459"/>
      <c r="U159" s="444"/>
      <c r="V159" s="405"/>
    </row>
    <row r="160" spans="1:23" x14ac:dyDescent="0.3">
      <c r="A160" s="407"/>
      <c r="B160" s="523" t="s">
        <v>25</v>
      </c>
      <c r="C160" s="409"/>
      <c r="D160" s="409"/>
      <c r="E160" s="409"/>
      <c r="F160" s="409"/>
      <c r="G160" s="409"/>
      <c r="H160" s="409"/>
      <c r="I160" s="409"/>
      <c r="J160" s="409"/>
      <c r="K160" s="409"/>
      <c r="L160" s="409"/>
      <c r="M160" s="409"/>
      <c r="N160" s="409"/>
      <c r="O160" s="409"/>
      <c r="P160" s="409"/>
      <c r="Q160" s="409"/>
      <c r="R160" s="409"/>
      <c r="S160" s="409"/>
      <c r="T160" s="441"/>
      <c r="U160" s="409"/>
      <c r="V160" s="405"/>
    </row>
    <row r="161" spans="1:22" x14ac:dyDescent="0.3">
      <c r="A161" s="418"/>
      <c r="B161" s="532" t="s">
        <v>51</v>
      </c>
      <c r="C161" s="532"/>
      <c r="D161" s="532"/>
      <c r="E161" s="532"/>
      <c r="F161" s="532"/>
      <c r="G161" s="532"/>
      <c r="H161" s="532"/>
      <c r="I161" s="532"/>
      <c r="J161" s="532"/>
      <c r="K161" s="532"/>
      <c r="L161" s="532"/>
      <c r="M161" s="532"/>
      <c r="N161" s="532"/>
      <c r="O161" s="532"/>
      <c r="P161" s="532"/>
      <c r="Q161" s="532"/>
      <c r="R161" s="532"/>
      <c r="S161" s="532"/>
      <c r="T161" s="561" t="s">
        <v>127</v>
      </c>
      <c r="U161" s="451"/>
      <c r="V161" s="405"/>
    </row>
    <row r="162" spans="1:22" x14ac:dyDescent="0.3">
      <c r="A162" s="418"/>
      <c r="B162" s="532" t="s">
        <v>52</v>
      </c>
      <c r="C162" s="532"/>
      <c r="D162" s="532"/>
      <c r="E162" s="532"/>
      <c r="F162" s="532"/>
      <c r="G162" s="532"/>
      <c r="H162" s="532"/>
      <c r="I162" s="532"/>
      <c r="J162" s="532"/>
      <c r="K162" s="532"/>
      <c r="L162" s="532"/>
      <c r="M162" s="532"/>
      <c r="N162" s="532"/>
      <c r="O162" s="532"/>
      <c r="P162" s="532"/>
      <c r="Q162" s="532"/>
      <c r="R162" s="532"/>
      <c r="S162" s="532"/>
      <c r="T162" s="561" t="s">
        <v>127</v>
      </c>
      <c r="U162" s="451"/>
      <c r="V162" s="405"/>
    </row>
    <row r="163" spans="1:22" x14ac:dyDescent="0.3">
      <c r="A163" s="418"/>
      <c r="B163" s="532" t="s">
        <v>53</v>
      </c>
      <c r="C163" s="532"/>
      <c r="D163" s="532"/>
      <c r="E163" s="532"/>
      <c r="F163" s="532"/>
      <c r="G163" s="532"/>
      <c r="H163" s="532"/>
      <c r="I163" s="532"/>
      <c r="J163" s="532"/>
      <c r="K163" s="532"/>
      <c r="L163" s="532"/>
      <c r="M163" s="532"/>
      <c r="N163" s="532"/>
      <c r="O163" s="532"/>
      <c r="P163" s="532"/>
      <c r="Q163" s="532"/>
      <c r="R163" s="532"/>
      <c r="S163" s="532"/>
      <c r="T163" s="561" t="s">
        <v>127</v>
      </c>
      <c r="U163" s="451"/>
      <c r="V163" s="405"/>
    </row>
    <row r="164" spans="1:22" x14ac:dyDescent="0.3">
      <c r="A164" s="418"/>
      <c r="B164" s="532" t="s">
        <v>54</v>
      </c>
      <c r="C164" s="532"/>
      <c r="D164" s="532"/>
      <c r="E164" s="532"/>
      <c r="F164" s="532"/>
      <c r="G164" s="532"/>
      <c r="H164" s="532"/>
      <c r="I164" s="532"/>
      <c r="J164" s="532"/>
      <c r="K164" s="532"/>
      <c r="L164" s="532"/>
      <c r="M164" s="532"/>
      <c r="N164" s="532"/>
      <c r="O164" s="532"/>
      <c r="P164" s="532"/>
      <c r="Q164" s="532"/>
      <c r="R164" s="532"/>
      <c r="S164" s="532"/>
      <c r="T164" s="561" t="s">
        <v>127</v>
      </c>
      <c r="U164" s="451"/>
      <c r="V164" s="405"/>
    </row>
    <row r="165" spans="1:22" x14ac:dyDescent="0.3">
      <c r="A165" s="407"/>
      <c r="B165" s="444"/>
      <c r="C165" s="444"/>
      <c r="D165" s="444"/>
      <c r="E165" s="444"/>
      <c r="F165" s="444"/>
      <c r="G165" s="444"/>
      <c r="H165" s="444"/>
      <c r="I165" s="444"/>
      <c r="J165" s="444"/>
      <c r="K165" s="444"/>
      <c r="L165" s="444"/>
      <c r="M165" s="444"/>
      <c r="N165" s="444"/>
      <c r="O165" s="444"/>
      <c r="P165" s="444"/>
      <c r="Q165" s="444"/>
      <c r="R165" s="444"/>
      <c r="S165" s="444"/>
      <c r="T165" s="459"/>
      <c r="U165" s="444"/>
      <c r="V165" s="405"/>
    </row>
    <row r="166" spans="1:22" x14ac:dyDescent="0.3">
      <c r="A166" s="407"/>
      <c r="B166" s="523" t="s">
        <v>55</v>
      </c>
      <c r="C166" s="409"/>
      <c r="D166" s="409"/>
      <c r="E166" s="409"/>
      <c r="F166" s="409"/>
      <c r="G166" s="409"/>
      <c r="H166" s="409"/>
      <c r="I166" s="409"/>
      <c r="J166" s="409"/>
      <c r="K166" s="409"/>
      <c r="L166" s="409"/>
      <c r="M166" s="409"/>
      <c r="N166" s="409"/>
      <c r="O166" s="409"/>
      <c r="P166" s="409"/>
      <c r="Q166" s="409"/>
      <c r="R166" s="409"/>
      <c r="S166" s="409"/>
      <c r="T166" s="460"/>
      <c r="U166" s="409"/>
      <c r="V166" s="405"/>
    </row>
    <row r="167" spans="1:22" x14ac:dyDescent="0.3">
      <c r="A167" s="418"/>
      <c r="B167" s="532" t="s">
        <v>56</v>
      </c>
      <c r="C167" s="532"/>
      <c r="D167" s="532"/>
      <c r="E167" s="532"/>
      <c r="F167" s="532"/>
      <c r="G167" s="532"/>
      <c r="H167" s="532"/>
      <c r="I167" s="532"/>
      <c r="J167" s="532"/>
      <c r="K167" s="532"/>
      <c r="L167" s="532"/>
      <c r="M167" s="532"/>
      <c r="N167" s="532"/>
      <c r="O167" s="532"/>
      <c r="P167" s="532"/>
      <c r="Q167" s="532"/>
      <c r="R167" s="532"/>
      <c r="S167" s="532"/>
      <c r="T167" s="535">
        <v>0</v>
      </c>
      <c r="U167" s="451"/>
      <c r="V167" s="405"/>
    </row>
    <row r="168" spans="1:22" x14ac:dyDescent="0.3">
      <c r="A168" s="418"/>
      <c r="B168" s="532" t="s">
        <v>57</v>
      </c>
      <c r="C168" s="532"/>
      <c r="D168" s="532"/>
      <c r="E168" s="532"/>
      <c r="F168" s="532"/>
      <c r="G168" s="532"/>
      <c r="H168" s="532"/>
      <c r="I168" s="532"/>
      <c r="J168" s="532"/>
      <c r="K168" s="532"/>
      <c r="L168" s="532"/>
      <c r="M168" s="532"/>
      <c r="N168" s="532"/>
      <c r="O168" s="532"/>
      <c r="P168" s="532"/>
      <c r="Q168" s="532"/>
      <c r="R168" s="532"/>
      <c r="S168" s="532"/>
      <c r="T168" s="535">
        <f>-T114</f>
        <v>171</v>
      </c>
      <c r="U168" s="451"/>
      <c r="V168" s="405"/>
    </row>
    <row r="169" spans="1:22" x14ac:dyDescent="0.3">
      <c r="A169" s="418"/>
      <c r="B169" s="532" t="s">
        <v>58</v>
      </c>
      <c r="C169" s="532"/>
      <c r="D169" s="532"/>
      <c r="E169" s="532"/>
      <c r="F169" s="532"/>
      <c r="G169" s="532"/>
      <c r="H169" s="532"/>
      <c r="I169" s="532"/>
      <c r="J169" s="532"/>
      <c r="K169" s="532"/>
      <c r="L169" s="532"/>
      <c r="M169" s="532"/>
      <c r="N169" s="532"/>
      <c r="O169" s="532"/>
      <c r="P169" s="532"/>
      <c r="Q169" s="532"/>
      <c r="R169" s="532"/>
      <c r="S169" s="532"/>
      <c r="T169" s="535">
        <f>T168+T167</f>
        <v>171</v>
      </c>
      <c r="U169" s="451"/>
      <c r="V169" s="405"/>
    </row>
    <row r="170" spans="1:22" x14ac:dyDescent="0.3">
      <c r="A170" s="418"/>
      <c r="B170" s="568" t="s">
        <v>309</v>
      </c>
      <c r="C170" s="532"/>
      <c r="D170" s="532"/>
      <c r="E170" s="532"/>
      <c r="F170" s="532"/>
      <c r="G170" s="532"/>
      <c r="H170" s="532"/>
      <c r="I170" s="532"/>
      <c r="J170" s="532"/>
      <c r="K170" s="532"/>
      <c r="L170" s="532"/>
      <c r="M170" s="532"/>
      <c r="N170" s="532"/>
      <c r="O170" s="532"/>
      <c r="P170" s="532"/>
      <c r="Q170" s="532"/>
      <c r="R170" s="532"/>
      <c r="S170" s="532"/>
      <c r="T170" s="535">
        <f>T114</f>
        <v>-171</v>
      </c>
      <c r="U170" s="451"/>
      <c r="V170" s="405"/>
    </row>
    <row r="171" spans="1:22" x14ac:dyDescent="0.3">
      <c r="A171" s="418"/>
      <c r="B171" s="532" t="s">
        <v>59</v>
      </c>
      <c r="C171" s="532"/>
      <c r="D171" s="532"/>
      <c r="E171" s="532"/>
      <c r="F171" s="532"/>
      <c r="G171" s="532"/>
      <c r="H171" s="532"/>
      <c r="I171" s="532"/>
      <c r="J171" s="532"/>
      <c r="K171" s="532"/>
      <c r="L171" s="532"/>
      <c r="M171" s="532"/>
      <c r="N171" s="532"/>
      <c r="O171" s="532"/>
      <c r="P171" s="532"/>
      <c r="Q171" s="532"/>
      <c r="R171" s="532"/>
      <c r="S171" s="532"/>
      <c r="T171" s="535">
        <f>T169+T170</f>
        <v>0</v>
      </c>
      <c r="U171" s="451"/>
      <c r="V171" s="405"/>
    </row>
    <row r="172" spans="1:22" x14ac:dyDescent="0.3">
      <c r="A172" s="418"/>
      <c r="B172" s="532" t="s">
        <v>278</v>
      </c>
      <c r="C172" s="532"/>
      <c r="D172" s="532"/>
      <c r="E172" s="532"/>
      <c r="F172" s="532"/>
      <c r="G172" s="532"/>
      <c r="H172" s="532"/>
      <c r="I172" s="532"/>
      <c r="J172" s="532"/>
      <c r="K172" s="532"/>
      <c r="L172" s="532"/>
      <c r="M172" s="532"/>
      <c r="N172" s="532"/>
      <c r="O172" s="532"/>
      <c r="P172" s="532"/>
      <c r="Q172" s="532"/>
      <c r="R172" s="532"/>
      <c r="S172" s="532"/>
      <c r="T172" s="535">
        <v>0</v>
      </c>
      <c r="U172" s="451"/>
      <c r="V172" s="405"/>
    </row>
    <row r="173" spans="1:22" ht="16.2" thickBot="1" x14ac:dyDescent="0.35">
      <c r="A173" s="407"/>
      <c r="B173" s="431"/>
      <c r="C173" s="431"/>
      <c r="D173" s="431"/>
      <c r="E173" s="431"/>
      <c r="F173" s="431"/>
      <c r="G173" s="431"/>
      <c r="H173" s="431"/>
      <c r="I173" s="431"/>
      <c r="J173" s="431"/>
      <c r="K173" s="431"/>
      <c r="L173" s="431"/>
      <c r="M173" s="431"/>
      <c r="N173" s="431"/>
      <c r="O173" s="431"/>
      <c r="P173" s="431"/>
      <c r="Q173" s="431"/>
      <c r="R173" s="431"/>
      <c r="S173" s="431"/>
      <c r="T173" s="461"/>
      <c r="U173" s="444"/>
      <c r="V173" s="405"/>
    </row>
    <row r="174" spans="1:22" x14ac:dyDescent="0.3">
      <c r="A174" s="403"/>
      <c r="B174" s="404"/>
      <c r="C174" s="404"/>
      <c r="D174" s="404"/>
      <c r="E174" s="404"/>
      <c r="F174" s="404"/>
      <c r="G174" s="404"/>
      <c r="H174" s="404"/>
      <c r="I174" s="404"/>
      <c r="J174" s="404"/>
      <c r="K174" s="404"/>
      <c r="L174" s="404"/>
      <c r="M174" s="404"/>
      <c r="N174" s="404"/>
      <c r="O174" s="404"/>
      <c r="P174" s="404"/>
      <c r="Q174" s="404"/>
      <c r="R174" s="404"/>
      <c r="S174" s="404"/>
      <c r="T174" s="462"/>
      <c r="U174" s="404"/>
      <c r="V174" s="405"/>
    </row>
    <row r="175" spans="1:22" x14ac:dyDescent="0.3">
      <c r="A175" s="407"/>
      <c r="B175" s="523" t="s">
        <v>60</v>
      </c>
      <c r="C175" s="409"/>
      <c r="D175" s="409"/>
      <c r="E175" s="409"/>
      <c r="F175" s="409"/>
      <c r="G175" s="409"/>
      <c r="H175" s="409"/>
      <c r="I175" s="409"/>
      <c r="J175" s="409"/>
      <c r="K175" s="409"/>
      <c r="L175" s="409"/>
      <c r="M175" s="409"/>
      <c r="N175" s="409"/>
      <c r="O175" s="409"/>
      <c r="P175" s="409"/>
      <c r="Q175" s="409"/>
      <c r="R175" s="409"/>
      <c r="S175" s="409"/>
      <c r="T175" s="441"/>
      <c r="U175" s="409"/>
      <c r="V175" s="405"/>
    </row>
    <row r="176" spans="1:22" x14ac:dyDescent="0.3">
      <c r="A176" s="407"/>
      <c r="B176" s="458"/>
      <c r="C176" s="409"/>
      <c r="D176" s="409"/>
      <c r="E176" s="409"/>
      <c r="F176" s="409"/>
      <c r="G176" s="409"/>
      <c r="H176" s="409"/>
      <c r="I176" s="409"/>
      <c r="J176" s="409"/>
      <c r="K176" s="409"/>
      <c r="L176" s="409"/>
      <c r="M176" s="409"/>
      <c r="N176" s="409"/>
      <c r="O176" s="409"/>
      <c r="P176" s="409"/>
      <c r="Q176" s="409"/>
      <c r="R176" s="409"/>
      <c r="S176" s="409"/>
      <c r="T176" s="441"/>
      <c r="U176" s="409"/>
      <c r="V176" s="405"/>
    </row>
    <row r="177" spans="1:22" x14ac:dyDescent="0.3">
      <c r="A177" s="418"/>
      <c r="B177" s="532" t="s">
        <v>61</v>
      </c>
      <c r="C177" s="532"/>
      <c r="D177" s="532"/>
      <c r="E177" s="532"/>
      <c r="F177" s="532"/>
      <c r="G177" s="532"/>
      <c r="H177" s="532"/>
      <c r="I177" s="532"/>
      <c r="J177" s="532"/>
      <c r="K177" s="532"/>
      <c r="L177" s="532"/>
      <c r="M177" s="532"/>
      <c r="N177" s="532"/>
      <c r="O177" s="532"/>
      <c r="P177" s="532"/>
      <c r="Q177" s="532"/>
      <c r="R177" s="532"/>
      <c r="S177" s="532"/>
      <c r="T177" s="535">
        <f>T68</f>
        <v>0</v>
      </c>
      <c r="U177" s="451"/>
      <c r="V177" s="405"/>
    </row>
    <row r="178" spans="1:22" x14ac:dyDescent="0.3">
      <c r="A178" s="418"/>
      <c r="B178" s="532" t="s">
        <v>62</v>
      </c>
      <c r="C178" s="532"/>
      <c r="D178" s="532"/>
      <c r="E178" s="532"/>
      <c r="F178" s="532"/>
      <c r="G178" s="532"/>
      <c r="H178" s="532"/>
      <c r="I178" s="532"/>
      <c r="J178" s="532"/>
      <c r="K178" s="532"/>
      <c r="L178" s="532"/>
      <c r="M178" s="532"/>
      <c r="N178" s="532"/>
      <c r="O178" s="532"/>
      <c r="P178" s="532"/>
      <c r="Q178" s="532"/>
      <c r="R178" s="532"/>
      <c r="S178" s="532"/>
      <c r="T178" s="535">
        <f>T81</f>
        <v>0</v>
      </c>
      <c r="U178" s="451"/>
      <c r="V178" s="405"/>
    </row>
    <row r="179" spans="1:22" ht="16.2" thickBot="1" x14ac:dyDescent="0.35">
      <c r="A179" s="407"/>
      <c r="B179" s="444"/>
      <c r="C179" s="444"/>
      <c r="D179" s="444"/>
      <c r="E179" s="444"/>
      <c r="F179" s="444"/>
      <c r="G179" s="444"/>
      <c r="H179" s="444"/>
      <c r="I179" s="444"/>
      <c r="J179" s="444"/>
      <c r="K179" s="444"/>
      <c r="L179" s="444"/>
      <c r="M179" s="444"/>
      <c r="N179" s="444"/>
      <c r="O179" s="444"/>
      <c r="P179" s="444"/>
      <c r="Q179" s="444"/>
      <c r="R179" s="444"/>
      <c r="S179" s="444"/>
      <c r="T179" s="459"/>
      <c r="U179" s="444"/>
      <c r="V179" s="405"/>
    </row>
    <row r="180" spans="1:22" x14ac:dyDescent="0.3">
      <c r="A180" s="403"/>
      <c r="B180" s="404"/>
      <c r="C180" s="404"/>
      <c r="D180" s="404"/>
      <c r="E180" s="404"/>
      <c r="F180" s="404"/>
      <c r="G180" s="404"/>
      <c r="H180" s="404"/>
      <c r="I180" s="404"/>
      <c r="J180" s="404"/>
      <c r="K180" s="404"/>
      <c r="L180" s="404"/>
      <c r="M180" s="404"/>
      <c r="N180" s="404"/>
      <c r="O180" s="404"/>
      <c r="P180" s="404"/>
      <c r="Q180" s="404"/>
      <c r="R180" s="404"/>
      <c r="S180" s="404"/>
      <c r="T180" s="462"/>
      <c r="U180" s="404"/>
      <c r="V180" s="405"/>
    </row>
    <row r="181" spans="1:22" s="529" customFormat="1" x14ac:dyDescent="0.3">
      <c r="A181" s="524"/>
      <c r="B181" s="523" t="s">
        <v>63</v>
      </c>
      <c r="C181" s="525"/>
      <c r="D181" s="525"/>
      <c r="E181" s="525"/>
      <c r="F181" s="525"/>
      <c r="G181" s="525"/>
      <c r="H181" s="526"/>
      <c r="I181" s="526"/>
      <c r="J181" s="526"/>
      <c r="K181" s="526"/>
      <c r="L181" s="526"/>
      <c r="M181" s="526"/>
      <c r="N181" s="526"/>
      <c r="O181" s="526"/>
      <c r="P181" s="526"/>
      <c r="Q181" s="526" t="s">
        <v>107</v>
      </c>
      <c r="R181" s="526" t="s">
        <v>234</v>
      </c>
      <c r="S181" s="411"/>
      <c r="T181" s="527" t="s">
        <v>123</v>
      </c>
      <c r="U181" s="411"/>
      <c r="V181" s="528"/>
    </row>
    <row r="182" spans="1:22" x14ac:dyDescent="0.3">
      <c r="A182" s="418"/>
      <c r="B182" s="532" t="s">
        <v>64</v>
      </c>
      <c r="C182" s="532"/>
      <c r="D182" s="532"/>
      <c r="E182" s="532"/>
      <c r="F182" s="532"/>
      <c r="G182" s="532"/>
      <c r="H182" s="532"/>
      <c r="I182" s="532"/>
      <c r="J182" s="532"/>
      <c r="K182" s="532"/>
      <c r="L182" s="532"/>
      <c r="M182" s="532"/>
      <c r="N182" s="532"/>
      <c r="O182" s="532"/>
      <c r="P182" s="532"/>
      <c r="Q182" s="535">
        <v>112000</v>
      </c>
      <c r="R182" s="550"/>
      <c r="S182" s="532"/>
      <c r="T182" s="535"/>
      <c r="U182" s="420"/>
      <c r="V182" s="405"/>
    </row>
    <row r="183" spans="1:22" x14ac:dyDescent="0.3">
      <c r="A183" s="418"/>
      <c r="B183" s="532" t="s">
        <v>65</v>
      </c>
      <c r="C183" s="532"/>
      <c r="D183" s="532"/>
      <c r="E183" s="532"/>
      <c r="F183" s="532"/>
      <c r="G183" s="532"/>
      <c r="H183" s="532"/>
      <c r="I183" s="532"/>
      <c r="J183" s="532"/>
      <c r="K183" s="532"/>
      <c r="L183" s="532"/>
      <c r="M183" s="532"/>
      <c r="N183" s="532"/>
      <c r="O183" s="532"/>
      <c r="P183" s="532"/>
      <c r="Q183" s="535">
        <f>+'Oct 19'!Q184</f>
        <v>50882</v>
      </c>
      <c r="R183" s="535">
        <f>+'Oct 19'!R184</f>
        <v>2435</v>
      </c>
      <c r="S183" s="532"/>
      <c r="T183" s="535">
        <f>Q183+R183</f>
        <v>53317</v>
      </c>
      <c r="U183" s="420"/>
      <c r="V183" s="405"/>
    </row>
    <row r="184" spans="1:22" x14ac:dyDescent="0.3">
      <c r="A184" s="418"/>
      <c r="B184" s="532" t="s">
        <v>66</v>
      </c>
      <c r="C184" s="532"/>
      <c r="D184" s="532"/>
      <c r="E184" s="532"/>
      <c r="F184" s="532"/>
      <c r="G184" s="532"/>
      <c r="H184" s="532"/>
      <c r="I184" s="532"/>
      <c r="J184" s="532"/>
      <c r="K184" s="532"/>
      <c r="L184" s="532"/>
      <c r="M184" s="532"/>
      <c r="N184" s="532"/>
      <c r="O184" s="532"/>
      <c r="P184" s="532"/>
      <c r="Q184" s="531">
        <v>0</v>
      </c>
      <c r="R184" s="531">
        <v>0</v>
      </c>
      <c r="S184" s="532"/>
      <c r="T184" s="535">
        <f>Q184+R184</f>
        <v>0</v>
      </c>
      <c r="U184" s="420"/>
      <c r="V184" s="405"/>
    </row>
    <row r="185" spans="1:22" x14ac:dyDescent="0.3">
      <c r="A185" s="418"/>
      <c r="B185" s="532" t="s">
        <v>67</v>
      </c>
      <c r="C185" s="532"/>
      <c r="D185" s="532"/>
      <c r="E185" s="532"/>
      <c r="F185" s="532"/>
      <c r="G185" s="532"/>
      <c r="H185" s="532"/>
      <c r="I185" s="532"/>
      <c r="J185" s="532"/>
      <c r="K185" s="532"/>
      <c r="L185" s="532"/>
      <c r="M185" s="532"/>
      <c r="N185" s="532"/>
      <c r="O185" s="532"/>
      <c r="P185" s="532"/>
      <c r="Q185" s="535">
        <f>Q183+Q184</f>
        <v>50882</v>
      </c>
      <c r="R185" s="535">
        <f>R184+R183</f>
        <v>2435</v>
      </c>
      <c r="S185" s="532"/>
      <c r="T185" s="535">
        <f>Q185+R185</f>
        <v>53317</v>
      </c>
      <c r="U185" s="420"/>
      <c r="V185" s="405"/>
    </row>
    <row r="186" spans="1:22" x14ac:dyDescent="0.3">
      <c r="A186" s="418"/>
      <c r="B186" s="532" t="s">
        <v>68</v>
      </c>
      <c r="C186" s="532"/>
      <c r="D186" s="532"/>
      <c r="E186" s="532"/>
      <c r="F186" s="532"/>
      <c r="G186" s="532"/>
      <c r="H186" s="532"/>
      <c r="I186" s="532"/>
      <c r="J186" s="532"/>
      <c r="K186" s="532"/>
      <c r="L186" s="532"/>
      <c r="M186" s="532"/>
      <c r="N186" s="532"/>
      <c r="O186" s="532"/>
      <c r="P186" s="532"/>
      <c r="Q186" s="535">
        <f>Q182-Q185-R185</f>
        <v>58683</v>
      </c>
      <c r="R186" s="550"/>
      <c r="S186" s="532"/>
      <c r="T186" s="535"/>
      <c r="U186" s="420"/>
      <c r="V186" s="405"/>
    </row>
    <row r="187" spans="1:22" ht="16.2" thickBot="1" x14ac:dyDescent="0.35">
      <c r="A187" s="407"/>
      <c r="B187" s="444"/>
      <c r="C187" s="444"/>
      <c r="D187" s="444"/>
      <c r="E187" s="444"/>
      <c r="F187" s="444"/>
      <c r="G187" s="444"/>
      <c r="H187" s="444"/>
      <c r="I187" s="444"/>
      <c r="J187" s="444"/>
      <c r="K187" s="444"/>
      <c r="L187" s="444"/>
      <c r="M187" s="444"/>
      <c r="N187" s="444"/>
      <c r="O187" s="444"/>
      <c r="P187" s="444"/>
      <c r="Q187" s="444"/>
      <c r="R187" s="444"/>
      <c r="S187" s="444"/>
      <c r="T187" s="459"/>
      <c r="U187" s="444"/>
      <c r="V187" s="405"/>
    </row>
    <row r="188" spans="1:22" x14ac:dyDescent="0.3">
      <c r="A188" s="403"/>
      <c r="B188" s="404"/>
      <c r="C188" s="404"/>
      <c r="D188" s="404"/>
      <c r="E188" s="404"/>
      <c r="F188" s="404"/>
      <c r="G188" s="404"/>
      <c r="H188" s="404"/>
      <c r="I188" s="404"/>
      <c r="J188" s="404"/>
      <c r="K188" s="404"/>
      <c r="L188" s="404"/>
      <c r="M188" s="404"/>
      <c r="N188" s="404"/>
      <c r="O188" s="404"/>
      <c r="P188" s="404"/>
      <c r="Q188" s="404"/>
      <c r="R188" s="404"/>
      <c r="S188" s="404"/>
      <c r="T188" s="462"/>
      <c r="U188" s="404"/>
      <c r="V188" s="405"/>
    </row>
    <row r="189" spans="1:22" x14ac:dyDescent="0.3">
      <c r="A189" s="407"/>
      <c r="B189" s="523" t="s">
        <v>69</v>
      </c>
      <c r="C189" s="409"/>
      <c r="D189" s="409"/>
      <c r="E189" s="409"/>
      <c r="F189" s="409"/>
      <c r="G189" s="409"/>
      <c r="H189" s="409"/>
      <c r="I189" s="409"/>
      <c r="J189" s="409"/>
      <c r="K189" s="409"/>
      <c r="L189" s="409"/>
      <c r="M189" s="409"/>
      <c r="N189" s="409"/>
      <c r="O189" s="409"/>
      <c r="P189" s="409"/>
      <c r="Q189" s="409"/>
      <c r="R189" s="409"/>
      <c r="S189" s="409"/>
      <c r="T189" s="463"/>
      <c r="U189" s="409"/>
      <c r="V189" s="405"/>
    </row>
    <row r="190" spans="1:22" x14ac:dyDescent="0.3">
      <c r="A190" s="418"/>
      <c r="B190" s="532" t="s">
        <v>70</v>
      </c>
      <c r="C190" s="532"/>
      <c r="D190" s="532"/>
      <c r="E190" s="532"/>
      <c r="F190" s="532"/>
      <c r="G190" s="532"/>
      <c r="H190" s="532"/>
      <c r="I190" s="532"/>
      <c r="J190" s="532"/>
      <c r="K190" s="532"/>
      <c r="L190" s="532"/>
      <c r="M190" s="532"/>
      <c r="N190" s="532"/>
      <c r="O190" s="532"/>
      <c r="P190" s="532"/>
      <c r="Q190" s="532"/>
      <c r="R190" s="532"/>
      <c r="S190" s="532"/>
      <c r="T190" s="561">
        <v>0</v>
      </c>
      <c r="U190" s="562"/>
      <c r="V190" s="405"/>
    </row>
    <row r="191" spans="1:22" x14ac:dyDescent="0.3">
      <c r="A191" s="418"/>
      <c r="B191" s="532" t="s">
        <v>71</v>
      </c>
      <c r="C191" s="532"/>
      <c r="D191" s="532"/>
      <c r="E191" s="532"/>
      <c r="F191" s="532"/>
      <c r="G191" s="532"/>
      <c r="H191" s="532"/>
      <c r="I191" s="532"/>
      <c r="J191" s="532"/>
      <c r="K191" s="532"/>
      <c r="L191" s="532"/>
      <c r="M191" s="532"/>
      <c r="N191" s="532"/>
      <c r="O191" s="532"/>
      <c r="P191" s="532"/>
      <c r="Q191" s="532"/>
      <c r="R191" s="532"/>
      <c r="S191" s="532"/>
      <c r="T191" s="564">
        <v>0</v>
      </c>
      <c r="U191" s="562"/>
      <c r="V191" s="405"/>
    </row>
    <row r="192" spans="1:22" x14ac:dyDescent="0.3">
      <c r="A192" s="418"/>
      <c r="B192" s="532" t="s">
        <v>72</v>
      </c>
      <c r="C192" s="532"/>
      <c r="D192" s="532"/>
      <c r="E192" s="532"/>
      <c r="F192" s="532"/>
      <c r="G192" s="532"/>
      <c r="H192" s="532"/>
      <c r="I192" s="532"/>
      <c r="J192" s="532"/>
      <c r="K192" s="532"/>
      <c r="L192" s="532"/>
      <c r="M192" s="532"/>
      <c r="N192" s="532"/>
      <c r="O192" s="532"/>
      <c r="P192" s="532"/>
      <c r="Q192" s="532"/>
      <c r="R192" s="532"/>
      <c r="S192" s="532"/>
      <c r="T192" s="561">
        <v>0</v>
      </c>
      <c r="U192" s="562"/>
      <c r="V192" s="405"/>
    </row>
    <row r="193" spans="1:22" x14ac:dyDescent="0.3">
      <c r="A193" s="418"/>
      <c r="B193" s="532" t="s">
        <v>73</v>
      </c>
      <c r="C193" s="532"/>
      <c r="D193" s="532"/>
      <c r="E193" s="532"/>
      <c r="F193" s="532"/>
      <c r="G193" s="532"/>
      <c r="H193" s="532"/>
      <c r="I193" s="532"/>
      <c r="J193" s="532"/>
      <c r="K193" s="532"/>
      <c r="L193" s="532"/>
      <c r="M193" s="532"/>
      <c r="N193" s="532"/>
      <c r="O193" s="532"/>
      <c r="P193" s="532"/>
      <c r="Q193" s="532"/>
      <c r="R193" s="532"/>
      <c r="S193" s="532"/>
      <c r="T193" s="564">
        <v>0</v>
      </c>
      <c r="U193" s="562"/>
      <c r="V193" s="405"/>
    </row>
    <row r="194" spans="1:22" x14ac:dyDescent="0.3">
      <c r="A194" s="418"/>
      <c r="B194" s="532" t="s">
        <v>243</v>
      </c>
      <c r="C194" s="532"/>
      <c r="D194" s="532"/>
      <c r="E194" s="532"/>
      <c r="F194" s="532"/>
      <c r="G194" s="532"/>
      <c r="H194" s="532"/>
      <c r="I194" s="532"/>
      <c r="J194" s="532"/>
      <c r="K194" s="532"/>
      <c r="L194" s="532"/>
      <c r="M194" s="532"/>
      <c r="N194" s="532"/>
      <c r="O194" s="532"/>
      <c r="P194" s="532"/>
      <c r="Q194" s="532"/>
      <c r="R194" s="532"/>
      <c r="S194" s="532"/>
      <c r="T194" s="561">
        <v>0</v>
      </c>
      <c r="U194" s="562"/>
      <c r="V194" s="405"/>
    </row>
    <row r="195" spans="1:22" x14ac:dyDescent="0.3">
      <c r="A195" s="418"/>
      <c r="B195" s="532" t="s">
        <v>244</v>
      </c>
      <c r="C195" s="532"/>
      <c r="D195" s="532"/>
      <c r="E195" s="532"/>
      <c r="F195" s="532"/>
      <c r="G195" s="532"/>
      <c r="H195" s="532"/>
      <c r="I195" s="532"/>
      <c r="J195" s="532"/>
      <c r="K195" s="532"/>
      <c r="L195" s="532"/>
      <c r="M195" s="532"/>
      <c r="N195" s="532"/>
      <c r="O195" s="532"/>
      <c r="P195" s="532"/>
      <c r="Q195" s="532"/>
      <c r="R195" s="532"/>
      <c r="S195" s="532"/>
      <c r="T195" s="564">
        <v>0</v>
      </c>
      <c r="U195" s="562"/>
      <c r="V195" s="405"/>
    </row>
    <row r="196" spans="1:22" x14ac:dyDescent="0.3">
      <c r="A196" s="418"/>
      <c r="B196" s="532"/>
      <c r="C196" s="532"/>
      <c r="D196" s="532"/>
      <c r="E196" s="532"/>
      <c r="F196" s="532"/>
      <c r="G196" s="532"/>
      <c r="H196" s="532"/>
      <c r="I196" s="532"/>
      <c r="J196" s="532"/>
      <c r="K196" s="532"/>
      <c r="L196" s="532"/>
      <c r="M196" s="532"/>
      <c r="N196" s="532"/>
      <c r="O196" s="532"/>
      <c r="P196" s="532"/>
      <c r="Q196" s="532"/>
      <c r="R196" s="532"/>
      <c r="S196" s="532"/>
      <c r="T196" s="532"/>
      <c r="U196" s="562"/>
      <c r="V196" s="405"/>
    </row>
    <row r="197" spans="1:22" x14ac:dyDescent="0.3">
      <c r="A197" s="407"/>
      <c r="B197" s="539"/>
      <c r="C197" s="539"/>
      <c r="D197" s="539"/>
      <c r="E197" s="539"/>
      <c r="F197" s="539"/>
      <c r="G197" s="539"/>
      <c r="H197" s="539"/>
      <c r="I197" s="539"/>
      <c r="J197" s="539"/>
      <c r="K197" s="539"/>
      <c r="L197" s="539"/>
      <c r="M197" s="539"/>
      <c r="N197" s="539"/>
      <c r="O197" s="539"/>
      <c r="P197" s="539"/>
      <c r="Q197" s="539"/>
      <c r="R197" s="539"/>
      <c r="S197" s="539"/>
      <c r="T197" s="539"/>
      <c r="U197" s="539"/>
      <c r="V197" s="405"/>
    </row>
    <row r="198" spans="1:22" x14ac:dyDescent="0.3">
      <c r="A198" s="407"/>
      <c r="B198" s="542"/>
      <c r="C198" s="542"/>
      <c r="D198" s="542"/>
      <c r="E198" s="542"/>
      <c r="F198" s="542"/>
      <c r="G198" s="542"/>
      <c r="H198" s="542"/>
      <c r="I198" s="542"/>
      <c r="J198" s="542"/>
      <c r="K198" s="542"/>
      <c r="L198" s="542"/>
      <c r="M198" s="542"/>
      <c r="N198" s="542"/>
      <c r="O198" s="542"/>
      <c r="P198" s="542"/>
      <c r="Q198" s="542"/>
      <c r="R198" s="542"/>
      <c r="S198" s="542"/>
      <c r="T198" s="542"/>
      <c r="U198" s="542"/>
      <c r="V198" s="405"/>
    </row>
    <row r="199" spans="1:22" ht="18.600000000000001" thickBot="1" x14ac:dyDescent="0.4">
      <c r="A199" s="464"/>
      <c r="B199" s="565" t="str">
        <f>B138</f>
        <v>PM9 INVESTOR REPORT QUARTER ENDING JANUARY 2020</v>
      </c>
      <c r="C199" s="566"/>
      <c r="D199" s="566"/>
      <c r="E199" s="566"/>
      <c r="F199" s="566"/>
      <c r="G199" s="566"/>
      <c r="H199" s="566"/>
      <c r="I199" s="566"/>
      <c r="J199" s="566"/>
      <c r="K199" s="566"/>
      <c r="L199" s="566"/>
      <c r="M199" s="566"/>
      <c r="N199" s="566"/>
      <c r="O199" s="566"/>
      <c r="P199" s="566"/>
      <c r="Q199" s="566"/>
      <c r="R199" s="566"/>
      <c r="S199" s="566"/>
      <c r="T199" s="566"/>
      <c r="U199" s="567"/>
      <c r="V199" s="405"/>
    </row>
    <row r="200" spans="1:22" x14ac:dyDescent="0.3">
      <c r="A200" s="507"/>
      <c r="B200" s="508" t="s">
        <v>74</v>
      </c>
      <c r="C200" s="511"/>
      <c r="D200" s="511"/>
      <c r="E200" s="511"/>
      <c r="F200" s="511"/>
      <c r="G200" s="512"/>
      <c r="H200" s="512"/>
      <c r="I200" s="512"/>
      <c r="J200" s="512"/>
      <c r="K200" s="512"/>
      <c r="L200" s="512"/>
      <c r="M200" s="512"/>
      <c r="N200" s="512"/>
      <c r="O200" s="512"/>
      <c r="P200" s="512"/>
      <c r="Q200" s="512"/>
      <c r="R200" s="512">
        <v>43861</v>
      </c>
      <c r="S200" s="509"/>
      <c r="T200" s="509"/>
      <c r="U200" s="509"/>
      <c r="V200" s="405"/>
    </row>
    <row r="201" spans="1:22" x14ac:dyDescent="0.3">
      <c r="A201" s="465"/>
      <c r="B201" s="466"/>
      <c r="C201" s="467"/>
      <c r="D201" s="467"/>
      <c r="E201" s="467"/>
      <c r="F201" s="467"/>
      <c r="G201" s="468"/>
      <c r="H201" s="468"/>
      <c r="I201" s="468"/>
      <c r="J201" s="468"/>
      <c r="K201" s="468"/>
      <c r="L201" s="468"/>
      <c r="M201" s="468"/>
      <c r="N201" s="468"/>
      <c r="O201" s="468"/>
      <c r="P201" s="468"/>
      <c r="Q201" s="468"/>
      <c r="R201" s="468"/>
      <c r="S201" s="409"/>
      <c r="T201" s="409"/>
      <c r="U201" s="409"/>
      <c r="V201" s="405"/>
    </row>
    <row r="202" spans="1:22" x14ac:dyDescent="0.3">
      <c r="A202" s="469"/>
      <c r="B202" s="532" t="s">
        <v>75</v>
      </c>
      <c r="C202" s="556"/>
      <c r="D202" s="556"/>
      <c r="E202" s="556"/>
      <c r="F202" s="556"/>
      <c r="G202" s="557"/>
      <c r="H202" s="557"/>
      <c r="I202" s="557"/>
      <c r="J202" s="557"/>
      <c r="K202" s="557"/>
      <c r="L202" s="557"/>
      <c r="M202" s="557"/>
      <c r="N202" s="557"/>
      <c r="O202" s="557"/>
      <c r="P202" s="557"/>
      <c r="Q202" s="557"/>
      <c r="R202" s="558">
        <v>5.8209999999999998E-2</v>
      </c>
      <c r="S202" s="532"/>
      <c r="T202" s="419"/>
      <c r="U202" s="451"/>
      <c r="V202" s="405"/>
    </row>
    <row r="203" spans="1:22" x14ac:dyDescent="0.3">
      <c r="A203" s="469"/>
      <c r="B203" s="532" t="s">
        <v>164</v>
      </c>
      <c r="C203" s="556"/>
      <c r="D203" s="556"/>
      <c r="E203" s="556"/>
      <c r="F203" s="556"/>
      <c r="G203" s="557"/>
      <c r="H203" s="557"/>
      <c r="I203" s="557"/>
      <c r="J203" s="557"/>
      <c r="K203" s="557"/>
      <c r="L203" s="557"/>
      <c r="M203" s="557"/>
      <c r="N203" s="557"/>
      <c r="O203" s="557"/>
      <c r="P203" s="557"/>
      <c r="Q203" s="557"/>
      <c r="R203" s="558">
        <f>'Oct 05'!R193</f>
        <v>4.8438496428571419E-2</v>
      </c>
      <c r="S203" s="532"/>
      <c r="T203" s="419"/>
      <c r="U203" s="451"/>
      <c r="V203" s="405"/>
    </row>
    <row r="204" spans="1:22" x14ac:dyDescent="0.3">
      <c r="A204" s="469"/>
      <c r="B204" s="532" t="s">
        <v>76</v>
      </c>
      <c r="C204" s="556"/>
      <c r="D204" s="556"/>
      <c r="E204" s="556"/>
      <c r="F204" s="556"/>
      <c r="G204" s="557"/>
      <c r="H204" s="557"/>
      <c r="I204" s="557"/>
      <c r="J204" s="557"/>
      <c r="K204" s="557"/>
      <c r="L204" s="557"/>
      <c r="M204" s="557"/>
      <c r="N204" s="557"/>
      <c r="O204" s="557"/>
      <c r="P204" s="557"/>
      <c r="Q204" s="557"/>
      <c r="R204" s="558">
        <f>R202-R203</f>
        <v>9.7715035714285789E-3</v>
      </c>
      <c r="S204" s="532"/>
      <c r="T204" s="419"/>
      <c r="U204" s="451"/>
      <c r="V204" s="405"/>
    </row>
    <row r="205" spans="1:22" x14ac:dyDescent="0.3">
      <c r="A205" s="469"/>
      <c r="B205" s="532" t="s">
        <v>77</v>
      </c>
      <c r="C205" s="556"/>
      <c r="D205" s="556"/>
      <c r="E205" s="556"/>
      <c r="F205" s="556"/>
      <c r="G205" s="557"/>
      <c r="H205" s="557"/>
      <c r="I205" s="557"/>
      <c r="J205" s="557"/>
      <c r="K205" s="557"/>
      <c r="L205" s="557"/>
      <c r="M205" s="557"/>
      <c r="N205" s="557"/>
      <c r="O205" s="557"/>
      <c r="P205" s="557"/>
      <c r="Q205" s="557"/>
      <c r="R205" s="558">
        <v>0</v>
      </c>
      <c r="S205" s="532"/>
      <c r="T205" s="419"/>
      <c r="U205" s="451"/>
      <c r="V205" s="405"/>
    </row>
    <row r="206" spans="1:22" x14ac:dyDescent="0.3">
      <c r="A206" s="469"/>
      <c r="B206" s="532" t="s">
        <v>257</v>
      </c>
      <c r="C206" s="556"/>
      <c r="D206" s="556"/>
      <c r="E206" s="556"/>
      <c r="F206" s="556"/>
      <c r="G206" s="557"/>
      <c r="H206" s="557"/>
      <c r="I206" s="557"/>
      <c r="J206" s="557"/>
      <c r="K206" s="557"/>
      <c r="L206" s="557"/>
      <c r="M206" s="557"/>
      <c r="N206" s="557"/>
      <c r="O206" s="557"/>
      <c r="P206" s="557"/>
      <c r="Q206" s="557"/>
      <c r="R206" s="558">
        <v>0</v>
      </c>
      <c r="S206" s="532"/>
      <c r="T206" s="419"/>
      <c r="U206" s="451"/>
      <c r="V206" s="405"/>
    </row>
    <row r="207" spans="1:22" x14ac:dyDescent="0.3">
      <c r="A207" s="469"/>
      <c r="B207" s="532" t="s">
        <v>78</v>
      </c>
      <c r="C207" s="556"/>
      <c r="D207" s="556"/>
      <c r="E207" s="556"/>
      <c r="F207" s="556"/>
      <c r="G207" s="557"/>
      <c r="H207" s="557"/>
      <c r="I207" s="557"/>
      <c r="J207" s="557"/>
      <c r="K207" s="557"/>
      <c r="L207" s="557"/>
      <c r="M207" s="557"/>
      <c r="N207" s="557"/>
      <c r="O207" s="557"/>
      <c r="P207" s="557"/>
      <c r="Q207" s="557"/>
      <c r="R207" s="558">
        <f>R205-R206</f>
        <v>0</v>
      </c>
      <c r="S207" s="532"/>
      <c r="T207" s="419"/>
      <c r="U207" s="451"/>
      <c r="V207" s="405"/>
    </row>
    <row r="208" spans="1:22" x14ac:dyDescent="0.3">
      <c r="A208" s="469"/>
      <c r="B208" s="532" t="s">
        <v>268</v>
      </c>
      <c r="C208" s="556"/>
      <c r="D208" s="556"/>
      <c r="E208" s="556"/>
      <c r="F208" s="556"/>
      <c r="G208" s="557"/>
      <c r="H208" s="557"/>
      <c r="I208" s="557"/>
      <c r="J208" s="557"/>
      <c r="K208" s="557"/>
      <c r="L208" s="557"/>
      <c r="M208" s="557"/>
      <c r="N208" s="557"/>
      <c r="O208" s="557"/>
      <c r="P208" s="557"/>
      <c r="Q208" s="557"/>
      <c r="R208" s="558">
        <v>0</v>
      </c>
      <c r="S208" s="532"/>
      <c r="T208" s="419"/>
      <c r="U208" s="451"/>
      <c r="V208" s="405"/>
    </row>
    <row r="209" spans="1:22" x14ac:dyDescent="0.3">
      <c r="A209" s="469"/>
      <c r="B209" s="532" t="s">
        <v>249</v>
      </c>
      <c r="C209" s="556"/>
      <c r="D209" s="556"/>
      <c r="E209" s="556"/>
      <c r="F209" s="556"/>
      <c r="G209" s="557"/>
      <c r="H209" s="557"/>
      <c r="I209" s="557"/>
      <c r="J209" s="557"/>
      <c r="K209" s="557"/>
      <c r="L209" s="557"/>
      <c r="M209" s="557"/>
      <c r="N209" s="557"/>
      <c r="O209" s="557"/>
      <c r="P209" s="557"/>
      <c r="Q209" s="557"/>
      <c r="R209" s="559">
        <v>51622</v>
      </c>
      <c r="S209" s="532"/>
      <c r="T209" s="419"/>
      <c r="U209" s="451"/>
      <c r="V209" s="405"/>
    </row>
    <row r="210" spans="1:22" x14ac:dyDescent="0.3">
      <c r="A210" s="469"/>
      <c r="B210" s="532" t="s">
        <v>250</v>
      </c>
      <c r="C210" s="556"/>
      <c r="D210" s="556"/>
      <c r="E210" s="556"/>
      <c r="F210" s="556"/>
      <c r="G210" s="557"/>
      <c r="H210" s="557"/>
      <c r="I210" s="557"/>
      <c r="J210" s="557"/>
      <c r="K210" s="557"/>
      <c r="L210" s="557"/>
      <c r="M210" s="557"/>
      <c r="N210" s="557"/>
      <c r="O210" s="557"/>
      <c r="P210" s="557"/>
      <c r="Q210" s="557"/>
      <c r="R210" s="559">
        <v>51622</v>
      </c>
      <c r="S210" s="532"/>
      <c r="T210" s="419"/>
      <c r="U210" s="451"/>
      <c r="V210" s="405"/>
    </row>
    <row r="211" spans="1:22" x14ac:dyDescent="0.3">
      <c r="A211" s="469"/>
      <c r="B211" s="532" t="s">
        <v>251</v>
      </c>
      <c r="C211" s="556"/>
      <c r="D211" s="556"/>
      <c r="E211" s="556"/>
      <c r="F211" s="556"/>
      <c r="G211" s="557"/>
      <c r="H211" s="557"/>
      <c r="I211" s="557"/>
      <c r="J211" s="557"/>
      <c r="K211" s="557"/>
      <c r="L211" s="557"/>
      <c r="M211" s="557"/>
      <c r="N211" s="557"/>
      <c r="O211" s="557"/>
      <c r="P211" s="557"/>
      <c r="Q211" s="557"/>
      <c r="R211" s="559">
        <v>51622</v>
      </c>
      <c r="S211" s="532"/>
      <c r="T211" s="419"/>
      <c r="U211" s="451"/>
      <c r="V211" s="405"/>
    </row>
    <row r="212" spans="1:22" x14ac:dyDescent="0.3">
      <c r="A212" s="469"/>
      <c r="B212" s="532" t="s">
        <v>79</v>
      </c>
      <c r="C212" s="556"/>
      <c r="D212" s="556"/>
      <c r="E212" s="556"/>
      <c r="F212" s="556"/>
      <c r="G212" s="557"/>
      <c r="H212" s="557"/>
      <c r="I212" s="557"/>
      <c r="J212" s="557"/>
      <c r="K212" s="557"/>
      <c r="L212" s="557"/>
      <c r="M212" s="557"/>
      <c r="N212" s="557"/>
      <c r="O212" s="557"/>
      <c r="P212" s="557"/>
      <c r="Q212" s="557"/>
      <c r="R212" s="560">
        <v>20.95</v>
      </c>
      <c r="S212" s="532" t="s">
        <v>119</v>
      </c>
      <c r="T212" s="419"/>
      <c r="U212" s="451"/>
      <c r="V212" s="405"/>
    </row>
    <row r="213" spans="1:22" x14ac:dyDescent="0.3">
      <c r="A213" s="469"/>
      <c r="B213" s="532" t="s">
        <v>80</v>
      </c>
      <c r="C213" s="556"/>
      <c r="D213" s="556"/>
      <c r="E213" s="556"/>
      <c r="F213" s="556"/>
      <c r="G213" s="557"/>
      <c r="H213" s="557"/>
      <c r="I213" s="557"/>
      <c r="J213" s="557"/>
      <c r="K213" s="557"/>
      <c r="L213" s="557"/>
      <c r="M213" s="557"/>
      <c r="N213" s="557"/>
      <c r="O213" s="557"/>
      <c r="P213" s="557"/>
      <c r="Q213" s="557"/>
      <c r="R213" s="560">
        <v>0</v>
      </c>
      <c r="S213" s="532" t="s">
        <v>119</v>
      </c>
      <c r="T213" s="419"/>
      <c r="U213" s="451"/>
      <c r="V213" s="405"/>
    </row>
    <row r="214" spans="1:22" x14ac:dyDescent="0.3">
      <c r="A214" s="469"/>
      <c r="B214" s="532" t="s">
        <v>81</v>
      </c>
      <c r="C214" s="556"/>
      <c r="D214" s="556"/>
      <c r="E214" s="556"/>
      <c r="F214" s="556"/>
      <c r="G214" s="557"/>
      <c r="H214" s="557"/>
      <c r="I214" s="557"/>
      <c r="J214" s="557"/>
      <c r="K214" s="557"/>
      <c r="L214" s="557"/>
      <c r="M214" s="557"/>
      <c r="N214" s="557"/>
      <c r="O214" s="557"/>
      <c r="P214" s="557"/>
      <c r="Q214" s="557"/>
      <c r="R214" s="558">
        <v>1</v>
      </c>
      <c r="S214" s="532"/>
      <c r="T214" s="419"/>
      <c r="U214" s="451"/>
      <c r="V214" s="405"/>
    </row>
    <row r="215" spans="1:22" x14ac:dyDescent="0.3">
      <c r="A215" s="469"/>
      <c r="B215" s="532" t="s">
        <v>82</v>
      </c>
      <c r="C215" s="556"/>
      <c r="D215" s="556"/>
      <c r="E215" s="556"/>
      <c r="F215" s="556"/>
      <c r="G215" s="557"/>
      <c r="H215" s="557"/>
      <c r="I215" s="557"/>
      <c r="J215" s="557"/>
      <c r="K215" s="557"/>
      <c r="L215" s="557"/>
      <c r="M215" s="557"/>
      <c r="N215" s="557"/>
      <c r="O215" s="557"/>
      <c r="P215" s="557"/>
      <c r="Q215" s="557"/>
      <c r="R215" s="558">
        <v>1</v>
      </c>
      <c r="S215" s="532"/>
      <c r="T215" s="419"/>
      <c r="U215" s="451"/>
      <c r="V215" s="405"/>
    </row>
    <row r="216" spans="1:22" x14ac:dyDescent="0.3">
      <c r="A216" s="465"/>
      <c r="B216" s="431"/>
      <c r="C216" s="431"/>
      <c r="D216" s="431"/>
      <c r="E216" s="431"/>
      <c r="F216" s="431"/>
      <c r="G216" s="431"/>
      <c r="H216" s="431"/>
      <c r="I216" s="431"/>
      <c r="J216" s="431"/>
      <c r="K216" s="431"/>
      <c r="L216" s="431"/>
      <c r="M216" s="431"/>
      <c r="N216" s="431"/>
      <c r="O216" s="431"/>
      <c r="P216" s="431"/>
      <c r="Q216" s="431"/>
      <c r="R216" s="461"/>
      <c r="S216" s="431"/>
      <c r="T216" s="470"/>
      <c r="U216" s="444"/>
      <c r="V216" s="405"/>
    </row>
    <row r="217" spans="1:22" x14ac:dyDescent="0.3">
      <c r="A217" s="513"/>
      <c r="B217" s="612" t="s">
        <v>83</v>
      </c>
      <c r="C217" s="613"/>
      <c r="D217" s="613"/>
      <c r="E217" s="613"/>
      <c r="F217" s="620"/>
      <c r="G217" s="613"/>
      <c r="H217" s="613"/>
      <c r="I217" s="613"/>
      <c r="J217" s="613"/>
      <c r="K217" s="613"/>
      <c r="L217" s="613"/>
      <c r="M217" s="613"/>
      <c r="N217" s="613"/>
      <c r="O217" s="613"/>
      <c r="P217" s="613"/>
      <c r="Q217" s="613" t="s">
        <v>108</v>
      </c>
      <c r="R217" s="620" t="s">
        <v>115</v>
      </c>
      <c r="S217" s="608"/>
      <c r="T217" s="608"/>
      <c r="U217" s="611"/>
      <c r="V217" s="405"/>
    </row>
    <row r="218" spans="1:22" x14ac:dyDescent="0.3">
      <c r="A218" s="487"/>
      <c r="B218" s="539" t="s">
        <v>84</v>
      </c>
      <c r="C218" s="455"/>
      <c r="D218" s="455"/>
      <c r="E218" s="455"/>
      <c r="F218" s="431"/>
      <c r="G218" s="431"/>
      <c r="H218" s="616"/>
      <c r="I218" s="616"/>
      <c r="J218" s="616"/>
      <c r="K218" s="616"/>
      <c r="L218" s="616"/>
      <c r="M218" s="616"/>
      <c r="N218" s="616"/>
      <c r="O218" s="616"/>
      <c r="P218" s="616"/>
      <c r="Q218" s="617">
        <v>0</v>
      </c>
      <c r="R218" s="618">
        <v>0</v>
      </c>
      <c r="S218" s="431"/>
      <c r="T218" s="470"/>
      <c r="U218" s="619"/>
      <c r="V218" s="405"/>
    </row>
    <row r="219" spans="1:22" x14ac:dyDescent="0.3">
      <c r="A219" s="471"/>
      <c r="B219" s="532" t="s">
        <v>156</v>
      </c>
      <c r="C219" s="443"/>
      <c r="D219" s="443"/>
      <c r="E219" s="443"/>
      <c r="F219" s="419"/>
      <c r="G219" s="419"/>
      <c r="H219" s="422"/>
      <c r="I219" s="422"/>
      <c r="J219" s="422"/>
      <c r="K219" s="422"/>
      <c r="L219" s="422"/>
      <c r="M219" s="422"/>
      <c r="N219" s="422"/>
      <c r="O219" s="422"/>
      <c r="P219" s="422"/>
      <c r="Q219" s="555">
        <f>+P270</f>
        <v>0</v>
      </c>
      <c r="R219" s="553">
        <f>+R270</f>
        <v>0</v>
      </c>
      <c r="S219" s="419"/>
      <c r="T219" s="472"/>
      <c r="U219" s="473"/>
      <c r="V219" s="405"/>
    </row>
    <row r="220" spans="1:22" x14ac:dyDescent="0.3">
      <c r="A220" s="471"/>
      <c r="B220" s="532" t="s">
        <v>85</v>
      </c>
      <c r="C220" s="443"/>
      <c r="D220" s="443"/>
      <c r="E220" s="443"/>
      <c r="F220" s="419"/>
      <c r="G220" s="419"/>
      <c r="H220" s="422"/>
      <c r="I220" s="422"/>
      <c r="J220" s="422"/>
      <c r="K220" s="422"/>
      <c r="L220" s="422"/>
      <c r="M220" s="422"/>
      <c r="N220" s="422"/>
      <c r="O220" s="422"/>
      <c r="P220" s="422"/>
      <c r="Q220" s="555">
        <f>+P282</f>
        <v>0</v>
      </c>
      <c r="R220" s="553">
        <f>+R282</f>
        <v>0</v>
      </c>
      <c r="S220" s="419"/>
      <c r="T220" s="472"/>
      <c r="U220" s="473"/>
      <c r="V220" s="405"/>
    </row>
    <row r="221" spans="1:22" x14ac:dyDescent="0.3">
      <c r="A221" s="471"/>
      <c r="B221" s="514" t="s">
        <v>86</v>
      </c>
      <c r="C221" s="474"/>
      <c r="D221" s="474"/>
      <c r="E221" s="474"/>
      <c r="F221" s="448"/>
      <c r="G221" s="448"/>
      <c r="H221" s="448"/>
      <c r="I221" s="448"/>
      <c r="J221" s="448"/>
      <c r="K221" s="448"/>
      <c r="L221" s="448"/>
      <c r="M221" s="448"/>
      <c r="N221" s="448"/>
      <c r="O221" s="448"/>
      <c r="P221" s="448"/>
      <c r="Q221" s="532"/>
      <c r="R221" s="553">
        <v>0</v>
      </c>
      <c r="S221" s="448"/>
      <c r="T221" s="475"/>
      <c r="U221" s="473"/>
      <c r="V221" s="405"/>
    </row>
    <row r="222" spans="1:22" x14ac:dyDescent="0.3">
      <c r="A222" s="471"/>
      <c r="B222" s="514" t="s">
        <v>87</v>
      </c>
      <c r="C222" s="474"/>
      <c r="D222" s="474"/>
      <c r="E222" s="474"/>
      <c r="F222" s="448"/>
      <c r="G222" s="448"/>
      <c r="H222" s="448"/>
      <c r="I222" s="448"/>
      <c r="J222" s="448"/>
      <c r="K222" s="448"/>
      <c r="L222" s="448"/>
      <c r="M222" s="448"/>
      <c r="N222" s="448"/>
      <c r="O222" s="448"/>
      <c r="P222" s="448"/>
      <c r="Q222" s="532"/>
      <c r="R222" s="554" t="s">
        <v>116</v>
      </c>
      <c r="S222" s="448"/>
      <c r="T222" s="475"/>
      <c r="U222" s="473"/>
      <c r="V222" s="405"/>
    </row>
    <row r="223" spans="1:22" x14ac:dyDescent="0.3">
      <c r="A223" s="476"/>
      <c r="B223" s="514" t="s">
        <v>88</v>
      </c>
      <c r="C223" s="477"/>
      <c r="D223" s="477"/>
      <c r="E223" s="477"/>
      <c r="F223" s="477"/>
      <c r="G223" s="448"/>
      <c r="H223" s="448"/>
      <c r="I223" s="448"/>
      <c r="J223" s="448"/>
      <c r="K223" s="448"/>
      <c r="L223" s="448"/>
      <c r="M223" s="448"/>
      <c r="N223" s="448"/>
      <c r="O223" s="448"/>
      <c r="P223" s="448"/>
      <c r="Q223" s="448"/>
      <c r="R223" s="478"/>
      <c r="S223" s="448"/>
      <c r="T223" s="475"/>
      <c r="U223" s="479"/>
      <c r="V223" s="405"/>
    </row>
    <row r="224" spans="1:22" x14ac:dyDescent="0.3">
      <c r="A224" s="476"/>
      <c r="B224" s="532" t="s">
        <v>89</v>
      </c>
      <c r="C224" s="532"/>
      <c r="D224" s="532"/>
      <c r="E224" s="532"/>
      <c r="F224" s="532"/>
      <c r="G224" s="532"/>
      <c r="H224" s="532"/>
      <c r="I224" s="532"/>
      <c r="J224" s="532"/>
      <c r="K224" s="532"/>
      <c r="L224" s="532"/>
      <c r="M224" s="532"/>
      <c r="N224" s="532"/>
      <c r="O224" s="532"/>
      <c r="P224" s="532"/>
      <c r="Q224" s="552"/>
      <c r="R224" s="553">
        <f>T168</f>
        <v>171</v>
      </c>
      <c r="S224" s="419"/>
      <c r="T224" s="475"/>
      <c r="U224" s="479"/>
      <c r="V224" s="405"/>
    </row>
    <row r="225" spans="1:23" x14ac:dyDescent="0.3">
      <c r="A225" s="471"/>
      <c r="B225" s="532" t="s">
        <v>90</v>
      </c>
      <c r="C225" s="531"/>
      <c r="D225" s="531"/>
      <c r="E225" s="531"/>
      <c r="F225" s="531"/>
      <c r="G225" s="532"/>
      <c r="H225" s="532"/>
      <c r="I225" s="532"/>
      <c r="J225" s="532"/>
      <c r="K225" s="532"/>
      <c r="L225" s="532"/>
      <c r="M225" s="532"/>
      <c r="N225" s="532"/>
      <c r="O225" s="532"/>
      <c r="P225" s="532"/>
      <c r="Q225" s="552"/>
      <c r="R225" s="553">
        <f>'Oct 19'!R224+'Jan 20'!R224</f>
        <v>4727</v>
      </c>
      <c r="S225" s="419"/>
      <c r="T225" s="475"/>
      <c r="U225" s="479"/>
      <c r="V225" s="405"/>
    </row>
    <row r="226" spans="1:23" x14ac:dyDescent="0.3">
      <c r="A226" s="476"/>
      <c r="B226" s="514" t="s">
        <v>288</v>
      </c>
      <c r="C226" s="477"/>
      <c r="D226" s="477"/>
      <c r="E226" s="477"/>
      <c r="F226" s="477"/>
      <c r="G226" s="448"/>
      <c r="H226" s="448"/>
      <c r="I226" s="448"/>
      <c r="J226" s="448"/>
      <c r="K226" s="448"/>
      <c r="L226" s="448"/>
      <c r="M226" s="448"/>
      <c r="N226" s="448"/>
      <c r="O226" s="448"/>
      <c r="P226" s="448"/>
      <c r="Q226" s="480"/>
      <c r="R226" s="478"/>
      <c r="S226" s="448"/>
      <c r="T226" s="475"/>
      <c r="U226" s="479"/>
      <c r="V226" s="405"/>
    </row>
    <row r="227" spans="1:23" x14ac:dyDescent="0.3">
      <c r="A227" s="481"/>
      <c r="B227" s="532" t="s">
        <v>286</v>
      </c>
      <c r="C227" s="532"/>
      <c r="D227" s="532"/>
      <c r="E227" s="532"/>
      <c r="F227" s="532"/>
      <c r="G227" s="532"/>
      <c r="H227" s="532"/>
      <c r="I227" s="532"/>
      <c r="J227" s="532"/>
      <c r="K227" s="532"/>
      <c r="L227" s="532"/>
      <c r="M227" s="532"/>
      <c r="N227" s="532"/>
      <c r="O227" s="532"/>
      <c r="P227" s="532"/>
      <c r="Q227" s="552">
        <v>1</v>
      </c>
      <c r="R227" s="553">
        <v>438</v>
      </c>
      <c r="S227" s="419"/>
      <c r="T227" s="472"/>
      <c r="U227" s="479"/>
      <c r="V227" s="405"/>
    </row>
    <row r="228" spans="1:23" x14ac:dyDescent="0.3">
      <c r="A228" s="482"/>
      <c r="B228" s="532" t="s">
        <v>92</v>
      </c>
      <c r="C228" s="550"/>
      <c r="D228" s="550"/>
      <c r="E228" s="550"/>
      <c r="F228" s="551"/>
      <c r="G228" s="532"/>
      <c r="H228" s="532"/>
      <c r="I228" s="532"/>
      <c r="J228" s="532"/>
      <c r="K228" s="532"/>
      <c r="L228" s="532"/>
      <c r="M228" s="532"/>
      <c r="N228" s="532"/>
      <c r="O228" s="532"/>
      <c r="P228" s="532"/>
      <c r="Q228" s="552"/>
      <c r="R228" s="554">
        <v>7.9</v>
      </c>
      <c r="S228" s="419"/>
      <c r="T228" s="472"/>
      <c r="U228" s="479"/>
      <c r="V228" s="405"/>
    </row>
    <row r="229" spans="1:23" x14ac:dyDescent="0.3">
      <c r="A229" s="482"/>
      <c r="B229" s="532" t="s">
        <v>93</v>
      </c>
      <c r="C229" s="550"/>
      <c r="D229" s="550"/>
      <c r="E229" s="550"/>
      <c r="F229" s="551"/>
      <c r="G229" s="532"/>
      <c r="H229" s="532"/>
      <c r="I229" s="532"/>
      <c r="J229" s="532"/>
      <c r="K229" s="532"/>
      <c r="L229" s="532"/>
      <c r="M229" s="532"/>
      <c r="N229" s="532"/>
      <c r="O229" s="532"/>
      <c r="P229" s="532"/>
      <c r="Q229" s="552"/>
      <c r="R229" s="554">
        <v>3.65</v>
      </c>
      <c r="S229" s="419"/>
      <c r="T229" s="472"/>
      <c r="U229" s="479"/>
      <c r="V229" s="405"/>
    </row>
    <row r="230" spans="1:23" x14ac:dyDescent="0.3">
      <c r="A230" s="471"/>
      <c r="B230" s="514" t="s">
        <v>258</v>
      </c>
      <c r="C230" s="483"/>
      <c r="D230" s="483"/>
      <c r="E230" s="483"/>
      <c r="F230" s="484"/>
      <c r="G230" s="448"/>
      <c r="H230" s="448"/>
      <c r="I230" s="448"/>
      <c r="J230" s="448"/>
      <c r="K230" s="448"/>
      <c r="L230" s="448"/>
      <c r="M230" s="448"/>
      <c r="N230" s="448"/>
      <c r="O230" s="448"/>
      <c r="P230" s="448"/>
      <c r="Q230" s="480"/>
      <c r="R230" s="485"/>
      <c r="S230" s="448"/>
      <c r="T230" s="475"/>
      <c r="U230" s="479"/>
      <c r="V230" s="405"/>
    </row>
    <row r="231" spans="1:23" x14ac:dyDescent="0.3">
      <c r="A231" s="482"/>
      <c r="B231" s="532" t="s">
        <v>286</v>
      </c>
      <c r="C231" s="550"/>
      <c r="D231" s="550"/>
      <c r="E231" s="550"/>
      <c r="F231" s="551"/>
      <c r="G231" s="532"/>
      <c r="H231" s="532"/>
      <c r="I231" s="532"/>
      <c r="J231" s="532"/>
      <c r="K231" s="532"/>
      <c r="L231" s="532"/>
      <c r="M231" s="532"/>
      <c r="N231" s="532"/>
      <c r="O231" s="532"/>
      <c r="P231" s="532"/>
      <c r="Q231" s="552">
        <v>0</v>
      </c>
      <c r="R231" s="553">
        <v>0</v>
      </c>
      <c r="S231" s="419"/>
      <c r="T231" s="475"/>
      <c r="U231" s="479"/>
      <c r="V231" s="405"/>
    </row>
    <row r="232" spans="1:23" x14ac:dyDescent="0.3">
      <c r="A232" s="482"/>
      <c r="B232" s="532" t="s">
        <v>259</v>
      </c>
      <c r="C232" s="550"/>
      <c r="D232" s="550"/>
      <c r="E232" s="550"/>
      <c r="F232" s="551"/>
      <c r="G232" s="532"/>
      <c r="H232" s="532"/>
      <c r="I232" s="532"/>
      <c r="J232" s="532"/>
      <c r="K232" s="532"/>
      <c r="L232" s="532"/>
      <c r="M232" s="532"/>
      <c r="N232" s="532"/>
      <c r="O232" s="532"/>
      <c r="P232" s="532"/>
      <c r="Q232" s="532"/>
      <c r="R232" s="554">
        <v>0</v>
      </c>
      <c r="S232" s="419"/>
      <c r="T232" s="475"/>
      <c r="U232" s="479"/>
      <c r="V232" s="405"/>
    </row>
    <row r="233" spans="1:23" x14ac:dyDescent="0.3">
      <c r="A233" s="471"/>
      <c r="B233" s="477"/>
      <c r="C233" s="483"/>
      <c r="D233" s="483"/>
      <c r="E233" s="483"/>
      <c r="F233" s="484"/>
      <c r="G233" s="448"/>
      <c r="H233" s="448"/>
      <c r="I233" s="448"/>
      <c r="J233" s="448"/>
      <c r="K233" s="448"/>
      <c r="L233" s="448"/>
      <c r="M233" s="448"/>
      <c r="N233" s="448"/>
      <c r="O233" s="448"/>
      <c r="P233" s="448"/>
      <c r="Q233" s="448"/>
      <c r="R233" s="486"/>
      <c r="S233" s="448"/>
      <c r="T233" s="475"/>
      <c r="U233" s="479"/>
      <c r="V233" s="405"/>
    </row>
    <row r="234" spans="1:23" ht="18" x14ac:dyDescent="0.35">
      <c r="A234" s="471"/>
      <c r="B234" s="530" t="s">
        <v>208</v>
      </c>
      <c r="C234" s="483"/>
      <c r="D234" s="483"/>
      <c r="E234" s="483"/>
      <c r="F234" s="484"/>
      <c r="G234" s="448"/>
      <c r="H234" s="448"/>
      <c r="I234" s="448"/>
      <c r="J234" s="448"/>
      <c r="K234" s="448"/>
      <c r="L234" s="448"/>
      <c r="M234" s="448"/>
      <c r="N234" s="603" t="s">
        <v>347</v>
      </c>
      <c r="O234" s="448"/>
      <c r="P234" s="448"/>
      <c r="Q234" s="448"/>
      <c r="R234" s="486"/>
      <c r="S234" s="448"/>
      <c r="T234" s="475"/>
      <c r="U234" s="479"/>
      <c r="V234" s="405"/>
    </row>
    <row r="235" spans="1:23" x14ac:dyDescent="0.3">
      <c r="A235" s="487"/>
      <c r="B235" s="488"/>
      <c r="C235" s="489"/>
      <c r="D235" s="489"/>
      <c r="E235" s="489"/>
      <c r="F235" s="490"/>
      <c r="G235" s="444"/>
      <c r="H235" s="444"/>
      <c r="I235" s="444"/>
      <c r="J235" s="444"/>
      <c r="K235" s="444"/>
      <c r="L235" s="444"/>
      <c r="M235" s="444"/>
      <c r="N235" s="444"/>
      <c r="O235" s="444"/>
      <c r="P235" s="444"/>
      <c r="Q235" s="444"/>
      <c r="R235" s="491"/>
      <c r="S235" s="444"/>
      <c r="T235" s="492"/>
      <c r="U235" s="493"/>
      <c r="V235" s="405"/>
    </row>
    <row r="236" spans="1:23" x14ac:dyDescent="0.3">
      <c r="A236" s="503"/>
      <c r="B236" s="612" t="s">
        <v>302</v>
      </c>
      <c r="C236" s="613"/>
      <c r="D236" s="613"/>
      <c r="E236" s="613"/>
      <c r="F236" s="620"/>
      <c r="G236" s="613"/>
      <c r="H236" s="613"/>
      <c r="I236" s="613"/>
      <c r="J236" s="613"/>
      <c r="K236" s="613"/>
      <c r="L236" s="613"/>
      <c r="M236" s="613"/>
      <c r="N236" s="613"/>
      <c r="O236" s="613"/>
      <c r="P236" s="620" t="s">
        <v>108</v>
      </c>
      <c r="Q236" s="613" t="s">
        <v>109</v>
      </c>
      <c r="R236" s="620" t="s">
        <v>117</v>
      </c>
      <c r="S236" s="613" t="s">
        <v>109</v>
      </c>
      <c r="T236" s="608"/>
      <c r="U236" s="626"/>
      <c r="V236" s="405"/>
    </row>
    <row r="237" spans="1:23" x14ac:dyDescent="0.3">
      <c r="A237" s="430"/>
      <c r="B237" s="572" t="s">
        <v>94</v>
      </c>
      <c r="C237" s="621"/>
      <c r="D237" s="621"/>
      <c r="E237" s="621"/>
      <c r="F237" s="539"/>
      <c r="G237" s="621"/>
      <c r="H237" s="621"/>
      <c r="I237" s="621"/>
      <c r="J237" s="621"/>
      <c r="K237" s="621"/>
      <c r="L237" s="621"/>
      <c r="M237" s="621"/>
      <c r="N237" s="621"/>
      <c r="O237" s="621"/>
      <c r="P237" s="622">
        <f t="shared" ref="P237:P244" si="1">+P249+P261+P273</f>
        <v>0</v>
      </c>
      <c r="Q237" s="623">
        <v>0</v>
      </c>
      <c r="R237" s="624">
        <f t="shared" ref="R237:R244" si="2">+R249+R261+R273</f>
        <v>0</v>
      </c>
      <c r="S237" s="623">
        <v>0</v>
      </c>
      <c r="T237" s="470"/>
      <c r="U237" s="625"/>
      <c r="V237" s="405"/>
    </row>
    <row r="238" spans="1:23" x14ac:dyDescent="0.3">
      <c r="A238" s="428"/>
      <c r="B238" s="531" t="s">
        <v>95</v>
      </c>
      <c r="C238" s="549"/>
      <c r="D238" s="549"/>
      <c r="E238" s="549"/>
      <c r="F238" s="532"/>
      <c r="G238" s="534"/>
      <c r="H238" s="549"/>
      <c r="I238" s="549"/>
      <c r="J238" s="549"/>
      <c r="K238" s="549"/>
      <c r="L238" s="549"/>
      <c r="M238" s="549"/>
      <c r="N238" s="549"/>
      <c r="O238" s="549"/>
      <c r="P238" s="531">
        <f t="shared" si="1"/>
        <v>0</v>
      </c>
      <c r="Q238" s="534">
        <v>0</v>
      </c>
      <c r="R238" s="535">
        <f t="shared" si="2"/>
        <v>0</v>
      </c>
      <c r="S238" s="534">
        <v>0</v>
      </c>
      <c r="T238" s="472"/>
      <c r="U238" s="494"/>
      <c r="V238" s="405"/>
      <c r="W238" s="452"/>
    </row>
    <row r="239" spans="1:23" x14ac:dyDescent="0.3">
      <c r="A239" s="428"/>
      <c r="B239" s="531" t="s">
        <v>96</v>
      </c>
      <c r="C239" s="549"/>
      <c r="D239" s="549"/>
      <c r="E239" s="549"/>
      <c r="F239" s="532"/>
      <c r="G239" s="534"/>
      <c r="H239" s="549"/>
      <c r="I239" s="549"/>
      <c r="J239" s="549"/>
      <c r="K239" s="549"/>
      <c r="L239" s="549"/>
      <c r="M239" s="549"/>
      <c r="N239" s="549"/>
      <c r="O239" s="549"/>
      <c r="P239" s="531">
        <f t="shared" si="1"/>
        <v>0</v>
      </c>
      <c r="Q239" s="534">
        <v>0</v>
      </c>
      <c r="R239" s="535">
        <f t="shared" si="2"/>
        <v>0</v>
      </c>
      <c r="S239" s="534">
        <v>0</v>
      </c>
      <c r="T239" s="472"/>
      <c r="U239" s="494"/>
      <c r="V239" s="405"/>
    </row>
    <row r="240" spans="1:23" x14ac:dyDescent="0.3">
      <c r="A240" s="428"/>
      <c r="B240" s="531" t="s">
        <v>171</v>
      </c>
      <c r="C240" s="549"/>
      <c r="D240" s="549"/>
      <c r="E240" s="549"/>
      <c r="F240" s="532"/>
      <c r="G240" s="534"/>
      <c r="H240" s="549"/>
      <c r="I240" s="549"/>
      <c r="J240" s="549"/>
      <c r="K240" s="549"/>
      <c r="L240" s="549"/>
      <c r="M240" s="549"/>
      <c r="N240" s="549"/>
      <c r="O240" s="549"/>
      <c r="P240" s="531">
        <f t="shared" si="1"/>
        <v>0</v>
      </c>
      <c r="Q240" s="534">
        <v>0</v>
      </c>
      <c r="R240" s="535">
        <f t="shared" si="2"/>
        <v>0</v>
      </c>
      <c r="S240" s="534">
        <v>0</v>
      </c>
      <c r="T240" s="472"/>
      <c r="U240" s="494"/>
      <c r="V240" s="405"/>
      <c r="W240" s="452"/>
    </row>
    <row r="241" spans="1:23" x14ac:dyDescent="0.3">
      <c r="A241" s="428"/>
      <c r="B241" s="531" t="s">
        <v>172</v>
      </c>
      <c r="C241" s="549"/>
      <c r="D241" s="549"/>
      <c r="E241" s="549"/>
      <c r="F241" s="532"/>
      <c r="G241" s="534"/>
      <c r="H241" s="549"/>
      <c r="I241" s="549"/>
      <c r="J241" s="549"/>
      <c r="K241" s="549"/>
      <c r="L241" s="549"/>
      <c r="M241" s="549"/>
      <c r="N241" s="549"/>
      <c r="O241" s="549"/>
      <c r="P241" s="531">
        <f t="shared" si="1"/>
        <v>0</v>
      </c>
      <c r="Q241" s="534">
        <v>0</v>
      </c>
      <c r="R241" s="535">
        <f t="shared" si="2"/>
        <v>0</v>
      </c>
      <c r="S241" s="534">
        <v>0</v>
      </c>
      <c r="T241" s="472"/>
      <c r="U241" s="494"/>
      <c r="V241" s="405"/>
    </row>
    <row r="242" spans="1:23" x14ac:dyDescent="0.3">
      <c r="A242" s="428"/>
      <c r="B242" s="531" t="s">
        <v>173</v>
      </c>
      <c r="C242" s="549"/>
      <c r="D242" s="549"/>
      <c r="E242" s="549"/>
      <c r="F242" s="532"/>
      <c r="G242" s="534"/>
      <c r="H242" s="549"/>
      <c r="I242" s="549"/>
      <c r="J242" s="549"/>
      <c r="K242" s="549"/>
      <c r="L242" s="549"/>
      <c r="M242" s="549"/>
      <c r="N242" s="549"/>
      <c r="O242" s="549"/>
      <c r="P242" s="531">
        <f t="shared" si="1"/>
        <v>0</v>
      </c>
      <c r="Q242" s="534">
        <v>0</v>
      </c>
      <c r="R242" s="535">
        <f t="shared" si="2"/>
        <v>0</v>
      </c>
      <c r="S242" s="534">
        <v>0</v>
      </c>
      <c r="T242" s="472"/>
      <c r="U242" s="494"/>
      <c r="V242" s="405"/>
      <c r="W242" s="452"/>
    </row>
    <row r="243" spans="1:23" x14ac:dyDescent="0.3">
      <c r="A243" s="428"/>
      <c r="B243" s="531" t="s">
        <v>174</v>
      </c>
      <c r="C243" s="549"/>
      <c r="D243" s="549"/>
      <c r="E243" s="549"/>
      <c r="F243" s="532"/>
      <c r="G243" s="534"/>
      <c r="H243" s="549"/>
      <c r="I243" s="549"/>
      <c r="J243" s="549"/>
      <c r="K243" s="549"/>
      <c r="L243" s="549"/>
      <c r="M243" s="549"/>
      <c r="N243" s="549"/>
      <c r="O243" s="549"/>
      <c r="P243" s="531">
        <f t="shared" si="1"/>
        <v>0</v>
      </c>
      <c r="Q243" s="534">
        <v>0</v>
      </c>
      <c r="R243" s="535">
        <f t="shared" si="2"/>
        <v>0</v>
      </c>
      <c r="S243" s="534">
        <v>0</v>
      </c>
      <c r="T243" s="472"/>
      <c r="U243" s="494"/>
      <c r="V243" s="405"/>
    </row>
    <row r="244" spans="1:23" x14ac:dyDescent="0.3">
      <c r="A244" s="428"/>
      <c r="B244" s="531" t="s">
        <v>175</v>
      </c>
      <c r="C244" s="549"/>
      <c r="D244" s="549"/>
      <c r="E244" s="549"/>
      <c r="F244" s="532"/>
      <c r="G244" s="534"/>
      <c r="H244" s="549"/>
      <c r="I244" s="549"/>
      <c r="J244" s="549"/>
      <c r="K244" s="549"/>
      <c r="L244" s="549"/>
      <c r="M244" s="549"/>
      <c r="N244" s="549"/>
      <c r="O244" s="549"/>
      <c r="P244" s="531">
        <f t="shared" si="1"/>
        <v>0</v>
      </c>
      <c r="Q244" s="534">
        <v>0</v>
      </c>
      <c r="R244" s="535">
        <f t="shared" si="2"/>
        <v>0</v>
      </c>
      <c r="S244" s="534">
        <v>0</v>
      </c>
      <c r="T244" s="472"/>
      <c r="U244" s="494"/>
      <c r="V244" s="405"/>
      <c r="W244" s="452"/>
    </row>
    <row r="245" spans="1:23" x14ac:dyDescent="0.3">
      <c r="A245" s="428"/>
      <c r="B245" s="531"/>
      <c r="C245" s="549"/>
      <c r="D245" s="549"/>
      <c r="E245" s="549"/>
      <c r="F245" s="532"/>
      <c r="G245" s="534"/>
      <c r="H245" s="549"/>
      <c r="I245" s="549"/>
      <c r="J245" s="549"/>
      <c r="K245" s="549"/>
      <c r="L245" s="549"/>
      <c r="M245" s="549"/>
      <c r="N245" s="549"/>
      <c r="O245" s="549"/>
      <c r="P245" s="531"/>
      <c r="Q245" s="534"/>
      <c r="R245" s="535"/>
      <c r="S245" s="534"/>
      <c r="T245" s="472"/>
      <c r="U245" s="494"/>
      <c r="V245" s="405"/>
    </row>
    <row r="246" spans="1:23" x14ac:dyDescent="0.3">
      <c r="A246" s="428"/>
      <c r="B246" s="532"/>
      <c r="C246" s="532"/>
      <c r="D246" s="532"/>
      <c r="E246" s="532"/>
      <c r="F246" s="532"/>
      <c r="G246" s="532"/>
      <c r="H246" s="533"/>
      <c r="I246" s="533"/>
      <c r="J246" s="533"/>
      <c r="K246" s="533"/>
      <c r="L246" s="533"/>
      <c r="M246" s="533"/>
      <c r="N246" s="533"/>
      <c r="O246" s="533"/>
      <c r="P246" s="531">
        <f>SUM(P237:P245)</f>
        <v>0</v>
      </c>
      <c r="Q246" s="534">
        <f>SUM(Q237:Q245)</f>
        <v>0</v>
      </c>
      <c r="R246" s="535">
        <f>SUM(R237:R245)</f>
        <v>0</v>
      </c>
      <c r="S246" s="534">
        <f>SUM(S237:S245)</f>
        <v>0</v>
      </c>
      <c r="T246" s="419"/>
      <c r="U246" s="420"/>
      <c r="V246" s="405"/>
    </row>
    <row r="247" spans="1:23" x14ac:dyDescent="0.3">
      <c r="A247" s="487"/>
      <c r="B247" s="488"/>
      <c r="C247" s="489"/>
      <c r="D247" s="489"/>
      <c r="E247" s="489"/>
      <c r="F247" s="490"/>
      <c r="G247" s="444"/>
      <c r="H247" s="444"/>
      <c r="I247" s="444"/>
      <c r="J247" s="444"/>
      <c r="K247" s="444"/>
      <c r="L247" s="444"/>
      <c r="M247" s="444"/>
      <c r="N247" s="444"/>
      <c r="O247" s="444"/>
      <c r="P247" s="444"/>
      <c r="Q247" s="444"/>
      <c r="R247" s="491"/>
      <c r="S247" s="444"/>
      <c r="T247" s="492"/>
      <c r="U247" s="493"/>
      <c r="V247" s="405"/>
    </row>
    <row r="248" spans="1:23" x14ac:dyDescent="0.3">
      <c r="A248" s="503"/>
      <c r="B248" s="612" t="s">
        <v>177</v>
      </c>
      <c r="C248" s="613"/>
      <c r="D248" s="613"/>
      <c r="E248" s="613"/>
      <c r="F248" s="620"/>
      <c r="G248" s="613"/>
      <c r="H248" s="613"/>
      <c r="I248" s="613"/>
      <c r="J248" s="613"/>
      <c r="K248" s="613"/>
      <c r="L248" s="613"/>
      <c r="M248" s="613"/>
      <c r="N248" s="613"/>
      <c r="O248" s="613"/>
      <c r="P248" s="620" t="s">
        <v>108</v>
      </c>
      <c r="Q248" s="613" t="s">
        <v>109</v>
      </c>
      <c r="R248" s="620" t="s">
        <v>117</v>
      </c>
      <c r="S248" s="613" t="s">
        <v>109</v>
      </c>
      <c r="T248" s="608"/>
      <c r="U248" s="626"/>
      <c r="V248" s="405"/>
    </row>
    <row r="249" spans="1:23" x14ac:dyDescent="0.3">
      <c r="A249" s="430"/>
      <c r="B249" s="572" t="s">
        <v>94</v>
      </c>
      <c r="C249" s="621"/>
      <c r="D249" s="621"/>
      <c r="E249" s="621"/>
      <c r="F249" s="539"/>
      <c r="G249" s="621"/>
      <c r="H249" s="621"/>
      <c r="I249" s="621"/>
      <c r="J249" s="621"/>
      <c r="K249" s="621"/>
      <c r="L249" s="621"/>
      <c r="M249" s="621"/>
      <c r="N249" s="621"/>
      <c r="O249" s="621"/>
      <c r="P249" s="572">
        <v>0</v>
      </c>
      <c r="Q249" s="627">
        <v>0</v>
      </c>
      <c r="R249" s="541">
        <v>0</v>
      </c>
      <c r="S249" s="627">
        <v>0</v>
      </c>
      <c r="T249" s="470"/>
      <c r="U249" s="625"/>
      <c r="V249" s="405"/>
    </row>
    <row r="250" spans="1:23" x14ac:dyDescent="0.3">
      <c r="A250" s="428"/>
      <c r="B250" s="531" t="s">
        <v>95</v>
      </c>
      <c r="C250" s="549"/>
      <c r="D250" s="549"/>
      <c r="E250" s="549"/>
      <c r="F250" s="532"/>
      <c r="G250" s="534"/>
      <c r="H250" s="549"/>
      <c r="I250" s="549"/>
      <c r="J250" s="549"/>
      <c r="K250" s="549"/>
      <c r="L250" s="549"/>
      <c r="M250" s="549"/>
      <c r="N250" s="549"/>
      <c r="O250" s="549"/>
      <c r="P250" s="531">
        <v>0</v>
      </c>
      <c r="Q250" s="534">
        <v>0</v>
      </c>
      <c r="R250" s="535">
        <v>0</v>
      </c>
      <c r="S250" s="534">
        <v>0</v>
      </c>
      <c r="T250" s="472"/>
      <c r="U250" s="494"/>
      <c r="V250" s="405"/>
      <c r="W250" s="452"/>
    </row>
    <row r="251" spans="1:23" x14ac:dyDescent="0.3">
      <c r="A251" s="428"/>
      <c r="B251" s="531" t="s">
        <v>96</v>
      </c>
      <c r="C251" s="549"/>
      <c r="D251" s="549"/>
      <c r="E251" s="549"/>
      <c r="F251" s="532"/>
      <c r="G251" s="534"/>
      <c r="H251" s="549"/>
      <c r="I251" s="549"/>
      <c r="J251" s="549"/>
      <c r="K251" s="549"/>
      <c r="L251" s="549"/>
      <c r="M251" s="549"/>
      <c r="N251" s="549"/>
      <c r="O251" s="549"/>
      <c r="P251" s="531">
        <v>0</v>
      </c>
      <c r="Q251" s="534">
        <v>0</v>
      </c>
      <c r="R251" s="535">
        <v>0</v>
      </c>
      <c r="S251" s="534">
        <v>0</v>
      </c>
      <c r="T251" s="472"/>
      <c r="U251" s="494"/>
      <c r="V251" s="405"/>
    </row>
    <row r="252" spans="1:23" x14ac:dyDescent="0.3">
      <c r="A252" s="428"/>
      <c r="B252" s="531" t="s">
        <v>171</v>
      </c>
      <c r="C252" s="549"/>
      <c r="D252" s="549"/>
      <c r="E252" s="549"/>
      <c r="F252" s="532"/>
      <c r="G252" s="534"/>
      <c r="H252" s="549"/>
      <c r="I252" s="549"/>
      <c r="J252" s="549"/>
      <c r="K252" s="549"/>
      <c r="L252" s="549"/>
      <c r="M252" s="549"/>
      <c r="N252" s="549"/>
      <c r="O252" s="549"/>
      <c r="P252" s="531">
        <v>0</v>
      </c>
      <c r="Q252" s="534">
        <v>0</v>
      </c>
      <c r="R252" s="535">
        <v>0</v>
      </c>
      <c r="S252" s="534">
        <v>0</v>
      </c>
      <c r="T252" s="472"/>
      <c r="U252" s="494"/>
      <c r="V252" s="405"/>
      <c r="W252" s="452"/>
    </row>
    <row r="253" spans="1:23" x14ac:dyDescent="0.3">
      <c r="A253" s="428"/>
      <c r="B253" s="531" t="s">
        <v>172</v>
      </c>
      <c r="C253" s="549"/>
      <c r="D253" s="549"/>
      <c r="E253" s="549"/>
      <c r="F253" s="532"/>
      <c r="G253" s="534"/>
      <c r="H253" s="549"/>
      <c r="I253" s="549"/>
      <c r="J253" s="549"/>
      <c r="K253" s="549"/>
      <c r="L253" s="549"/>
      <c r="M253" s="549"/>
      <c r="N253" s="549"/>
      <c r="O253" s="549"/>
      <c r="P253" s="531">
        <v>0</v>
      </c>
      <c r="Q253" s="534">
        <v>0</v>
      </c>
      <c r="R253" s="535">
        <v>0</v>
      </c>
      <c r="S253" s="534">
        <v>0</v>
      </c>
      <c r="T253" s="472"/>
      <c r="U253" s="494"/>
      <c r="V253" s="405"/>
    </row>
    <row r="254" spans="1:23" x14ac:dyDescent="0.3">
      <c r="A254" s="428"/>
      <c r="B254" s="531" t="s">
        <v>173</v>
      </c>
      <c r="C254" s="549"/>
      <c r="D254" s="549"/>
      <c r="E254" s="549"/>
      <c r="F254" s="532"/>
      <c r="G254" s="534"/>
      <c r="H254" s="549"/>
      <c r="I254" s="549"/>
      <c r="J254" s="549"/>
      <c r="K254" s="549"/>
      <c r="L254" s="549"/>
      <c r="M254" s="549"/>
      <c r="N254" s="549"/>
      <c r="O254" s="549"/>
      <c r="P254" s="531">
        <v>0</v>
      </c>
      <c r="Q254" s="534">
        <v>0</v>
      </c>
      <c r="R254" s="535">
        <v>0</v>
      </c>
      <c r="S254" s="534">
        <v>0</v>
      </c>
      <c r="T254" s="472"/>
      <c r="U254" s="494"/>
      <c r="V254" s="405"/>
      <c r="W254" s="452"/>
    </row>
    <row r="255" spans="1:23" x14ac:dyDescent="0.3">
      <c r="A255" s="428"/>
      <c r="B255" s="531" t="s">
        <v>174</v>
      </c>
      <c r="C255" s="549"/>
      <c r="D255" s="549"/>
      <c r="E255" s="549"/>
      <c r="F255" s="532"/>
      <c r="G255" s="534"/>
      <c r="H255" s="549"/>
      <c r="I255" s="549"/>
      <c r="J255" s="549"/>
      <c r="K255" s="549"/>
      <c r="L255" s="549"/>
      <c r="M255" s="549"/>
      <c r="N255" s="549"/>
      <c r="O255" s="549"/>
      <c r="P255" s="531">
        <v>0</v>
      </c>
      <c r="Q255" s="534">
        <v>0</v>
      </c>
      <c r="R255" s="535">
        <v>0</v>
      </c>
      <c r="S255" s="534">
        <v>0</v>
      </c>
      <c r="T255" s="472"/>
      <c r="U255" s="494"/>
      <c r="V255" s="405"/>
    </row>
    <row r="256" spans="1:23" x14ac:dyDescent="0.3">
      <c r="A256" s="428"/>
      <c r="B256" s="531" t="s">
        <v>175</v>
      </c>
      <c r="C256" s="549"/>
      <c r="D256" s="549"/>
      <c r="E256" s="549"/>
      <c r="F256" s="532"/>
      <c r="G256" s="534"/>
      <c r="H256" s="549"/>
      <c r="I256" s="549"/>
      <c r="J256" s="549"/>
      <c r="K256" s="549"/>
      <c r="L256" s="549"/>
      <c r="M256" s="549"/>
      <c r="N256" s="549"/>
      <c r="O256" s="549"/>
      <c r="P256" s="531">
        <v>0</v>
      </c>
      <c r="Q256" s="534">
        <v>0</v>
      </c>
      <c r="R256" s="535">
        <v>0</v>
      </c>
      <c r="S256" s="534">
        <v>0</v>
      </c>
      <c r="T256" s="472"/>
      <c r="U256" s="494"/>
      <c r="V256" s="405"/>
      <c r="W256" s="452"/>
    </row>
    <row r="257" spans="1:22" x14ac:dyDescent="0.3">
      <c r="A257" s="428"/>
      <c r="B257" s="531"/>
      <c r="C257" s="549"/>
      <c r="D257" s="549"/>
      <c r="E257" s="549"/>
      <c r="F257" s="532"/>
      <c r="G257" s="534"/>
      <c r="H257" s="549"/>
      <c r="I257" s="549"/>
      <c r="J257" s="549"/>
      <c r="K257" s="549"/>
      <c r="L257" s="549"/>
      <c r="M257" s="549"/>
      <c r="N257" s="549"/>
      <c r="O257" s="549"/>
      <c r="P257" s="531"/>
      <c r="Q257" s="534"/>
      <c r="R257" s="535"/>
      <c r="S257" s="534"/>
      <c r="T257" s="472"/>
      <c r="U257" s="494"/>
      <c r="V257" s="405"/>
    </row>
    <row r="258" spans="1:22" x14ac:dyDescent="0.3">
      <c r="A258" s="428"/>
      <c r="B258" s="532"/>
      <c r="C258" s="532"/>
      <c r="D258" s="532"/>
      <c r="E258" s="532"/>
      <c r="F258" s="532"/>
      <c r="G258" s="532"/>
      <c r="H258" s="533"/>
      <c r="I258" s="533"/>
      <c r="J258" s="533"/>
      <c r="K258" s="533"/>
      <c r="L258" s="533"/>
      <c r="M258" s="533"/>
      <c r="N258" s="533"/>
      <c r="O258" s="533"/>
      <c r="P258" s="531">
        <f>SUM(P249:P257)</f>
        <v>0</v>
      </c>
      <c r="Q258" s="534">
        <f>SUM(Q249:Q257)</f>
        <v>0</v>
      </c>
      <c r="R258" s="535">
        <f>SUM(R249:R257)</f>
        <v>0</v>
      </c>
      <c r="S258" s="534">
        <f>SUM(S249:S257)</f>
        <v>0</v>
      </c>
      <c r="T258" s="419"/>
      <c r="U258" s="420"/>
      <c r="V258" s="405"/>
    </row>
    <row r="259" spans="1:22" x14ac:dyDescent="0.3">
      <c r="A259" s="407"/>
      <c r="B259" s="444"/>
      <c r="C259" s="444"/>
      <c r="D259" s="444"/>
      <c r="E259" s="444"/>
      <c r="F259" s="444"/>
      <c r="G259" s="444"/>
      <c r="H259" s="495"/>
      <c r="I259" s="495"/>
      <c r="J259" s="495"/>
      <c r="K259" s="495"/>
      <c r="L259" s="495"/>
      <c r="M259" s="495"/>
      <c r="N259" s="495"/>
      <c r="O259" s="495"/>
      <c r="P259" s="445"/>
      <c r="Q259" s="496"/>
      <c r="R259" s="497"/>
      <c r="S259" s="496"/>
      <c r="T259" s="444"/>
      <c r="U259" s="444"/>
      <c r="V259" s="405"/>
    </row>
    <row r="260" spans="1:22" x14ac:dyDescent="0.3">
      <c r="A260" s="503"/>
      <c r="B260" s="612" t="s">
        <v>279</v>
      </c>
      <c r="C260" s="613"/>
      <c r="D260" s="613"/>
      <c r="E260" s="613"/>
      <c r="F260" s="620"/>
      <c r="G260" s="613"/>
      <c r="H260" s="613"/>
      <c r="I260" s="613"/>
      <c r="J260" s="613"/>
      <c r="K260" s="613"/>
      <c r="L260" s="613"/>
      <c r="M260" s="613"/>
      <c r="N260" s="613"/>
      <c r="O260" s="613"/>
      <c r="P260" s="620" t="s">
        <v>108</v>
      </c>
      <c r="Q260" s="613" t="s">
        <v>109</v>
      </c>
      <c r="R260" s="620" t="s">
        <v>117</v>
      </c>
      <c r="S260" s="613" t="s">
        <v>109</v>
      </c>
      <c r="T260" s="608"/>
      <c r="U260" s="611"/>
      <c r="V260" s="405"/>
    </row>
    <row r="261" spans="1:22" x14ac:dyDescent="0.3">
      <c r="A261" s="430"/>
      <c r="B261" s="572" t="s">
        <v>94</v>
      </c>
      <c r="C261" s="621"/>
      <c r="D261" s="621"/>
      <c r="E261" s="621"/>
      <c r="F261" s="539"/>
      <c r="G261" s="621"/>
      <c r="H261" s="621"/>
      <c r="I261" s="621"/>
      <c r="J261" s="621"/>
      <c r="K261" s="621"/>
      <c r="L261" s="621"/>
      <c r="M261" s="621"/>
      <c r="N261" s="621"/>
      <c r="O261" s="621"/>
      <c r="P261" s="572">
        <v>0</v>
      </c>
      <c r="Q261" s="627">
        <v>0</v>
      </c>
      <c r="R261" s="541">
        <v>0</v>
      </c>
      <c r="S261" s="627">
        <v>0</v>
      </c>
      <c r="T261" s="431"/>
      <c r="U261" s="444"/>
      <c r="V261" s="405"/>
    </row>
    <row r="262" spans="1:22" x14ac:dyDescent="0.3">
      <c r="A262" s="428"/>
      <c r="B262" s="531" t="s">
        <v>95</v>
      </c>
      <c r="C262" s="549"/>
      <c r="D262" s="549"/>
      <c r="E262" s="549"/>
      <c r="F262" s="532"/>
      <c r="G262" s="534"/>
      <c r="H262" s="549"/>
      <c r="I262" s="549"/>
      <c r="J262" s="549"/>
      <c r="K262" s="549"/>
      <c r="L262" s="549"/>
      <c r="M262" s="549"/>
      <c r="N262" s="549"/>
      <c r="O262" s="549"/>
      <c r="P262" s="531">
        <v>0</v>
      </c>
      <c r="Q262" s="534">
        <v>0</v>
      </c>
      <c r="R262" s="535">
        <v>0</v>
      </c>
      <c r="S262" s="534">
        <v>0</v>
      </c>
      <c r="T262" s="419"/>
      <c r="U262" s="451"/>
      <c r="V262" s="405"/>
    </row>
    <row r="263" spans="1:22" x14ac:dyDescent="0.3">
      <c r="A263" s="428"/>
      <c r="B263" s="531" t="s">
        <v>96</v>
      </c>
      <c r="C263" s="549"/>
      <c r="D263" s="549"/>
      <c r="E263" s="549"/>
      <c r="F263" s="532"/>
      <c r="G263" s="534"/>
      <c r="H263" s="549"/>
      <c r="I263" s="549"/>
      <c r="J263" s="549"/>
      <c r="K263" s="549"/>
      <c r="L263" s="549"/>
      <c r="M263" s="549"/>
      <c r="N263" s="549"/>
      <c r="O263" s="549"/>
      <c r="P263" s="531">
        <v>0</v>
      </c>
      <c r="Q263" s="534">
        <v>0</v>
      </c>
      <c r="R263" s="535">
        <v>0</v>
      </c>
      <c r="S263" s="534">
        <v>0</v>
      </c>
      <c r="T263" s="419"/>
      <c r="U263" s="451"/>
      <c r="V263" s="405"/>
    </row>
    <row r="264" spans="1:22" x14ac:dyDescent="0.3">
      <c r="A264" s="428"/>
      <c r="B264" s="531" t="s">
        <v>171</v>
      </c>
      <c r="C264" s="549"/>
      <c r="D264" s="549"/>
      <c r="E264" s="549"/>
      <c r="F264" s="532"/>
      <c r="G264" s="534"/>
      <c r="H264" s="549"/>
      <c r="I264" s="549"/>
      <c r="J264" s="549"/>
      <c r="K264" s="549"/>
      <c r="L264" s="549"/>
      <c r="M264" s="549"/>
      <c r="N264" s="549"/>
      <c r="O264" s="549"/>
      <c r="P264" s="531">
        <v>0</v>
      </c>
      <c r="Q264" s="534">
        <v>0</v>
      </c>
      <c r="R264" s="535">
        <v>0</v>
      </c>
      <c r="S264" s="534">
        <v>0</v>
      </c>
      <c r="T264" s="419"/>
      <c r="U264" s="451"/>
      <c r="V264" s="405"/>
    </row>
    <row r="265" spans="1:22" x14ac:dyDescent="0.3">
      <c r="A265" s="428"/>
      <c r="B265" s="531" t="s">
        <v>172</v>
      </c>
      <c r="C265" s="549"/>
      <c r="D265" s="549"/>
      <c r="E265" s="549"/>
      <c r="F265" s="532"/>
      <c r="G265" s="534"/>
      <c r="H265" s="549"/>
      <c r="I265" s="549"/>
      <c r="J265" s="549"/>
      <c r="K265" s="549"/>
      <c r="L265" s="549"/>
      <c r="M265" s="549"/>
      <c r="N265" s="549"/>
      <c r="O265" s="549"/>
      <c r="P265" s="531">
        <v>0</v>
      </c>
      <c r="Q265" s="534">
        <v>0</v>
      </c>
      <c r="R265" s="535">
        <v>0</v>
      </c>
      <c r="S265" s="534">
        <v>0</v>
      </c>
      <c r="T265" s="419"/>
      <c r="U265" s="451"/>
      <c r="V265" s="405"/>
    </row>
    <row r="266" spans="1:22" x14ac:dyDescent="0.3">
      <c r="A266" s="428"/>
      <c r="B266" s="531" t="s">
        <v>173</v>
      </c>
      <c r="C266" s="549"/>
      <c r="D266" s="549"/>
      <c r="E266" s="549"/>
      <c r="F266" s="532"/>
      <c r="G266" s="534"/>
      <c r="H266" s="549"/>
      <c r="I266" s="549"/>
      <c r="J266" s="549"/>
      <c r="K266" s="549"/>
      <c r="L266" s="549"/>
      <c r="M266" s="549"/>
      <c r="N266" s="549"/>
      <c r="O266" s="549"/>
      <c r="P266" s="531">
        <v>0</v>
      </c>
      <c r="Q266" s="534">
        <v>0</v>
      </c>
      <c r="R266" s="535">
        <v>0</v>
      </c>
      <c r="S266" s="534">
        <v>0</v>
      </c>
      <c r="T266" s="419"/>
      <c r="U266" s="451"/>
      <c r="V266" s="405"/>
    </row>
    <row r="267" spans="1:22" x14ac:dyDescent="0.3">
      <c r="A267" s="428"/>
      <c r="B267" s="531" t="s">
        <v>174</v>
      </c>
      <c r="C267" s="549"/>
      <c r="D267" s="549"/>
      <c r="E267" s="549"/>
      <c r="F267" s="532"/>
      <c r="G267" s="534"/>
      <c r="H267" s="549"/>
      <c r="I267" s="549"/>
      <c r="J267" s="549"/>
      <c r="K267" s="549"/>
      <c r="L267" s="549"/>
      <c r="M267" s="549"/>
      <c r="N267" s="549"/>
      <c r="O267" s="549"/>
      <c r="P267" s="531">
        <v>0</v>
      </c>
      <c r="Q267" s="534">
        <v>0</v>
      </c>
      <c r="R267" s="535">
        <v>0</v>
      </c>
      <c r="S267" s="534">
        <v>0</v>
      </c>
      <c r="T267" s="419"/>
      <c r="U267" s="451"/>
      <c r="V267" s="405"/>
    </row>
    <row r="268" spans="1:22" x14ac:dyDescent="0.3">
      <c r="A268" s="428"/>
      <c r="B268" s="531" t="s">
        <v>175</v>
      </c>
      <c r="C268" s="549"/>
      <c r="D268" s="549"/>
      <c r="E268" s="549"/>
      <c r="F268" s="532"/>
      <c r="G268" s="534"/>
      <c r="H268" s="549"/>
      <c r="I268" s="549"/>
      <c r="J268" s="549"/>
      <c r="K268" s="549"/>
      <c r="L268" s="549"/>
      <c r="M268" s="549"/>
      <c r="N268" s="549"/>
      <c r="O268" s="549"/>
      <c r="P268" s="531">
        <v>0</v>
      </c>
      <c r="Q268" s="534">
        <v>0</v>
      </c>
      <c r="R268" s="535">
        <v>0</v>
      </c>
      <c r="S268" s="534">
        <v>0</v>
      </c>
      <c r="T268" s="419"/>
      <c r="U268" s="451"/>
      <c r="V268" s="405"/>
    </row>
    <row r="269" spans="1:22" x14ac:dyDescent="0.3">
      <c r="A269" s="428"/>
      <c r="B269" s="531"/>
      <c r="C269" s="549"/>
      <c r="D269" s="549"/>
      <c r="E269" s="549"/>
      <c r="F269" s="532"/>
      <c r="G269" s="534"/>
      <c r="H269" s="549"/>
      <c r="I269" s="549"/>
      <c r="J269" s="549"/>
      <c r="K269" s="549"/>
      <c r="L269" s="549"/>
      <c r="M269" s="549"/>
      <c r="N269" s="549"/>
      <c r="O269" s="549"/>
      <c r="P269" s="531"/>
      <c r="Q269" s="534"/>
      <c r="R269" s="535"/>
      <c r="S269" s="534"/>
      <c r="T269" s="419"/>
      <c r="U269" s="451"/>
      <c r="V269" s="405"/>
    </row>
    <row r="270" spans="1:22" x14ac:dyDescent="0.3">
      <c r="A270" s="428"/>
      <c r="B270" s="532"/>
      <c r="C270" s="532"/>
      <c r="D270" s="532"/>
      <c r="E270" s="532"/>
      <c r="F270" s="532"/>
      <c r="G270" s="532"/>
      <c r="H270" s="533"/>
      <c r="I270" s="533"/>
      <c r="J270" s="533"/>
      <c r="K270" s="533"/>
      <c r="L270" s="533"/>
      <c r="M270" s="533"/>
      <c r="N270" s="533"/>
      <c r="O270" s="533"/>
      <c r="P270" s="531">
        <f>SUM(P261:P269)</f>
        <v>0</v>
      </c>
      <c r="Q270" s="534">
        <f>SUM(Q261:Q269)</f>
        <v>0</v>
      </c>
      <c r="R270" s="535">
        <f>SUM(R261:R269)</f>
        <v>0</v>
      </c>
      <c r="S270" s="534">
        <f>SUM(S261:S269)</f>
        <v>0</v>
      </c>
      <c r="T270" s="419"/>
      <c r="U270" s="451"/>
      <c r="V270" s="405"/>
    </row>
    <row r="271" spans="1:22" x14ac:dyDescent="0.3">
      <c r="A271" s="430"/>
      <c r="B271" s="431"/>
      <c r="C271" s="431"/>
      <c r="D271" s="431"/>
      <c r="E271" s="431"/>
      <c r="F271" s="431"/>
      <c r="G271" s="431"/>
      <c r="H271" s="498"/>
      <c r="I271" s="498"/>
      <c r="J271" s="498"/>
      <c r="K271" s="498"/>
      <c r="L271" s="498"/>
      <c r="M271" s="498"/>
      <c r="N271" s="498"/>
      <c r="O271" s="498"/>
      <c r="P271" s="455"/>
      <c r="Q271" s="499"/>
      <c r="R271" s="500"/>
      <c r="S271" s="499"/>
      <c r="T271" s="431"/>
      <c r="U271" s="444"/>
      <c r="V271" s="405"/>
    </row>
    <row r="272" spans="1:22" x14ac:dyDescent="0.3">
      <c r="A272" s="503"/>
      <c r="B272" s="612" t="s">
        <v>179</v>
      </c>
      <c r="C272" s="608"/>
      <c r="D272" s="608"/>
      <c r="E272" s="608"/>
      <c r="F272" s="608"/>
      <c r="G272" s="608"/>
      <c r="H272" s="628"/>
      <c r="I272" s="628"/>
      <c r="J272" s="628"/>
      <c r="K272" s="628"/>
      <c r="L272" s="628"/>
      <c r="M272" s="628"/>
      <c r="N272" s="628"/>
      <c r="O272" s="628"/>
      <c r="P272" s="620" t="s">
        <v>108</v>
      </c>
      <c r="Q272" s="613" t="s">
        <v>109</v>
      </c>
      <c r="R272" s="620" t="s">
        <v>117</v>
      </c>
      <c r="S272" s="613" t="s">
        <v>109</v>
      </c>
      <c r="T272" s="608"/>
      <c r="U272" s="611"/>
      <c r="V272" s="405"/>
    </row>
    <row r="273" spans="1:22" x14ac:dyDescent="0.3">
      <c r="A273" s="430"/>
      <c r="B273" s="572" t="s">
        <v>94</v>
      </c>
      <c r="C273" s="539"/>
      <c r="D273" s="539"/>
      <c r="E273" s="539"/>
      <c r="F273" s="539"/>
      <c r="G273" s="539"/>
      <c r="H273" s="540"/>
      <c r="I273" s="540"/>
      <c r="J273" s="540"/>
      <c r="K273" s="540"/>
      <c r="L273" s="540"/>
      <c r="M273" s="540"/>
      <c r="N273" s="540"/>
      <c r="O273" s="540"/>
      <c r="P273" s="572">
        <v>0</v>
      </c>
      <c r="Q273" s="627">
        <v>0</v>
      </c>
      <c r="R273" s="541">
        <v>0</v>
      </c>
      <c r="S273" s="627">
        <v>0</v>
      </c>
      <c r="T273" s="431"/>
      <c r="U273" s="444"/>
      <c r="V273" s="405"/>
    </row>
    <row r="274" spans="1:22" x14ac:dyDescent="0.3">
      <c r="A274" s="428"/>
      <c r="B274" s="531" t="s">
        <v>95</v>
      </c>
      <c r="C274" s="532"/>
      <c r="D274" s="532"/>
      <c r="E274" s="532"/>
      <c r="F274" s="532"/>
      <c r="G274" s="532"/>
      <c r="H274" s="533"/>
      <c r="I274" s="533"/>
      <c r="J274" s="533"/>
      <c r="K274" s="533"/>
      <c r="L274" s="533"/>
      <c r="M274" s="533"/>
      <c r="N274" s="533"/>
      <c r="O274" s="533"/>
      <c r="P274" s="531">
        <v>0</v>
      </c>
      <c r="Q274" s="534">
        <v>0</v>
      </c>
      <c r="R274" s="535">
        <v>0</v>
      </c>
      <c r="S274" s="534">
        <v>0</v>
      </c>
      <c r="T274" s="419"/>
      <c r="U274" s="451"/>
      <c r="V274" s="405"/>
    </row>
    <row r="275" spans="1:22" x14ac:dyDescent="0.3">
      <c r="A275" s="428"/>
      <c r="B275" s="531" t="s">
        <v>96</v>
      </c>
      <c r="C275" s="532"/>
      <c r="D275" s="532"/>
      <c r="E275" s="532"/>
      <c r="F275" s="532"/>
      <c r="G275" s="532"/>
      <c r="H275" s="533"/>
      <c r="I275" s="533"/>
      <c r="J275" s="533"/>
      <c r="K275" s="533"/>
      <c r="L275" s="533"/>
      <c r="M275" s="533"/>
      <c r="N275" s="533"/>
      <c r="O275" s="533"/>
      <c r="P275" s="531">
        <v>0</v>
      </c>
      <c r="Q275" s="534">
        <v>0</v>
      </c>
      <c r="R275" s="535">
        <v>0</v>
      </c>
      <c r="S275" s="534">
        <v>0</v>
      </c>
      <c r="T275" s="419"/>
      <c r="U275" s="451"/>
      <c r="V275" s="405"/>
    </row>
    <row r="276" spans="1:22" x14ac:dyDescent="0.3">
      <c r="A276" s="428"/>
      <c r="B276" s="531" t="s">
        <v>171</v>
      </c>
      <c r="C276" s="532"/>
      <c r="D276" s="532"/>
      <c r="E276" s="532"/>
      <c r="F276" s="532"/>
      <c r="G276" s="532"/>
      <c r="H276" s="533"/>
      <c r="I276" s="533"/>
      <c r="J276" s="533"/>
      <c r="K276" s="533"/>
      <c r="L276" s="533"/>
      <c r="M276" s="533"/>
      <c r="N276" s="533"/>
      <c r="O276" s="533"/>
      <c r="P276" s="531">
        <v>0</v>
      </c>
      <c r="Q276" s="534">
        <v>0</v>
      </c>
      <c r="R276" s="535">
        <v>0</v>
      </c>
      <c r="S276" s="534">
        <v>0</v>
      </c>
      <c r="T276" s="419"/>
      <c r="U276" s="451"/>
      <c r="V276" s="405"/>
    </row>
    <row r="277" spans="1:22" x14ac:dyDescent="0.3">
      <c r="A277" s="428"/>
      <c r="B277" s="531" t="s">
        <v>172</v>
      </c>
      <c r="C277" s="532"/>
      <c r="D277" s="532"/>
      <c r="E277" s="532"/>
      <c r="F277" s="532"/>
      <c r="G277" s="532"/>
      <c r="H277" s="533"/>
      <c r="I277" s="533"/>
      <c r="J277" s="533"/>
      <c r="K277" s="533"/>
      <c r="L277" s="533"/>
      <c r="M277" s="533"/>
      <c r="N277" s="533"/>
      <c r="O277" s="533"/>
      <c r="P277" s="531">
        <v>0</v>
      </c>
      <c r="Q277" s="534">
        <v>0</v>
      </c>
      <c r="R277" s="535">
        <v>0</v>
      </c>
      <c r="S277" s="534">
        <v>0</v>
      </c>
      <c r="T277" s="419"/>
      <c r="U277" s="451"/>
      <c r="V277" s="405"/>
    </row>
    <row r="278" spans="1:22" x14ac:dyDescent="0.3">
      <c r="A278" s="428"/>
      <c r="B278" s="531" t="s">
        <v>173</v>
      </c>
      <c r="C278" s="532"/>
      <c r="D278" s="532"/>
      <c r="E278" s="532"/>
      <c r="F278" s="532"/>
      <c r="G278" s="532"/>
      <c r="H278" s="533"/>
      <c r="I278" s="533"/>
      <c r="J278" s="533"/>
      <c r="K278" s="533"/>
      <c r="L278" s="533"/>
      <c r="M278" s="533"/>
      <c r="N278" s="533"/>
      <c r="O278" s="533"/>
      <c r="P278" s="531">
        <v>0</v>
      </c>
      <c r="Q278" s="534">
        <v>0</v>
      </c>
      <c r="R278" s="535">
        <v>0</v>
      </c>
      <c r="S278" s="534">
        <v>0</v>
      </c>
      <c r="T278" s="419"/>
      <c r="U278" s="451"/>
      <c r="V278" s="405"/>
    </row>
    <row r="279" spans="1:22" x14ac:dyDescent="0.3">
      <c r="A279" s="428"/>
      <c r="B279" s="531" t="s">
        <v>174</v>
      </c>
      <c r="C279" s="532"/>
      <c r="D279" s="532"/>
      <c r="E279" s="532"/>
      <c r="F279" s="532"/>
      <c r="G279" s="532"/>
      <c r="H279" s="533"/>
      <c r="I279" s="533"/>
      <c r="J279" s="533"/>
      <c r="K279" s="533"/>
      <c r="L279" s="533"/>
      <c r="M279" s="533"/>
      <c r="N279" s="533"/>
      <c r="O279" s="533"/>
      <c r="P279" s="531">
        <v>0</v>
      </c>
      <c r="Q279" s="534">
        <v>0</v>
      </c>
      <c r="R279" s="535">
        <v>0</v>
      </c>
      <c r="S279" s="534">
        <v>0</v>
      </c>
      <c r="T279" s="419"/>
      <c r="U279" s="451"/>
      <c r="V279" s="405"/>
    </row>
    <row r="280" spans="1:22" x14ac:dyDescent="0.3">
      <c r="A280" s="428"/>
      <c r="B280" s="531" t="s">
        <v>175</v>
      </c>
      <c r="C280" s="532"/>
      <c r="D280" s="532"/>
      <c r="E280" s="532"/>
      <c r="F280" s="532"/>
      <c r="G280" s="532"/>
      <c r="H280" s="533"/>
      <c r="I280" s="533"/>
      <c r="J280" s="533"/>
      <c r="K280" s="533"/>
      <c r="L280" s="533"/>
      <c r="M280" s="533"/>
      <c r="N280" s="533"/>
      <c r="O280" s="533"/>
      <c r="P280" s="531">
        <v>0</v>
      </c>
      <c r="Q280" s="534">
        <v>0</v>
      </c>
      <c r="R280" s="535">
        <v>0</v>
      </c>
      <c r="S280" s="534">
        <v>0</v>
      </c>
      <c r="T280" s="419"/>
      <c r="U280" s="451"/>
      <c r="V280" s="405"/>
    </row>
    <row r="281" spans="1:22" x14ac:dyDescent="0.3">
      <c r="A281" s="428"/>
      <c r="B281" s="531"/>
      <c r="C281" s="532"/>
      <c r="D281" s="532"/>
      <c r="E281" s="532"/>
      <c r="F281" s="532"/>
      <c r="G281" s="532"/>
      <c r="H281" s="533"/>
      <c r="I281" s="533"/>
      <c r="J281" s="533"/>
      <c r="K281" s="533"/>
      <c r="L281" s="533"/>
      <c r="M281" s="533"/>
      <c r="N281" s="533"/>
      <c r="O281" s="533"/>
      <c r="P281" s="531"/>
      <c r="Q281" s="534"/>
      <c r="R281" s="535"/>
      <c r="S281" s="534"/>
      <c r="T281" s="419"/>
      <c r="U281" s="451"/>
      <c r="V281" s="405"/>
    </row>
    <row r="282" spans="1:22" x14ac:dyDescent="0.3">
      <c r="A282" s="428"/>
      <c r="B282" s="532" t="s">
        <v>123</v>
      </c>
      <c r="C282" s="532"/>
      <c r="D282" s="532"/>
      <c r="E282" s="532"/>
      <c r="F282" s="532"/>
      <c r="G282" s="532"/>
      <c r="H282" s="533"/>
      <c r="I282" s="533"/>
      <c r="J282" s="533"/>
      <c r="K282" s="533"/>
      <c r="L282" s="533"/>
      <c r="M282" s="533"/>
      <c r="N282" s="533"/>
      <c r="O282" s="533"/>
      <c r="P282" s="531">
        <f>SUM(P273:P280)</f>
        <v>0</v>
      </c>
      <c r="Q282" s="534">
        <f>SUM(Q273:Q280)</f>
        <v>0</v>
      </c>
      <c r="R282" s="535">
        <f>SUM(R273:R280)</f>
        <v>0</v>
      </c>
      <c r="S282" s="534">
        <f>SUM(S273:S280)</f>
        <v>0</v>
      </c>
      <c r="T282" s="419"/>
      <c r="U282" s="451"/>
      <c r="V282" s="405"/>
    </row>
    <row r="283" spans="1:22" x14ac:dyDescent="0.3">
      <c r="A283" s="428"/>
      <c r="B283" s="532"/>
      <c r="C283" s="532"/>
      <c r="D283" s="532"/>
      <c r="E283" s="532"/>
      <c r="F283" s="532"/>
      <c r="G283" s="532"/>
      <c r="H283" s="533"/>
      <c r="I283" s="533"/>
      <c r="J283" s="533"/>
      <c r="K283" s="533"/>
      <c r="L283" s="533"/>
      <c r="M283" s="533"/>
      <c r="N283" s="533"/>
      <c r="O283" s="533"/>
      <c r="P283" s="531"/>
      <c r="Q283" s="534"/>
      <c r="R283" s="535"/>
      <c r="S283" s="534"/>
      <c r="T283" s="419"/>
      <c r="U283" s="451"/>
      <c r="V283" s="405"/>
    </row>
    <row r="284" spans="1:22" x14ac:dyDescent="0.3">
      <c r="A284" s="428"/>
      <c r="B284" s="536" t="s">
        <v>180</v>
      </c>
      <c r="C284" s="532"/>
      <c r="D284" s="532"/>
      <c r="E284" s="532"/>
      <c r="F284" s="532"/>
      <c r="G284" s="532"/>
      <c r="H284" s="533"/>
      <c r="I284" s="533"/>
      <c r="J284" s="533"/>
      <c r="K284" s="533"/>
      <c r="L284" s="533"/>
      <c r="M284" s="533"/>
      <c r="N284" s="533"/>
      <c r="O284" s="533"/>
      <c r="P284" s="537">
        <f>+P258+P270+P282</f>
        <v>0</v>
      </c>
      <c r="Q284" s="534"/>
      <c r="R284" s="538">
        <f>+R282+R270+R258</f>
        <v>0</v>
      </c>
      <c r="S284" s="534"/>
      <c r="T284" s="419"/>
      <c r="U284" s="451"/>
      <c r="V284" s="405"/>
    </row>
    <row r="285" spans="1:22" x14ac:dyDescent="0.3">
      <c r="A285" s="430"/>
      <c r="B285" s="539"/>
      <c r="C285" s="539"/>
      <c r="D285" s="539"/>
      <c r="E285" s="539"/>
      <c r="F285" s="539"/>
      <c r="G285" s="539"/>
      <c r="H285" s="540"/>
      <c r="I285" s="540"/>
      <c r="J285" s="540"/>
      <c r="K285" s="540"/>
      <c r="L285" s="540"/>
      <c r="M285" s="540"/>
      <c r="N285" s="540"/>
      <c r="O285" s="540"/>
      <c r="P285" s="540"/>
      <c r="Q285" s="540"/>
      <c r="R285" s="541"/>
      <c r="S285" s="540"/>
      <c r="T285" s="431"/>
      <c r="U285" s="444"/>
      <c r="V285" s="405"/>
    </row>
    <row r="286" spans="1:22" x14ac:dyDescent="0.3">
      <c r="A286" s="430"/>
      <c r="B286" s="542"/>
      <c r="C286" s="542"/>
      <c r="D286" s="542"/>
      <c r="E286" s="542"/>
      <c r="F286" s="542"/>
      <c r="G286" s="542"/>
      <c r="H286" s="543"/>
      <c r="I286" s="543"/>
      <c r="J286" s="543"/>
      <c r="K286" s="543"/>
      <c r="L286" s="543"/>
      <c r="M286" s="543"/>
      <c r="N286" s="543"/>
      <c r="O286" s="543"/>
      <c r="P286" s="543"/>
      <c r="Q286" s="543"/>
      <c r="R286" s="544"/>
      <c r="S286" s="543"/>
      <c r="T286" s="434"/>
      <c r="U286" s="409"/>
      <c r="V286" s="405"/>
    </row>
    <row r="287" spans="1:22" x14ac:dyDescent="0.3">
      <c r="A287" s="430"/>
      <c r="B287" s="545" t="s">
        <v>97</v>
      </c>
      <c r="C287" s="542"/>
      <c r="D287" s="542"/>
      <c r="E287" s="542"/>
      <c r="F287" s="546" t="s">
        <v>103</v>
      </c>
      <c r="G287" s="542"/>
      <c r="H287" s="545" t="s">
        <v>105</v>
      </c>
      <c r="I287" s="542"/>
      <c r="J287" s="542"/>
      <c r="K287" s="542"/>
      <c r="L287" s="542"/>
      <c r="M287" s="542"/>
      <c r="N287" s="542"/>
      <c r="O287" s="542"/>
      <c r="P287" s="542"/>
      <c r="Q287" s="542"/>
      <c r="R287" s="542"/>
      <c r="S287" s="542"/>
      <c r="T287" s="434"/>
      <c r="U287" s="409"/>
      <c r="V287" s="405"/>
    </row>
    <row r="288" spans="1:22" x14ac:dyDescent="0.3">
      <c r="A288" s="430"/>
      <c r="B288" s="542"/>
      <c r="C288" s="542"/>
      <c r="D288" s="542"/>
      <c r="E288" s="542"/>
      <c r="F288" s="542"/>
      <c r="G288" s="542"/>
      <c r="H288" s="542"/>
      <c r="I288" s="542"/>
      <c r="J288" s="542"/>
      <c r="K288" s="542"/>
      <c r="L288" s="542"/>
      <c r="M288" s="542"/>
      <c r="N288" s="542"/>
      <c r="O288" s="542"/>
      <c r="P288" s="542"/>
      <c r="Q288" s="542"/>
      <c r="R288" s="542"/>
      <c r="S288" s="542"/>
      <c r="T288" s="434"/>
      <c r="U288" s="409"/>
      <c r="V288" s="405"/>
    </row>
    <row r="289" spans="1:22" x14ac:dyDescent="0.3">
      <c r="A289" s="430"/>
      <c r="B289" s="545" t="s">
        <v>323</v>
      </c>
      <c r="C289" s="545"/>
      <c r="D289" s="545"/>
      <c r="E289" s="545"/>
      <c r="F289" s="547" t="s">
        <v>274</v>
      </c>
      <c r="G289" s="545"/>
      <c r="H289" s="501" t="s">
        <v>348</v>
      </c>
      <c r="I289" s="542"/>
      <c r="J289" s="542"/>
      <c r="K289" s="542"/>
      <c r="L289" s="542"/>
      <c r="M289" s="542"/>
      <c r="N289" s="542"/>
      <c r="O289" s="542"/>
      <c r="P289" s="542"/>
      <c r="Q289" s="542"/>
      <c r="R289" s="542"/>
      <c r="S289" s="542"/>
      <c r="T289" s="434"/>
      <c r="U289" s="409"/>
      <c r="V289" s="405"/>
    </row>
    <row r="290" spans="1:22" x14ac:dyDescent="0.3">
      <c r="A290" s="430"/>
      <c r="B290" s="545" t="s">
        <v>324</v>
      </c>
      <c r="C290" s="545"/>
      <c r="D290" s="545"/>
      <c r="E290" s="545"/>
      <c r="F290" s="547" t="s">
        <v>158</v>
      </c>
      <c r="G290" s="545"/>
      <c r="H290" s="501" t="s">
        <v>349</v>
      </c>
      <c r="I290" s="542"/>
      <c r="J290" s="542"/>
      <c r="K290" s="542"/>
      <c r="L290" s="542"/>
      <c r="M290" s="542"/>
      <c r="N290" s="542"/>
      <c r="O290" s="542"/>
      <c r="P290" s="542"/>
      <c r="Q290" s="542"/>
      <c r="R290" s="542"/>
      <c r="S290" s="542"/>
      <c r="T290" s="434"/>
      <c r="U290" s="409"/>
      <c r="V290" s="405"/>
    </row>
    <row r="291" spans="1:22" x14ac:dyDescent="0.3">
      <c r="A291" s="430"/>
      <c r="B291" s="545"/>
      <c r="C291" s="545"/>
      <c r="D291" s="545"/>
      <c r="E291" s="545"/>
      <c r="F291" s="545"/>
      <c r="G291" s="545"/>
      <c r="H291" s="542"/>
      <c r="I291" s="542"/>
      <c r="J291" s="542"/>
      <c r="K291" s="542"/>
      <c r="L291" s="542"/>
      <c r="M291" s="542"/>
      <c r="N291" s="542"/>
      <c r="O291" s="542"/>
      <c r="P291" s="542"/>
      <c r="Q291" s="542"/>
      <c r="R291" s="542"/>
      <c r="S291" s="542"/>
      <c r="T291" s="434"/>
      <c r="U291" s="409"/>
      <c r="V291" s="405"/>
    </row>
    <row r="292" spans="1:22" x14ac:dyDescent="0.3">
      <c r="A292" s="407"/>
      <c r="B292" s="545"/>
      <c r="C292" s="545"/>
      <c r="D292" s="545"/>
      <c r="E292" s="545"/>
      <c r="F292" s="545"/>
      <c r="G292" s="545"/>
      <c r="H292" s="542"/>
      <c r="I292" s="542"/>
      <c r="J292" s="542"/>
      <c r="K292" s="542"/>
      <c r="L292" s="542"/>
      <c r="M292" s="542"/>
      <c r="N292" s="542"/>
      <c r="O292" s="542"/>
      <c r="P292" s="542"/>
      <c r="Q292" s="542"/>
      <c r="R292" s="542"/>
      <c r="S292" s="542"/>
      <c r="T292" s="409"/>
      <c r="U292" s="409"/>
      <c r="V292" s="405"/>
    </row>
    <row r="293" spans="1:22" ht="18.600000000000001" thickBot="1" x14ac:dyDescent="0.4">
      <c r="A293" s="407"/>
      <c r="B293" s="548" t="str">
        <f>B199</f>
        <v>PM9 INVESTOR REPORT QUARTER ENDING JANUARY 2020</v>
      </c>
      <c r="C293" s="545"/>
      <c r="D293" s="545"/>
      <c r="E293" s="545"/>
      <c r="F293" s="545"/>
      <c r="G293" s="545"/>
      <c r="H293" s="542"/>
      <c r="I293" s="542"/>
      <c r="J293" s="542"/>
      <c r="K293" s="542"/>
      <c r="L293" s="542"/>
      <c r="M293" s="542"/>
      <c r="N293" s="542"/>
      <c r="O293" s="542"/>
      <c r="P293" s="542"/>
      <c r="Q293" s="542"/>
      <c r="R293" s="542"/>
      <c r="S293" s="542"/>
      <c r="T293" s="409"/>
      <c r="U293" s="409"/>
      <c r="V293" s="405"/>
    </row>
    <row r="294" spans="1:22" x14ac:dyDescent="0.3">
      <c r="A294" s="502"/>
      <c r="B294" s="502"/>
      <c r="C294" s="502"/>
      <c r="D294" s="502"/>
      <c r="E294" s="502"/>
      <c r="F294" s="502"/>
      <c r="G294" s="502"/>
      <c r="H294" s="502"/>
      <c r="I294" s="502"/>
      <c r="J294" s="502"/>
      <c r="K294" s="502"/>
      <c r="L294" s="502"/>
      <c r="M294" s="502"/>
      <c r="N294" s="502"/>
      <c r="O294" s="502"/>
      <c r="P294" s="502"/>
      <c r="Q294" s="502"/>
      <c r="R294" s="502"/>
      <c r="S294" s="502"/>
      <c r="T294" s="502"/>
      <c r="U294" s="502"/>
    </row>
  </sheetData>
  <hyperlinks>
    <hyperlink ref="J9" r:id="rId1" xr:uid="{00557F40-749D-45F5-A774-DC34280A75E0}"/>
    <hyperlink ref="N234" r:id="rId2" xr:uid="{B415F941-73F4-4E22-8FFA-5C65B8F8A553}"/>
  </hyperlinks>
  <printOptions horizontalCentered="1" verticalCentered="1"/>
  <pageMargins left="0.19685039370078741" right="0.19685039370078741" top="0.27559055118110237" bottom="0.27559055118110237" header="0" footer="0"/>
  <pageSetup scale="40" orientation="landscape" r:id="rId3"/>
  <headerFooter alignWithMargins="0"/>
  <rowBreaks count="3" manualBreakCount="3">
    <brk id="61" max="20" man="1"/>
    <brk id="138" max="20" man="1"/>
    <brk id="199" max="20"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D2926"/>
  </sheetPr>
  <dimension ref="A1:W276"/>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t="s">
        <v>263</v>
      </c>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0.58350000000000002</v>
      </c>
      <c r="R16" s="17" t="s">
        <v>149</v>
      </c>
      <c r="S16" s="140">
        <v>0.41649999999999998</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39136</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297317.45400000003</v>
      </c>
      <c r="E30" s="32"/>
      <c r="F30" s="125">
        <f>F29*F36</f>
        <v>305051.14500000002</v>
      </c>
      <c r="G30" s="31"/>
      <c r="H30" s="150">
        <f>H29*H36</f>
        <v>51557.94</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286072.10800000001</v>
      </c>
      <c r="E31" s="36"/>
      <c r="F31" s="126">
        <f>F35*F29</f>
        <v>293513.29000000004</v>
      </c>
      <c r="G31" s="35"/>
      <c r="H31" s="155">
        <f>H35*H29</f>
        <v>49607.880000000005</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297317.45400000003</v>
      </c>
      <c r="E33" s="32"/>
      <c r="F33" s="31">
        <f>F32*F36</f>
        <v>210098.60550000001</v>
      </c>
      <c r="G33" s="31"/>
      <c r="H33" s="31">
        <f>H32*H36</f>
        <v>29130.236100000002</v>
      </c>
      <c r="I33" s="31"/>
      <c r="J33" s="31">
        <f>J32*J36</f>
        <v>7000</v>
      </c>
      <c r="K33" s="31"/>
      <c r="L33" s="31">
        <f>L32*L36</f>
        <v>20300</v>
      </c>
      <c r="M33" s="31"/>
      <c r="N33" s="31">
        <f>N32*N36</f>
        <v>3000</v>
      </c>
      <c r="O33" s="31"/>
      <c r="P33" s="31">
        <f>P32*P36</f>
        <v>45300</v>
      </c>
      <c r="Q33" s="31"/>
      <c r="R33" s="31"/>
      <c r="S33" s="161"/>
      <c r="T33" s="31">
        <f>SUM(C33:P33)</f>
        <v>612146.29560000007</v>
      </c>
      <c r="U33" s="34"/>
      <c r="V33" s="5"/>
    </row>
    <row r="34" spans="1:22" ht="15.6" x14ac:dyDescent="0.3">
      <c r="A34" s="28"/>
      <c r="B34" s="29" t="s">
        <v>291</v>
      </c>
      <c r="C34" s="36"/>
      <c r="D34" s="35">
        <f>D35*D32</f>
        <v>286072.10800000001</v>
      </c>
      <c r="E34" s="36"/>
      <c r="F34" s="35">
        <f>F35*F32</f>
        <v>202152.111</v>
      </c>
      <c r="G34" s="35"/>
      <c r="H34" s="35">
        <f>H35*H32</f>
        <v>28028.4522</v>
      </c>
      <c r="I34" s="35"/>
      <c r="J34" s="35">
        <f>J35*J32</f>
        <v>7000</v>
      </c>
      <c r="K34" s="35"/>
      <c r="L34" s="35">
        <f>L35*L32</f>
        <v>20300</v>
      </c>
      <c r="M34" s="35"/>
      <c r="N34" s="35">
        <f>N35*N32</f>
        <v>3000</v>
      </c>
      <c r="O34" s="35"/>
      <c r="P34" s="35">
        <f>P35*P32</f>
        <v>45300</v>
      </c>
      <c r="Q34" s="35"/>
      <c r="R34" s="35"/>
      <c r="S34" s="37"/>
      <c r="T34" s="35">
        <f>SUM(C34:P34)</f>
        <v>591852.67119999998</v>
      </c>
      <c r="U34" s="34"/>
      <c r="V34" s="5"/>
    </row>
    <row r="35" spans="1:22" ht="15.6" x14ac:dyDescent="0.3">
      <c r="A35" s="28"/>
      <c r="B35" s="123" t="s">
        <v>139</v>
      </c>
      <c r="C35" s="127"/>
      <c r="D35" s="138">
        <v>0.82679800000000003</v>
      </c>
      <c r="E35" s="139"/>
      <c r="F35" s="138">
        <v>0.82679800000000003</v>
      </c>
      <c r="G35" s="138"/>
      <c r="H35" s="138">
        <v>0.82679800000000003</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38">
        <v>0.85929900000000004</v>
      </c>
      <c r="E36" s="139"/>
      <c r="F36" s="138">
        <v>0.85929900000000004</v>
      </c>
      <c r="G36" s="138"/>
      <c r="H36" s="138">
        <v>0.85929900000000004</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5.4074999999999998E-2</v>
      </c>
      <c r="E38" s="25"/>
      <c r="F38" s="38">
        <v>3.7670000000000002E-2</v>
      </c>
      <c r="G38" s="39"/>
      <c r="H38" s="38">
        <v>5.5537499999999997E-2</v>
      </c>
      <c r="I38" s="39"/>
      <c r="J38" s="38">
        <v>5.5175000000000002E-2</v>
      </c>
      <c r="K38" s="39"/>
      <c r="L38" s="38">
        <v>3.8769999999999999E-2</v>
      </c>
      <c r="M38" s="39"/>
      <c r="N38" s="38">
        <v>5.7474999999999998E-2</v>
      </c>
      <c r="O38" s="39"/>
      <c r="P38" s="38">
        <v>4.1070000000000002E-2</v>
      </c>
      <c r="Q38" s="39"/>
      <c r="R38" s="38"/>
      <c r="S38" s="160"/>
      <c r="T38" s="39"/>
      <c r="U38" s="25"/>
      <c r="V38" s="5"/>
    </row>
    <row r="39" spans="1:22" ht="15.6" x14ac:dyDescent="0.3">
      <c r="A39" s="24"/>
      <c r="B39" s="25" t="s">
        <v>14</v>
      </c>
      <c r="C39" s="25"/>
      <c r="D39" s="38">
        <v>5.1499999999999997E-2</v>
      </c>
      <c r="E39" s="25"/>
      <c r="F39" s="38">
        <v>3.397E-2</v>
      </c>
      <c r="G39" s="39"/>
      <c r="H39" s="38">
        <v>5.5849999999999997E-2</v>
      </c>
      <c r="I39" s="39"/>
      <c r="J39" s="38">
        <v>5.2600000000000001E-2</v>
      </c>
      <c r="K39" s="39"/>
      <c r="L39" s="38">
        <v>3.5069999999999997E-2</v>
      </c>
      <c r="M39" s="39"/>
      <c r="N39" s="38">
        <v>5.4899999999999997E-2</v>
      </c>
      <c r="O39" s="39"/>
      <c r="P39" s="38">
        <v>3.737E-2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5.4074999999999998E-2</v>
      </c>
      <c r="E41" s="25"/>
      <c r="F41" s="38">
        <v>5.4175000000000001E-2</v>
      </c>
      <c r="G41" s="39"/>
      <c r="H41" s="38">
        <v>5.4304999999999999E-2</v>
      </c>
      <c r="I41" s="39"/>
      <c r="J41" s="38">
        <f>+J38</f>
        <v>5.5175000000000002E-2</v>
      </c>
      <c r="K41" s="39"/>
      <c r="L41" s="38">
        <v>5.5469999999999998E-2</v>
      </c>
      <c r="M41" s="39"/>
      <c r="N41" s="38">
        <f>+N38</f>
        <v>5.7474999999999998E-2</v>
      </c>
      <c r="O41" s="39"/>
      <c r="P41" s="38">
        <v>5.7915000000000001E-2</v>
      </c>
      <c r="Q41" s="39"/>
      <c r="R41" s="38"/>
      <c r="S41" s="160"/>
      <c r="T41" s="39">
        <f>SUMPRODUCT(D41:P41,D33:P33)/T33</f>
        <v>5.4479936396143722E-2</v>
      </c>
      <c r="U41" s="25"/>
      <c r="V41" s="5"/>
    </row>
    <row r="42" spans="1:22" ht="15.6" x14ac:dyDescent="0.3">
      <c r="A42" s="24"/>
      <c r="B42" s="25" t="s">
        <v>294</v>
      </c>
      <c r="C42" s="25"/>
      <c r="D42" s="38">
        <f>+D39</f>
        <v>5.1499999999999997E-2</v>
      </c>
      <c r="E42" s="25"/>
      <c r="F42" s="38">
        <v>5.16E-2</v>
      </c>
      <c r="G42" s="39"/>
      <c r="H42" s="38">
        <v>5.1729999999999998E-2</v>
      </c>
      <c r="I42" s="39"/>
      <c r="J42" s="38">
        <f>+J39</f>
        <v>5.2600000000000001E-2</v>
      </c>
      <c r="K42" s="39"/>
      <c r="L42" s="38">
        <v>5.2894999999999998E-2</v>
      </c>
      <c r="M42" s="39"/>
      <c r="N42" s="38">
        <f>+N39</f>
        <v>5.4899999999999997E-2</v>
      </c>
      <c r="O42" s="39"/>
      <c r="P42" s="38">
        <v>5.534E-2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0.14643992025120584</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39128</v>
      </c>
      <c r="U53" s="25"/>
      <c r="V53" s="5"/>
    </row>
    <row r="54" spans="1:23" ht="15.6" x14ac:dyDescent="0.3">
      <c r="A54" s="24"/>
      <c r="B54" s="25" t="s">
        <v>130</v>
      </c>
      <c r="C54" s="25"/>
      <c r="D54" s="25"/>
      <c r="E54" s="25"/>
      <c r="F54" s="25"/>
      <c r="G54" s="25"/>
      <c r="H54" s="58"/>
      <c r="I54" s="58"/>
      <c r="J54" s="58"/>
      <c r="K54" s="58"/>
      <c r="L54" s="58"/>
      <c r="M54" s="58"/>
      <c r="N54" s="58"/>
      <c r="O54" s="58"/>
      <c r="P54" s="25">
        <f>+T54-R54+1</f>
        <v>92</v>
      </c>
      <c r="Q54" s="25"/>
      <c r="R54" s="45">
        <v>38944</v>
      </c>
      <c r="S54" s="46"/>
      <c r="T54" s="45">
        <v>39035</v>
      </c>
      <c r="U54" s="25"/>
      <c r="V54" s="5"/>
    </row>
    <row r="55" spans="1:23" ht="15.6" x14ac:dyDescent="0.3">
      <c r="A55" s="24"/>
      <c r="B55" s="25" t="s">
        <v>131</v>
      </c>
      <c r="C55" s="25"/>
      <c r="D55" s="25"/>
      <c r="E55" s="25"/>
      <c r="F55" s="25"/>
      <c r="G55" s="25"/>
      <c r="H55" s="25"/>
      <c r="I55" s="25"/>
      <c r="J55" s="25"/>
      <c r="K55" s="25"/>
      <c r="L55" s="25"/>
      <c r="M55" s="25"/>
      <c r="N55" s="25"/>
      <c r="O55" s="25"/>
      <c r="P55" s="25">
        <f>+T55-R55+1</f>
        <v>92</v>
      </c>
      <c r="Q55" s="25"/>
      <c r="R55" s="45">
        <v>39036</v>
      </c>
      <c r="S55" s="46"/>
      <c r="T55" s="45">
        <v>39127</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39114</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269</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612146</v>
      </c>
      <c r="M66" s="34"/>
      <c r="N66" s="34">
        <f>20294+2445+765-1</f>
        <v>23503</v>
      </c>
      <c r="O66" s="34"/>
      <c r="P66" s="34">
        <f>2445+765</f>
        <v>3210</v>
      </c>
      <c r="Q66" s="34"/>
      <c r="R66" s="34">
        <v>0</v>
      </c>
      <c r="S66" s="34"/>
      <c r="T66" s="53">
        <f>+L66-N66+P66-R66</f>
        <v>591853</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612146</v>
      </c>
      <c r="M69" s="34"/>
      <c r="N69" s="34">
        <f>SUM(N66:N68)</f>
        <v>23503</v>
      </c>
      <c r="O69" s="34"/>
      <c r="P69" s="34">
        <f>SUM(P66:P68)</f>
        <v>3210</v>
      </c>
      <c r="Q69" s="34"/>
      <c r="R69" s="34">
        <f>SUM(R66:R68)</f>
        <v>0</v>
      </c>
      <c r="S69" s="34"/>
      <c r="T69" s="54">
        <f>SUM(T66:T68)</f>
        <v>591853</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2"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2" ht="15.6" x14ac:dyDescent="0.3">
      <c r="A82" s="24"/>
      <c r="B82" s="25" t="s">
        <v>27</v>
      </c>
      <c r="C82" s="34"/>
      <c r="D82" s="34"/>
      <c r="E82" s="34"/>
      <c r="F82" s="54"/>
      <c r="G82" s="34"/>
      <c r="H82" s="54"/>
      <c r="I82" s="54"/>
      <c r="J82" s="54">
        <f>SUM(J69:J81)</f>
        <v>700000</v>
      </c>
      <c r="K82" s="34"/>
      <c r="L82" s="54">
        <f>SUM(L69:L81)</f>
        <v>612146</v>
      </c>
      <c r="M82" s="34"/>
      <c r="N82" s="34"/>
      <c r="O82" s="34"/>
      <c r="P82" s="34"/>
      <c r="Q82" s="34"/>
      <c r="R82" s="54"/>
      <c r="S82" s="34"/>
      <c r="T82" s="54">
        <f>SUM(T69:T81)</f>
        <v>591853</v>
      </c>
      <c r="U82" s="25"/>
      <c r="V82" s="5"/>
    </row>
    <row r="83" spans="1:22"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2" ht="15.6" x14ac:dyDescent="0.3">
      <c r="A84" s="6"/>
      <c r="B84" s="8"/>
      <c r="C84" s="8"/>
      <c r="D84" s="8"/>
      <c r="E84" s="8"/>
      <c r="F84" s="8"/>
      <c r="G84" s="8"/>
      <c r="H84" s="8"/>
      <c r="I84" s="8"/>
      <c r="J84" s="8"/>
      <c r="K84" s="8"/>
      <c r="L84" s="8"/>
      <c r="M84" s="8"/>
      <c r="N84" s="8"/>
      <c r="O84" s="8"/>
      <c r="P84" s="8"/>
      <c r="Q84" s="8"/>
      <c r="R84" s="8"/>
      <c r="S84" s="8"/>
      <c r="T84" s="8"/>
      <c r="U84" s="8"/>
      <c r="V84" s="5"/>
    </row>
    <row r="85" spans="1:22" ht="15.6" x14ac:dyDescent="0.3">
      <c r="A85" s="6"/>
      <c r="B85" s="51" t="s">
        <v>28</v>
      </c>
      <c r="C85" s="14"/>
      <c r="D85" s="14"/>
      <c r="E85" s="14"/>
      <c r="F85" s="14"/>
      <c r="G85" s="14"/>
      <c r="H85" s="17"/>
      <c r="I85" s="17"/>
      <c r="J85" s="158" t="s">
        <v>101</v>
      </c>
      <c r="K85" s="17"/>
      <c r="L85" s="157">
        <f>+R194</f>
        <v>39113</v>
      </c>
      <c r="M85" s="17"/>
      <c r="N85" s="17"/>
      <c r="O85" s="17"/>
      <c r="P85" s="17"/>
      <c r="Q85" s="17"/>
      <c r="R85" s="17" t="s">
        <v>114</v>
      </c>
      <c r="S85" s="17"/>
      <c r="T85" s="17" t="s">
        <v>122</v>
      </c>
      <c r="U85" s="8"/>
      <c r="V85" s="5"/>
    </row>
    <row r="86" spans="1:22"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2" ht="15.6" x14ac:dyDescent="0.3">
      <c r="A87" s="24"/>
      <c r="B87" s="25" t="s">
        <v>30</v>
      </c>
      <c r="C87" s="25"/>
      <c r="D87" s="25"/>
      <c r="E87" s="25"/>
      <c r="F87" s="25"/>
      <c r="G87" s="25"/>
      <c r="H87" s="40"/>
      <c r="I87" s="57"/>
      <c r="J87" s="40"/>
      <c r="K87" s="25"/>
      <c r="L87" s="128"/>
      <c r="M87" s="25"/>
      <c r="N87" s="25"/>
      <c r="O87" s="25"/>
      <c r="P87" s="25"/>
      <c r="Q87" s="25"/>
      <c r="R87" s="34">
        <f>23503-69</f>
        <v>23434</v>
      </c>
      <c r="S87" s="25"/>
      <c r="T87" s="53"/>
      <c r="U87" s="25"/>
      <c r="V87" s="5"/>
    </row>
    <row r="88" spans="1:22" ht="15.6" x14ac:dyDescent="0.3">
      <c r="A88" s="24"/>
      <c r="B88" s="25" t="s">
        <v>254</v>
      </c>
      <c r="C88" s="25"/>
      <c r="D88" s="25"/>
      <c r="E88" s="25"/>
      <c r="F88" s="25"/>
      <c r="G88" s="25"/>
      <c r="H88" s="40"/>
      <c r="I88" s="57"/>
      <c r="J88" s="40"/>
      <c r="K88" s="25"/>
      <c r="L88" s="128"/>
      <c r="M88" s="25"/>
      <c r="N88" s="25"/>
      <c r="O88" s="25"/>
      <c r="P88" s="25"/>
      <c r="Q88" s="25"/>
      <c r="R88" s="34"/>
      <c r="S88" s="25"/>
      <c r="T88" s="53">
        <f>6654+3761+9-1305-380</f>
        <v>8739</v>
      </c>
      <c r="U88" s="25"/>
      <c r="V88" s="5"/>
    </row>
    <row r="89" spans="1:22" ht="15.6" x14ac:dyDescent="0.3">
      <c r="A89" s="24"/>
      <c r="B89" s="25" t="s">
        <v>255</v>
      </c>
      <c r="C89" s="25"/>
      <c r="D89" s="25"/>
      <c r="E89" s="25"/>
      <c r="F89" s="25"/>
      <c r="G89" s="25"/>
      <c r="H89" s="40"/>
      <c r="I89" s="57"/>
      <c r="J89" s="40"/>
      <c r="K89" s="25"/>
      <c r="L89" s="128"/>
      <c r="M89" s="25"/>
      <c r="N89" s="25"/>
      <c r="O89" s="25"/>
      <c r="P89" s="25"/>
      <c r="Q89" s="25"/>
      <c r="R89" s="34"/>
      <c r="S89" s="25"/>
      <c r="T89" s="53">
        <f>249+183</f>
        <v>432</v>
      </c>
      <c r="U89" s="25"/>
      <c r="V89" s="5"/>
    </row>
    <row r="90" spans="1:22" ht="15.6" x14ac:dyDescent="0.3">
      <c r="A90" s="24"/>
      <c r="B90" s="25" t="s">
        <v>256</v>
      </c>
      <c r="C90" s="25"/>
      <c r="D90" s="25"/>
      <c r="E90" s="25"/>
      <c r="F90" s="25"/>
      <c r="G90" s="25"/>
      <c r="H90" s="40"/>
      <c r="I90" s="57"/>
      <c r="J90" s="40"/>
      <c r="K90" s="25"/>
      <c r="L90" s="128"/>
      <c r="M90" s="25"/>
      <c r="N90" s="25"/>
      <c r="O90" s="25"/>
      <c r="P90" s="25"/>
      <c r="Q90" s="25"/>
      <c r="R90" s="34"/>
      <c r="S90" s="25"/>
      <c r="T90" s="53">
        <v>317</v>
      </c>
      <c r="U90" s="25"/>
      <c r="V90" s="5"/>
    </row>
    <row r="91" spans="1:22" ht="15.6" x14ac:dyDescent="0.3">
      <c r="A91" s="24"/>
      <c r="B91" s="25" t="s">
        <v>270</v>
      </c>
      <c r="C91" s="25"/>
      <c r="D91" s="25"/>
      <c r="E91" s="25"/>
      <c r="F91" s="25"/>
      <c r="G91" s="25"/>
      <c r="H91" s="40"/>
      <c r="I91" s="57"/>
      <c r="J91" s="40"/>
      <c r="K91" s="25"/>
      <c r="L91" s="128"/>
      <c r="M91" s="25"/>
      <c r="N91" s="25"/>
      <c r="O91" s="25"/>
      <c r="P91" s="25"/>
      <c r="Q91" s="25"/>
      <c r="R91" s="34"/>
      <c r="S91" s="25"/>
      <c r="T91" s="53">
        <v>403</v>
      </c>
      <c r="U91" s="25"/>
      <c r="V91" s="5"/>
    </row>
    <row r="92" spans="1:22" ht="15.6" x14ac:dyDescent="0.3">
      <c r="A92" s="24"/>
      <c r="B92" s="25" t="s">
        <v>144</v>
      </c>
      <c r="C92" s="25"/>
      <c r="D92" s="25"/>
      <c r="E92" s="25"/>
      <c r="F92" s="25"/>
      <c r="G92" s="25"/>
      <c r="H92" s="25"/>
      <c r="I92" s="25"/>
      <c r="J92" s="25"/>
      <c r="K92" s="25"/>
      <c r="L92" s="25"/>
      <c r="M92" s="25"/>
      <c r="N92" s="25"/>
      <c r="O92" s="25"/>
      <c r="P92" s="25"/>
      <c r="Q92" s="25"/>
      <c r="R92" s="34"/>
      <c r="S92" s="25"/>
      <c r="T92" s="53">
        <v>0</v>
      </c>
      <c r="U92" s="25"/>
      <c r="V92" s="5"/>
    </row>
    <row r="93" spans="1:22" ht="15.6" x14ac:dyDescent="0.3">
      <c r="A93" s="24"/>
      <c r="B93" s="25" t="s">
        <v>233</v>
      </c>
      <c r="C93" s="25"/>
      <c r="D93" s="25"/>
      <c r="E93" s="25"/>
      <c r="F93" s="25"/>
      <c r="G93" s="25"/>
      <c r="H93" s="25"/>
      <c r="I93" s="25"/>
      <c r="J93" s="25"/>
      <c r="K93" s="25"/>
      <c r="L93" s="25"/>
      <c r="M93" s="25"/>
      <c r="N93" s="25"/>
      <c r="O93" s="25"/>
      <c r="P93" s="25"/>
      <c r="Q93" s="25"/>
      <c r="R93" s="34"/>
      <c r="S93" s="25"/>
      <c r="T93" s="53">
        <v>534</v>
      </c>
      <c r="U93" s="25"/>
      <c r="V93" s="5"/>
    </row>
    <row r="94" spans="1:22" ht="15.6" x14ac:dyDescent="0.3">
      <c r="A94" s="24"/>
      <c r="B94" s="25" t="s">
        <v>32</v>
      </c>
      <c r="C94" s="25"/>
      <c r="D94" s="25"/>
      <c r="E94" s="25"/>
      <c r="F94" s="25"/>
      <c r="G94" s="25"/>
      <c r="H94" s="25"/>
      <c r="I94" s="25"/>
      <c r="J94" s="25"/>
      <c r="K94" s="25"/>
      <c r="L94" s="25"/>
      <c r="M94" s="25"/>
      <c r="N94" s="25"/>
      <c r="O94" s="25"/>
      <c r="P94" s="25"/>
      <c r="Q94" s="25"/>
      <c r="R94" s="34">
        <f>SUM(R86:R93)</f>
        <v>23434</v>
      </c>
      <c r="S94" s="25"/>
      <c r="T94" s="54">
        <f>SUM(T86:T93)</f>
        <v>10425</v>
      </c>
      <c r="U94" s="25"/>
      <c r="V94" s="5"/>
    </row>
    <row r="95" spans="1:22" ht="15.6" x14ac:dyDescent="0.3">
      <c r="A95" s="24"/>
      <c r="B95" s="25" t="s">
        <v>176</v>
      </c>
      <c r="C95" s="25"/>
      <c r="D95" s="25"/>
      <c r="E95" s="25"/>
      <c r="F95" s="25"/>
      <c r="G95" s="25"/>
      <c r="H95" s="25"/>
      <c r="I95" s="25"/>
      <c r="J95" s="25"/>
      <c r="K95" s="25"/>
      <c r="L95" s="25"/>
      <c r="M95" s="25"/>
      <c r="N95" s="25"/>
      <c r="O95" s="25"/>
      <c r="P95" s="25"/>
      <c r="Q95" s="25"/>
      <c r="R95" s="34">
        <v>-29</v>
      </c>
      <c r="S95" s="25"/>
      <c r="T95" s="54">
        <f>-R95</f>
        <v>29</v>
      </c>
      <c r="U95" s="25"/>
      <c r="V95" s="5"/>
    </row>
    <row r="96" spans="1:22" ht="15.6" x14ac:dyDescent="0.3">
      <c r="A96" s="24"/>
      <c r="B96" s="25" t="s">
        <v>33</v>
      </c>
      <c r="C96" s="25"/>
      <c r="D96" s="25"/>
      <c r="E96" s="25"/>
      <c r="F96" s="25"/>
      <c r="G96" s="25"/>
      <c r="H96" s="25"/>
      <c r="I96" s="25"/>
      <c r="J96" s="25"/>
      <c r="K96" s="25"/>
      <c r="L96" s="25"/>
      <c r="M96" s="25"/>
      <c r="N96" s="25"/>
      <c r="O96" s="25"/>
      <c r="P96" s="25"/>
      <c r="Q96" s="25"/>
      <c r="R96" s="34">
        <f>-T96</f>
        <v>0</v>
      </c>
      <c r="S96" s="25"/>
      <c r="T96" s="53">
        <v>0</v>
      </c>
      <c r="U96" s="25"/>
      <c r="V96" s="5"/>
    </row>
    <row r="97" spans="1:23" ht="15.6" x14ac:dyDescent="0.3">
      <c r="A97" s="24"/>
      <c r="B97" s="25" t="s">
        <v>34</v>
      </c>
      <c r="C97" s="25"/>
      <c r="D97" s="25"/>
      <c r="E97" s="25"/>
      <c r="F97" s="25"/>
      <c r="G97" s="25"/>
      <c r="H97" s="25"/>
      <c r="I97" s="25"/>
      <c r="J97" s="25"/>
      <c r="K97" s="25"/>
      <c r="L97" s="25"/>
      <c r="M97" s="25"/>
      <c r="N97" s="25"/>
      <c r="O97" s="25"/>
      <c r="P97" s="25"/>
      <c r="Q97" s="25"/>
      <c r="R97" s="34">
        <f>R94+R96+R95</f>
        <v>23405</v>
      </c>
      <c r="S97" s="25"/>
      <c r="T97" s="54">
        <f>T94+T96+T95</f>
        <v>10454</v>
      </c>
      <c r="U97" s="25"/>
      <c r="V97" s="5"/>
      <c r="W97" s="166"/>
    </row>
    <row r="98" spans="1:23" ht="15.6" x14ac:dyDescent="0.3">
      <c r="A98" s="24"/>
      <c r="B98" s="119" t="s">
        <v>35</v>
      </c>
      <c r="C98" s="25"/>
      <c r="D98" s="25"/>
      <c r="E98" s="25"/>
      <c r="F98" s="25"/>
      <c r="G98" s="25"/>
      <c r="H98" s="25"/>
      <c r="I98" s="25"/>
      <c r="J98" s="25"/>
      <c r="K98" s="25"/>
      <c r="L98" s="25"/>
      <c r="M98" s="25"/>
      <c r="N98" s="25"/>
      <c r="O98" s="25"/>
      <c r="P98" s="25"/>
      <c r="Q98" s="25"/>
      <c r="R98" s="34"/>
      <c r="S98" s="25"/>
      <c r="T98" s="53"/>
      <c r="U98" s="25"/>
      <c r="V98" s="5"/>
    </row>
    <row r="99" spans="1:23" ht="15.6" x14ac:dyDescent="0.3">
      <c r="A99" s="24">
        <v>1</v>
      </c>
      <c r="B99" s="25" t="s">
        <v>36</v>
      </c>
      <c r="C99" s="25"/>
      <c r="D99" s="25"/>
      <c r="E99" s="25"/>
      <c r="F99" s="25"/>
      <c r="G99" s="25"/>
      <c r="H99" s="25"/>
      <c r="I99" s="25"/>
      <c r="J99" s="25"/>
      <c r="K99" s="25"/>
      <c r="L99" s="25"/>
      <c r="M99" s="25"/>
      <c r="N99" s="25"/>
      <c r="O99" s="25"/>
      <c r="P99" s="25"/>
      <c r="Q99" s="25"/>
      <c r="R99" s="25"/>
      <c r="S99" s="25"/>
      <c r="T99" s="53">
        <v>0</v>
      </c>
      <c r="U99" s="25"/>
      <c r="V99" s="5"/>
    </row>
    <row r="100" spans="1:23" ht="15.6" x14ac:dyDescent="0.3">
      <c r="A100" s="24">
        <f>+A99+1</f>
        <v>2</v>
      </c>
      <c r="B100" s="25" t="s">
        <v>37</v>
      </c>
      <c r="C100" s="25"/>
      <c r="D100" s="25"/>
      <c r="E100" s="25"/>
      <c r="F100" s="25"/>
      <c r="G100" s="25"/>
      <c r="H100" s="25"/>
      <c r="I100" s="25"/>
      <c r="J100" s="25"/>
      <c r="K100" s="25"/>
      <c r="L100" s="25"/>
      <c r="M100" s="25"/>
      <c r="N100" s="25"/>
      <c r="O100" s="25"/>
      <c r="P100" s="25"/>
      <c r="Q100" s="25"/>
      <c r="R100" s="25"/>
      <c r="S100" s="25"/>
      <c r="T100" s="53">
        <v>-2</v>
      </c>
      <c r="U100" s="25"/>
      <c r="V100" s="5"/>
    </row>
    <row r="101" spans="1:23" ht="15.6" x14ac:dyDescent="0.3">
      <c r="A101" s="24">
        <f>+A100+1</f>
        <v>3</v>
      </c>
      <c r="B101" s="25" t="s">
        <v>160</v>
      </c>
      <c r="C101" s="25"/>
      <c r="D101" s="25"/>
      <c r="E101" s="25"/>
      <c r="F101" s="25"/>
      <c r="G101" s="25"/>
      <c r="H101" s="25"/>
      <c r="I101" s="25"/>
      <c r="J101" s="25"/>
      <c r="K101" s="25"/>
      <c r="L101" s="25"/>
      <c r="M101" s="25"/>
      <c r="N101" s="25"/>
      <c r="O101" s="25"/>
      <c r="P101" s="25"/>
      <c r="Q101" s="25"/>
      <c r="R101" s="25"/>
      <c r="S101" s="25"/>
      <c r="T101" s="53">
        <f>-232-2-8</f>
        <v>-242</v>
      </c>
      <c r="U101" s="25"/>
      <c r="V101" s="5"/>
    </row>
    <row r="102" spans="1:23" ht="15.6" x14ac:dyDescent="0.3">
      <c r="A102" s="24" t="s">
        <v>136</v>
      </c>
      <c r="B102" s="25" t="s">
        <v>125</v>
      </c>
      <c r="C102" s="25"/>
      <c r="D102" s="25"/>
      <c r="E102" s="25"/>
      <c r="F102" s="25"/>
      <c r="G102" s="25"/>
      <c r="H102" s="25"/>
      <c r="I102" s="25"/>
      <c r="J102" s="25"/>
      <c r="K102" s="25"/>
      <c r="L102" s="25"/>
      <c r="M102" s="25"/>
      <c r="N102" s="25"/>
      <c r="O102" s="25"/>
      <c r="P102" s="25"/>
      <c r="Q102" s="25"/>
      <c r="R102" s="25"/>
      <c r="S102" s="25"/>
      <c r="T102" s="53">
        <v>0</v>
      </c>
      <c r="U102" s="25"/>
      <c r="V102" s="5"/>
    </row>
    <row r="103" spans="1:23" ht="15.6" x14ac:dyDescent="0.3">
      <c r="A103" s="24" t="s">
        <v>137</v>
      </c>
      <c r="B103" s="25" t="s">
        <v>267</v>
      </c>
      <c r="C103" s="25"/>
      <c r="D103" s="25"/>
      <c r="E103" s="25"/>
      <c r="F103" s="25"/>
      <c r="G103" s="25"/>
      <c r="H103" s="25"/>
      <c r="I103" s="25"/>
      <c r="J103" s="25"/>
      <c r="K103" s="25"/>
      <c r="L103" s="25"/>
      <c r="M103" s="25"/>
      <c r="N103" s="25"/>
      <c r="O103" s="25"/>
      <c r="P103" s="25"/>
      <c r="Q103" s="25"/>
      <c r="R103" s="25"/>
      <c r="S103" s="25"/>
      <c r="T103" s="53">
        <v>-2</v>
      </c>
      <c r="U103" s="25"/>
      <c r="V103" s="5"/>
    </row>
    <row r="104" spans="1:23" ht="15.6" x14ac:dyDescent="0.3">
      <c r="A104" s="24" t="s">
        <v>162</v>
      </c>
      <c r="B104" s="25" t="s">
        <v>218</v>
      </c>
      <c r="C104" s="25"/>
      <c r="D104" s="25"/>
      <c r="E104" s="25"/>
      <c r="F104" s="25"/>
      <c r="G104" s="25"/>
      <c r="H104" s="25"/>
      <c r="I104" s="25"/>
      <c r="J104" s="25"/>
      <c r="K104" s="25"/>
      <c r="L104" s="25"/>
      <c r="M104" s="25"/>
      <c r="N104" s="25"/>
      <c r="O104" s="25"/>
      <c r="P104" s="25"/>
      <c r="Q104" s="25"/>
      <c r="R104" s="25"/>
      <c r="S104" s="25"/>
      <c r="T104" s="53">
        <v>-4053</v>
      </c>
      <c r="U104" s="25"/>
      <c r="V104" s="5"/>
      <c r="W104" s="110"/>
    </row>
    <row r="105" spans="1:23" ht="15.6" x14ac:dyDescent="0.3">
      <c r="A105" s="24" t="s">
        <v>163</v>
      </c>
      <c r="B105" s="25" t="s">
        <v>219</v>
      </c>
      <c r="C105" s="25"/>
      <c r="D105" s="25"/>
      <c r="E105" s="25"/>
      <c r="F105" s="25"/>
      <c r="G105" s="25"/>
      <c r="H105" s="25"/>
      <c r="I105" s="25"/>
      <c r="J105" s="25"/>
      <c r="K105" s="25"/>
      <c r="L105" s="25"/>
      <c r="M105" s="25"/>
      <c r="N105" s="25"/>
      <c r="O105" s="25"/>
      <c r="P105" s="25"/>
      <c r="Q105" s="25"/>
      <c r="R105" s="25"/>
      <c r="S105" s="25"/>
      <c r="T105" s="53">
        <v>-2870</v>
      </c>
      <c r="U105" s="25"/>
      <c r="V105" s="5"/>
    </row>
    <row r="106" spans="1:23" ht="15.6" x14ac:dyDescent="0.3">
      <c r="A106" s="24" t="s">
        <v>252</v>
      </c>
      <c r="B106" s="25" t="s">
        <v>242</v>
      </c>
      <c r="C106" s="25"/>
      <c r="D106" s="25"/>
      <c r="E106" s="25"/>
      <c r="F106" s="25"/>
      <c r="G106" s="25"/>
      <c r="H106" s="25"/>
      <c r="I106" s="25"/>
      <c r="J106" s="25"/>
      <c r="K106" s="25"/>
      <c r="L106" s="25"/>
      <c r="M106" s="25"/>
      <c r="N106" s="25"/>
      <c r="O106" s="25"/>
      <c r="P106" s="25"/>
      <c r="Q106" s="25"/>
      <c r="R106" s="25"/>
      <c r="S106" s="25"/>
      <c r="T106" s="53">
        <v>-397</v>
      </c>
      <c r="U106" s="25"/>
      <c r="V106" s="5"/>
      <c r="W106" s="110"/>
    </row>
    <row r="107" spans="1:23" ht="15.6" x14ac:dyDescent="0.3">
      <c r="A107" s="24" t="s">
        <v>245</v>
      </c>
      <c r="B107" s="25" t="s">
        <v>220</v>
      </c>
      <c r="C107" s="25"/>
      <c r="D107" s="25"/>
      <c r="E107" s="25"/>
      <c r="F107" s="25"/>
      <c r="G107" s="25"/>
      <c r="H107" s="25"/>
      <c r="I107" s="25"/>
      <c r="J107" s="25"/>
      <c r="K107" s="25"/>
      <c r="L107" s="25"/>
      <c r="M107" s="25"/>
      <c r="N107" s="25"/>
      <c r="O107" s="25"/>
      <c r="P107" s="25"/>
      <c r="Q107" s="25"/>
      <c r="R107" s="25"/>
      <c r="S107" s="25"/>
      <c r="T107" s="53">
        <v>-97</v>
      </c>
      <c r="U107" s="25"/>
      <c r="V107" s="5"/>
      <c r="W107" s="110"/>
    </row>
    <row r="108" spans="1:23" ht="15.6" x14ac:dyDescent="0.3">
      <c r="A108" s="24" t="s">
        <v>246</v>
      </c>
      <c r="B108" s="25" t="s">
        <v>221</v>
      </c>
      <c r="C108" s="25"/>
      <c r="D108" s="25"/>
      <c r="E108" s="25"/>
      <c r="F108" s="25"/>
      <c r="G108" s="25"/>
      <c r="H108" s="25"/>
      <c r="I108" s="25"/>
      <c r="J108" s="25"/>
      <c r="K108" s="25"/>
      <c r="L108" s="25"/>
      <c r="M108" s="25"/>
      <c r="N108" s="25"/>
      <c r="O108" s="25"/>
      <c r="P108" s="25"/>
      <c r="Q108" s="25"/>
      <c r="R108" s="25"/>
      <c r="S108" s="25"/>
      <c r="T108" s="53">
        <v>-284</v>
      </c>
      <c r="U108" s="25"/>
      <c r="V108" s="5"/>
      <c r="W108" s="110"/>
    </row>
    <row r="109" spans="1:23" ht="15.6" x14ac:dyDescent="0.3">
      <c r="A109" s="24" t="s">
        <v>247</v>
      </c>
      <c r="B109" s="25" t="s">
        <v>222</v>
      </c>
      <c r="C109" s="25"/>
      <c r="D109" s="25"/>
      <c r="E109" s="25"/>
      <c r="F109" s="25"/>
      <c r="G109" s="25"/>
      <c r="H109" s="25"/>
      <c r="I109" s="25"/>
      <c r="J109" s="25"/>
      <c r="K109" s="25"/>
      <c r="L109" s="25"/>
      <c r="M109" s="25"/>
      <c r="N109" s="25"/>
      <c r="O109" s="25"/>
      <c r="P109" s="25"/>
      <c r="Q109" s="25"/>
      <c r="R109" s="25"/>
      <c r="S109" s="25"/>
      <c r="T109" s="53">
        <v>-43</v>
      </c>
      <c r="U109" s="25"/>
      <c r="V109" s="5"/>
      <c r="W109" s="110"/>
    </row>
    <row r="110" spans="1:23" ht="15.6" x14ac:dyDescent="0.3">
      <c r="A110" s="24" t="s">
        <v>248</v>
      </c>
      <c r="B110" s="25" t="s">
        <v>223</v>
      </c>
      <c r="C110" s="25"/>
      <c r="D110" s="25"/>
      <c r="E110" s="25"/>
      <c r="F110" s="25"/>
      <c r="G110" s="25"/>
      <c r="H110" s="25"/>
      <c r="I110" s="25"/>
      <c r="J110" s="25"/>
      <c r="K110" s="25"/>
      <c r="L110" s="25"/>
      <c r="M110" s="25"/>
      <c r="N110" s="25"/>
      <c r="O110" s="25"/>
      <c r="P110" s="25"/>
      <c r="Q110" s="25"/>
      <c r="R110" s="25"/>
      <c r="S110" s="25"/>
      <c r="T110" s="53">
        <v>-662</v>
      </c>
      <c r="U110" s="25"/>
      <c r="V110" s="5"/>
      <c r="W110" s="110"/>
    </row>
    <row r="111" spans="1:23" ht="15.6" x14ac:dyDescent="0.3">
      <c r="A111" s="24">
        <v>7</v>
      </c>
      <c r="B111" s="25" t="s">
        <v>38</v>
      </c>
      <c r="C111" s="25"/>
      <c r="D111" s="25"/>
      <c r="E111" s="25"/>
      <c r="F111" s="25"/>
      <c r="G111" s="25"/>
      <c r="H111" s="25"/>
      <c r="I111" s="25"/>
      <c r="J111" s="25"/>
      <c r="K111" s="25"/>
      <c r="L111" s="25"/>
      <c r="M111" s="25"/>
      <c r="N111" s="25"/>
      <c r="O111" s="25"/>
      <c r="P111" s="25"/>
      <c r="Q111" s="25"/>
      <c r="R111" s="25"/>
      <c r="S111" s="25"/>
      <c r="T111" s="53">
        <v>-8</v>
      </c>
      <c r="U111" s="25"/>
      <c r="V111" s="5"/>
    </row>
    <row r="112" spans="1:23" ht="15.6" x14ac:dyDescent="0.3">
      <c r="A112" s="24">
        <f t="shared" ref="A112:A117" si="0">+A111+1</f>
        <v>8</v>
      </c>
      <c r="B112" s="25" t="s">
        <v>49</v>
      </c>
      <c r="C112" s="25"/>
      <c r="D112" s="25"/>
      <c r="E112" s="25"/>
      <c r="F112" s="25"/>
      <c r="G112" s="25"/>
      <c r="H112" s="25"/>
      <c r="I112" s="25"/>
      <c r="J112" s="25"/>
      <c r="K112" s="25"/>
      <c r="L112" s="25"/>
      <c r="M112" s="25"/>
      <c r="N112" s="25"/>
      <c r="O112" s="25"/>
      <c r="P112" s="25"/>
      <c r="Q112" s="25"/>
      <c r="R112" s="34">
        <f>-T112</f>
        <v>69</v>
      </c>
      <c r="S112" s="25"/>
      <c r="T112" s="53">
        <v>-69</v>
      </c>
      <c r="U112" s="25"/>
      <c r="V112" s="5"/>
    </row>
    <row r="113" spans="1:22" ht="15.6" x14ac:dyDescent="0.3">
      <c r="A113" s="24">
        <f t="shared" si="0"/>
        <v>9</v>
      </c>
      <c r="B113" s="25" t="s">
        <v>134</v>
      </c>
      <c r="C113" s="25"/>
      <c r="D113" s="25"/>
      <c r="E113" s="25"/>
      <c r="F113" s="25"/>
      <c r="G113" s="25"/>
      <c r="H113" s="25"/>
      <c r="I113" s="25"/>
      <c r="J113" s="25"/>
      <c r="K113" s="25"/>
      <c r="L113" s="25"/>
      <c r="M113" s="25"/>
      <c r="N113" s="25"/>
      <c r="O113" s="25"/>
      <c r="P113" s="25"/>
      <c r="Q113" s="25"/>
      <c r="R113" s="25"/>
      <c r="S113" s="25"/>
      <c r="T113" s="53">
        <v>0</v>
      </c>
      <c r="U113" s="25"/>
      <c r="V113" s="5"/>
    </row>
    <row r="114" spans="1:22" ht="15.6" x14ac:dyDescent="0.3">
      <c r="A114" s="24">
        <f t="shared" si="0"/>
        <v>10</v>
      </c>
      <c r="B114" s="25" t="s">
        <v>39</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11</v>
      </c>
      <c r="B115" s="25" t="s">
        <v>40</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12</v>
      </c>
      <c r="B116" s="25" t="s">
        <v>161</v>
      </c>
      <c r="C116" s="25"/>
      <c r="D116" s="25"/>
      <c r="E116" s="25"/>
      <c r="F116" s="25"/>
      <c r="G116" s="25"/>
      <c r="H116" s="25"/>
      <c r="I116" s="25"/>
      <c r="J116" s="25"/>
      <c r="K116" s="25"/>
      <c r="L116" s="25"/>
      <c r="M116" s="25"/>
      <c r="N116" s="25"/>
      <c r="O116" s="25"/>
      <c r="P116" s="25"/>
      <c r="Q116" s="25"/>
      <c r="R116" s="25"/>
      <c r="S116" s="25"/>
      <c r="T116" s="53">
        <v>-232</v>
      </c>
      <c r="U116" s="25"/>
      <c r="V116" s="5"/>
    </row>
    <row r="117" spans="1:22" ht="15.6" x14ac:dyDescent="0.3">
      <c r="A117" s="24">
        <f t="shared" si="0"/>
        <v>13</v>
      </c>
      <c r="B117" s="25" t="s">
        <v>135</v>
      </c>
      <c r="C117" s="25"/>
      <c r="D117" s="25"/>
      <c r="E117" s="25"/>
      <c r="F117" s="25"/>
      <c r="G117" s="25"/>
      <c r="H117" s="25"/>
      <c r="I117" s="25"/>
      <c r="J117" s="25"/>
      <c r="K117" s="25"/>
      <c r="L117" s="25"/>
      <c r="M117" s="25"/>
      <c r="N117" s="25"/>
      <c r="O117" s="25"/>
      <c r="P117" s="25"/>
      <c r="Q117" s="25"/>
      <c r="R117" s="25"/>
      <c r="S117" s="25"/>
      <c r="T117" s="53">
        <f>-T97-SUM(T99:T116)</f>
        <v>-1493</v>
      </c>
      <c r="U117" s="25"/>
      <c r="V117" s="5"/>
    </row>
    <row r="118" spans="1:22" ht="15.6" x14ac:dyDescent="0.3">
      <c r="A118" s="24"/>
      <c r="B118" s="119" t="s">
        <v>41</v>
      </c>
      <c r="C118" s="25"/>
      <c r="D118" s="25"/>
      <c r="E118" s="25"/>
      <c r="F118" s="25"/>
      <c r="G118" s="25"/>
      <c r="H118" s="25"/>
      <c r="I118" s="25"/>
      <c r="J118" s="25"/>
      <c r="K118" s="25"/>
      <c r="L118" s="25"/>
      <c r="M118" s="25"/>
      <c r="N118" s="25"/>
      <c r="O118" s="25"/>
      <c r="P118" s="25"/>
      <c r="Q118" s="25"/>
      <c r="R118" s="25"/>
      <c r="S118" s="25"/>
      <c r="T118" s="59"/>
      <c r="U118" s="25"/>
      <c r="V118" s="5"/>
    </row>
    <row r="119" spans="1:22" ht="15.6" x14ac:dyDescent="0.3">
      <c r="A119" s="24"/>
      <c r="B119" s="25" t="s">
        <v>229</v>
      </c>
      <c r="C119" s="25"/>
      <c r="D119" s="25"/>
      <c r="E119" s="25"/>
      <c r="F119" s="25"/>
      <c r="G119" s="25"/>
      <c r="H119" s="25"/>
      <c r="I119" s="25"/>
      <c r="J119" s="25"/>
      <c r="K119" s="25"/>
      <c r="L119" s="25"/>
      <c r="M119" s="25"/>
      <c r="N119" s="25"/>
      <c r="O119" s="25"/>
      <c r="P119" s="25"/>
      <c r="Q119" s="25"/>
      <c r="R119" s="34">
        <f>-R178</f>
        <v>-109</v>
      </c>
      <c r="S119" s="34"/>
      <c r="T119" s="53"/>
      <c r="U119" s="25"/>
      <c r="V119" s="5"/>
    </row>
    <row r="120" spans="1:22" ht="15.6" x14ac:dyDescent="0.3">
      <c r="A120" s="24"/>
      <c r="B120" s="25" t="s">
        <v>230</v>
      </c>
      <c r="C120" s="25"/>
      <c r="D120" s="25"/>
      <c r="E120" s="25"/>
      <c r="F120" s="25"/>
      <c r="G120" s="25"/>
      <c r="H120" s="25"/>
      <c r="I120" s="25"/>
      <c r="J120" s="25"/>
      <c r="K120" s="25"/>
      <c r="L120" s="25"/>
      <c r="M120" s="25"/>
      <c r="N120" s="25"/>
      <c r="O120" s="25"/>
      <c r="P120" s="25"/>
      <c r="Q120" s="25"/>
      <c r="R120" s="34">
        <v>-202</v>
      </c>
      <c r="S120" s="34"/>
      <c r="T120" s="53"/>
      <c r="U120" s="25"/>
      <c r="V120" s="5"/>
    </row>
    <row r="121" spans="1:22" ht="15.6" x14ac:dyDescent="0.3">
      <c r="A121" s="24"/>
      <c r="B121" s="25" t="s">
        <v>42</v>
      </c>
      <c r="C121" s="25"/>
      <c r="D121" s="25"/>
      <c r="E121" s="25"/>
      <c r="F121" s="25"/>
      <c r="G121" s="25"/>
      <c r="H121" s="25"/>
      <c r="I121" s="25"/>
      <c r="J121" s="25"/>
      <c r="K121" s="25"/>
      <c r="L121" s="25"/>
      <c r="M121" s="25"/>
      <c r="N121" s="25"/>
      <c r="O121" s="25"/>
      <c r="P121" s="25"/>
      <c r="Q121" s="25"/>
      <c r="R121" s="34">
        <f>-Q178</f>
        <v>-2870</v>
      </c>
      <c r="S121" s="34"/>
      <c r="T121" s="53"/>
      <c r="U121" s="25"/>
      <c r="V121" s="5"/>
    </row>
    <row r="122" spans="1:22" ht="15.6" x14ac:dyDescent="0.3">
      <c r="A122" s="24"/>
      <c r="B122" s="25" t="s">
        <v>235</v>
      </c>
      <c r="C122" s="25"/>
      <c r="D122" s="25"/>
      <c r="E122" s="25"/>
      <c r="F122" s="25"/>
      <c r="G122" s="25"/>
      <c r="H122" s="25"/>
      <c r="I122" s="25"/>
      <c r="J122" s="25"/>
      <c r="K122" s="25"/>
      <c r="L122" s="25"/>
      <c r="M122" s="25"/>
      <c r="N122" s="25"/>
      <c r="O122" s="25"/>
      <c r="P122" s="25"/>
      <c r="Q122" s="25"/>
      <c r="R122" s="34">
        <v>-11245</v>
      </c>
      <c r="S122" s="34"/>
      <c r="T122" s="53"/>
      <c r="U122" s="25"/>
      <c r="V122" s="5"/>
    </row>
    <row r="123" spans="1:22" ht="15.6" x14ac:dyDescent="0.3">
      <c r="A123" s="24"/>
      <c r="B123" s="25" t="s">
        <v>236</v>
      </c>
      <c r="C123" s="25"/>
      <c r="D123" s="25"/>
      <c r="E123" s="25"/>
      <c r="F123" s="25"/>
      <c r="G123" s="25"/>
      <c r="H123" s="25"/>
      <c r="I123" s="25"/>
      <c r="J123" s="25"/>
      <c r="K123" s="25"/>
      <c r="L123" s="25"/>
      <c r="M123" s="25"/>
      <c r="N123" s="25"/>
      <c r="O123" s="25"/>
      <c r="P123" s="25"/>
      <c r="Q123" s="25"/>
      <c r="R123" s="34">
        <v>-7946</v>
      </c>
      <c r="S123" s="34"/>
      <c r="T123" s="53"/>
      <c r="U123" s="25"/>
      <c r="V123" s="5"/>
    </row>
    <row r="124" spans="1:22" ht="15.6" x14ac:dyDescent="0.3">
      <c r="A124" s="24"/>
      <c r="B124" s="25" t="s">
        <v>241</v>
      </c>
      <c r="C124" s="25"/>
      <c r="D124" s="25"/>
      <c r="E124" s="25"/>
      <c r="F124" s="25"/>
      <c r="G124" s="25"/>
      <c r="H124" s="25"/>
      <c r="I124" s="25"/>
      <c r="J124" s="25"/>
      <c r="K124" s="25"/>
      <c r="L124" s="25"/>
      <c r="M124" s="25"/>
      <c r="N124" s="25"/>
      <c r="O124" s="25"/>
      <c r="P124" s="25"/>
      <c r="Q124" s="25"/>
      <c r="R124" s="34">
        <v>-1102</v>
      </c>
      <c r="S124" s="34"/>
      <c r="T124" s="53"/>
      <c r="U124" s="25"/>
      <c r="V124" s="5"/>
    </row>
    <row r="125" spans="1:22" ht="15.6" x14ac:dyDescent="0.3">
      <c r="A125" s="24"/>
      <c r="B125" s="25" t="s">
        <v>237</v>
      </c>
      <c r="C125" s="25"/>
      <c r="D125" s="25"/>
      <c r="E125" s="25"/>
      <c r="F125" s="25"/>
      <c r="G125" s="25"/>
      <c r="H125" s="25"/>
      <c r="I125" s="25"/>
      <c r="J125" s="25"/>
      <c r="K125" s="25"/>
      <c r="L125" s="25"/>
      <c r="M125" s="25"/>
      <c r="N125" s="25"/>
      <c r="O125" s="25"/>
      <c r="P125" s="25"/>
      <c r="Q125" s="25"/>
      <c r="R125" s="34">
        <v>0</v>
      </c>
      <c r="S125" s="34"/>
      <c r="T125" s="53"/>
      <c r="U125" s="25"/>
      <c r="V125" s="5"/>
    </row>
    <row r="126" spans="1:22" ht="15.6" x14ac:dyDescent="0.3">
      <c r="A126" s="24"/>
      <c r="B126" s="25" t="s">
        <v>238</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239</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240</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43</v>
      </c>
      <c r="C129" s="25"/>
      <c r="D129" s="25"/>
      <c r="E129" s="25"/>
      <c r="F129" s="25"/>
      <c r="G129" s="25"/>
      <c r="H129" s="25"/>
      <c r="I129" s="25"/>
      <c r="J129" s="25"/>
      <c r="K129" s="25"/>
      <c r="L129" s="25"/>
      <c r="M129" s="25"/>
      <c r="N129" s="25"/>
      <c r="O129" s="25"/>
      <c r="P129" s="25"/>
      <c r="Q129" s="25"/>
      <c r="R129" s="34">
        <f>SUM(R119:R128)</f>
        <v>-23474</v>
      </c>
      <c r="S129" s="34"/>
      <c r="T129" s="34">
        <f>SUM(T98:T127)</f>
        <v>-10454</v>
      </c>
      <c r="U129" s="25"/>
      <c r="V129" s="5"/>
    </row>
    <row r="130" spans="1:22" ht="15.6" x14ac:dyDescent="0.3">
      <c r="A130" s="24"/>
      <c r="B130" s="25" t="s">
        <v>44</v>
      </c>
      <c r="C130" s="25"/>
      <c r="D130" s="25"/>
      <c r="E130" s="25"/>
      <c r="F130" s="25"/>
      <c r="G130" s="25"/>
      <c r="H130" s="25"/>
      <c r="I130" s="25"/>
      <c r="J130" s="25"/>
      <c r="K130" s="25"/>
      <c r="L130" s="25"/>
      <c r="M130" s="25"/>
      <c r="N130" s="25"/>
      <c r="O130" s="25"/>
      <c r="P130" s="25"/>
      <c r="Q130" s="25"/>
      <c r="R130" s="34">
        <f>R97+R129+R112</f>
        <v>0</v>
      </c>
      <c r="S130" s="34"/>
      <c r="T130" s="34">
        <f>T97+T129</f>
        <v>0</v>
      </c>
      <c r="U130" s="25"/>
      <c r="V130" s="5"/>
    </row>
    <row r="131" spans="1:22" ht="15.6" x14ac:dyDescent="0.3">
      <c r="A131" s="24"/>
      <c r="B131" s="25"/>
      <c r="C131" s="25"/>
      <c r="D131" s="25"/>
      <c r="E131" s="25"/>
      <c r="F131" s="25"/>
      <c r="G131" s="25"/>
      <c r="H131" s="25"/>
      <c r="I131" s="25"/>
      <c r="J131" s="25"/>
      <c r="K131" s="25"/>
      <c r="L131" s="25"/>
      <c r="M131" s="25"/>
      <c r="N131" s="25"/>
      <c r="O131" s="25"/>
      <c r="P131" s="25"/>
      <c r="Q131" s="25"/>
      <c r="R131" s="34"/>
      <c r="S131" s="34"/>
      <c r="T131" s="34"/>
      <c r="U131" s="25"/>
      <c r="V131" s="5"/>
    </row>
    <row r="132" spans="1:22" ht="15.6" x14ac:dyDescent="0.3">
      <c r="A132" s="6"/>
      <c r="B132" s="8"/>
      <c r="C132" s="8"/>
      <c r="D132" s="8"/>
      <c r="E132" s="8"/>
      <c r="F132" s="8"/>
      <c r="G132" s="8"/>
      <c r="H132" s="8"/>
      <c r="I132" s="8"/>
      <c r="J132" s="8"/>
      <c r="K132" s="8"/>
      <c r="L132" s="8"/>
      <c r="M132" s="8"/>
      <c r="N132" s="8"/>
      <c r="O132" s="8"/>
      <c r="P132" s="8"/>
      <c r="Q132" s="8"/>
      <c r="R132" s="8"/>
      <c r="S132" s="8"/>
      <c r="T132" s="52"/>
      <c r="U132" s="8"/>
      <c r="V132" s="5"/>
    </row>
    <row r="133" spans="1:22" ht="18" thickBot="1" x14ac:dyDescent="0.35">
      <c r="A133" s="102"/>
      <c r="B133" s="103" t="str">
        <f>B61</f>
        <v>PM9 INVESTOR REPORT QUARTER ENDING JANUARY 2007</v>
      </c>
      <c r="C133" s="104"/>
      <c r="D133" s="104"/>
      <c r="E133" s="104"/>
      <c r="F133" s="104"/>
      <c r="G133" s="104"/>
      <c r="H133" s="104"/>
      <c r="I133" s="104"/>
      <c r="J133" s="104"/>
      <c r="K133" s="104"/>
      <c r="L133" s="104"/>
      <c r="M133" s="104"/>
      <c r="N133" s="104"/>
      <c r="O133" s="104"/>
      <c r="P133" s="104"/>
      <c r="Q133" s="104"/>
      <c r="R133" s="104"/>
      <c r="S133" s="104"/>
      <c r="T133" s="107"/>
      <c r="U133" s="106"/>
      <c r="V133" s="5"/>
    </row>
    <row r="134" spans="1:22" ht="15.6" x14ac:dyDescent="0.3">
      <c r="A134" s="2"/>
      <c r="B134" s="60" t="s">
        <v>45</v>
      </c>
      <c r="C134" s="4"/>
      <c r="D134" s="4"/>
      <c r="E134" s="4"/>
      <c r="F134" s="4"/>
      <c r="G134" s="4"/>
      <c r="H134" s="4"/>
      <c r="I134" s="4"/>
      <c r="J134" s="4"/>
      <c r="K134" s="4"/>
      <c r="L134" s="4"/>
      <c r="M134" s="4"/>
      <c r="N134" s="4"/>
      <c r="O134" s="4"/>
      <c r="P134" s="4"/>
      <c r="Q134" s="4"/>
      <c r="R134" s="4"/>
      <c r="S134" s="4"/>
      <c r="T134" s="50"/>
      <c r="U134" s="4"/>
      <c r="V134" s="5"/>
    </row>
    <row r="135" spans="1:22" ht="15.6" x14ac:dyDescent="0.3">
      <c r="A135" s="6"/>
      <c r="B135" s="21"/>
      <c r="C135" s="8"/>
      <c r="D135" s="8"/>
      <c r="E135" s="8"/>
      <c r="F135" s="8"/>
      <c r="G135" s="8"/>
      <c r="H135" s="8"/>
      <c r="I135" s="8"/>
      <c r="J135" s="8"/>
      <c r="K135" s="8"/>
      <c r="L135" s="8"/>
      <c r="M135" s="8"/>
      <c r="N135" s="8"/>
      <c r="O135" s="8"/>
      <c r="P135" s="8"/>
      <c r="Q135" s="8"/>
      <c r="R135" s="8"/>
      <c r="S135" s="8"/>
      <c r="T135" s="52"/>
      <c r="U135" s="8"/>
      <c r="V135" s="5"/>
    </row>
    <row r="136" spans="1:22" ht="15.6" x14ac:dyDescent="0.3">
      <c r="A136" s="6"/>
      <c r="B136" s="120" t="s">
        <v>46</v>
      </c>
      <c r="C136" s="8"/>
      <c r="D136" s="8"/>
      <c r="E136" s="8"/>
      <c r="F136" s="8"/>
      <c r="G136" s="8"/>
      <c r="H136" s="8"/>
      <c r="I136" s="8"/>
      <c r="J136" s="8"/>
      <c r="K136" s="8"/>
      <c r="L136" s="8"/>
      <c r="M136" s="8"/>
      <c r="N136" s="8"/>
      <c r="O136" s="8"/>
      <c r="P136" s="8"/>
      <c r="Q136" s="8"/>
      <c r="R136" s="8"/>
      <c r="S136" s="8"/>
      <c r="T136" s="52"/>
      <c r="U136" s="8"/>
      <c r="V136" s="5"/>
    </row>
    <row r="137" spans="1:22" ht="15.6" x14ac:dyDescent="0.3">
      <c r="A137" s="24"/>
      <c r="B137" s="25" t="s">
        <v>47</v>
      </c>
      <c r="C137" s="25"/>
      <c r="D137" s="25"/>
      <c r="E137" s="25"/>
      <c r="F137" s="25"/>
      <c r="G137" s="25"/>
      <c r="H137" s="25"/>
      <c r="I137" s="25"/>
      <c r="J137" s="25"/>
      <c r="K137" s="25"/>
      <c r="L137" s="25"/>
      <c r="M137" s="25"/>
      <c r="N137" s="25"/>
      <c r="O137" s="25"/>
      <c r="P137" s="25"/>
      <c r="Q137" s="25"/>
      <c r="R137" s="25"/>
      <c r="S137" s="25"/>
      <c r="T137" s="53">
        <f>+T32*0.0176</f>
        <v>12320</v>
      </c>
      <c r="U137" s="25"/>
      <c r="V137" s="5"/>
    </row>
    <row r="138" spans="1:22" ht="15.6" x14ac:dyDescent="0.3">
      <c r="A138" s="24"/>
      <c r="B138" s="25" t="s">
        <v>48</v>
      </c>
      <c r="C138" s="25"/>
      <c r="D138" s="25"/>
      <c r="E138" s="25"/>
      <c r="F138" s="25"/>
      <c r="G138" s="25"/>
      <c r="H138" s="25"/>
      <c r="I138" s="25"/>
      <c r="J138" s="25"/>
      <c r="K138" s="25"/>
      <c r="L138" s="25"/>
      <c r="M138" s="25"/>
      <c r="N138" s="25"/>
      <c r="O138" s="25"/>
      <c r="P138" s="25"/>
      <c r="Q138" s="25"/>
      <c r="R138" s="25"/>
      <c r="S138" s="25"/>
      <c r="T138" s="53">
        <v>12320</v>
      </c>
      <c r="U138" s="25"/>
      <c r="V138" s="5"/>
    </row>
    <row r="139" spans="1:22" ht="15.6" x14ac:dyDescent="0.3">
      <c r="A139" s="24"/>
      <c r="B139" s="25" t="s">
        <v>145</v>
      </c>
      <c r="C139" s="25"/>
      <c r="D139" s="25"/>
      <c r="E139" s="25"/>
      <c r="F139" s="25"/>
      <c r="G139" s="25"/>
      <c r="H139" s="25"/>
      <c r="I139" s="25"/>
      <c r="J139" s="25"/>
      <c r="K139" s="25"/>
      <c r="L139" s="25"/>
      <c r="M139" s="25"/>
      <c r="N139" s="25"/>
      <c r="O139" s="25"/>
      <c r="P139" s="25"/>
      <c r="Q139" s="25"/>
      <c r="R139" s="25"/>
      <c r="S139" s="25"/>
      <c r="T139" s="53">
        <v>0</v>
      </c>
      <c r="U139" s="25"/>
      <c r="V139" s="5"/>
    </row>
    <row r="140" spans="1:22" ht="15.6" x14ac:dyDescent="0.3">
      <c r="A140" s="24"/>
      <c r="B140" s="25" t="s">
        <v>132</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133</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232</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49</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138</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231</v>
      </c>
      <c r="C145" s="25"/>
      <c r="D145" s="25"/>
      <c r="E145" s="25"/>
      <c r="F145" s="25"/>
      <c r="G145" s="25"/>
      <c r="H145" s="25"/>
      <c r="I145" s="25"/>
      <c r="J145" s="25"/>
      <c r="K145" s="25"/>
      <c r="L145" s="25"/>
      <c r="M145" s="25"/>
      <c r="N145" s="25"/>
      <c r="O145" s="25"/>
      <c r="P145" s="25"/>
      <c r="Q145" s="25"/>
      <c r="R145" s="25"/>
      <c r="S145" s="25"/>
      <c r="T145" s="53">
        <v>0</v>
      </c>
      <c r="U145" s="25"/>
      <c r="V145" s="5"/>
      <c r="W145" s="110"/>
    </row>
    <row r="146" spans="1:23" ht="15.6" x14ac:dyDescent="0.3">
      <c r="A146" s="24"/>
      <c r="B146" s="25" t="s">
        <v>50</v>
      </c>
      <c r="C146" s="25"/>
      <c r="D146" s="25"/>
      <c r="E146" s="25"/>
      <c r="F146" s="25"/>
      <c r="G146" s="25"/>
      <c r="H146" s="25"/>
      <c r="I146" s="25"/>
      <c r="J146" s="25"/>
      <c r="K146" s="25"/>
      <c r="L146" s="25"/>
      <c r="M146" s="25"/>
      <c r="N146" s="25"/>
      <c r="O146" s="25"/>
      <c r="P146" s="25"/>
      <c r="Q146" s="25"/>
      <c r="R146" s="25"/>
      <c r="S146" s="25"/>
      <c r="T146" s="53">
        <f>SUM(T138:T145)</f>
        <v>12320</v>
      </c>
      <c r="U146" s="25"/>
      <c r="V146" s="5"/>
    </row>
    <row r="147" spans="1:23" ht="15.6" x14ac:dyDescent="0.3">
      <c r="A147" s="24"/>
      <c r="B147" s="25"/>
      <c r="C147" s="25"/>
      <c r="D147" s="25"/>
      <c r="E147" s="25"/>
      <c r="F147" s="25"/>
      <c r="G147" s="25"/>
      <c r="H147" s="25"/>
      <c r="I147" s="25"/>
      <c r="J147" s="25"/>
      <c r="K147" s="25"/>
      <c r="L147" s="25"/>
      <c r="M147" s="25"/>
      <c r="N147" s="25"/>
      <c r="O147" s="25"/>
      <c r="P147" s="25"/>
      <c r="Q147" s="25"/>
      <c r="R147" s="25"/>
      <c r="S147" s="25"/>
      <c r="T147" s="53"/>
      <c r="U147" s="25"/>
      <c r="V147" s="5"/>
    </row>
    <row r="148" spans="1:23" ht="15.6" x14ac:dyDescent="0.3">
      <c r="A148" s="24"/>
      <c r="B148" s="141" t="s">
        <v>264</v>
      </c>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25" t="s">
        <v>170</v>
      </c>
      <c r="C149" s="25"/>
      <c r="D149" s="25"/>
      <c r="E149" s="25"/>
      <c r="F149" s="25"/>
      <c r="G149" s="25"/>
      <c r="H149" s="25"/>
      <c r="I149" s="25"/>
      <c r="J149" s="25"/>
      <c r="K149" s="25"/>
      <c r="L149" s="25"/>
      <c r="M149" s="25"/>
      <c r="N149" s="25"/>
      <c r="O149" s="25"/>
      <c r="P149" s="25"/>
      <c r="Q149" s="25"/>
      <c r="R149" s="25"/>
      <c r="S149" s="25"/>
      <c r="T149" s="53">
        <v>10000</v>
      </c>
      <c r="U149" s="25"/>
      <c r="V149" s="5"/>
    </row>
    <row r="150" spans="1:23" ht="15.6" x14ac:dyDescent="0.3">
      <c r="A150" s="24"/>
      <c r="B150" s="25" t="s">
        <v>260</v>
      </c>
      <c r="C150" s="25"/>
      <c r="D150" s="25"/>
      <c r="E150" s="25"/>
      <c r="F150" s="25"/>
      <c r="G150" s="25"/>
      <c r="H150" s="25"/>
      <c r="I150" s="25"/>
      <c r="J150" s="25"/>
      <c r="K150" s="25"/>
      <c r="L150" s="25"/>
      <c r="M150" s="25"/>
      <c r="N150" s="25"/>
      <c r="O150" s="25"/>
      <c r="P150" s="25"/>
      <c r="Q150" s="25"/>
      <c r="R150" s="25"/>
      <c r="S150" s="25"/>
      <c r="T150" s="53">
        <v>7347</v>
      </c>
      <c r="U150" s="25"/>
      <c r="V150" s="5"/>
    </row>
    <row r="151" spans="1:23" ht="15.6" x14ac:dyDescent="0.3">
      <c r="A151" s="24"/>
      <c r="B151" s="25" t="s">
        <v>228</v>
      </c>
      <c r="C151" s="25"/>
      <c r="D151" s="25"/>
      <c r="E151" s="25"/>
      <c r="F151" s="25"/>
      <c r="G151" s="25"/>
      <c r="H151" s="25"/>
      <c r="I151" s="25"/>
      <c r="J151" s="25"/>
      <c r="K151" s="25"/>
      <c r="L151" s="25"/>
      <c r="M151" s="25"/>
      <c r="N151" s="25"/>
      <c r="O151" s="25"/>
      <c r="P151" s="25"/>
      <c r="Q151" s="25"/>
      <c r="R151" s="25"/>
      <c r="S151" s="25"/>
      <c r="T151" s="53">
        <v>0</v>
      </c>
      <c r="U151" s="25"/>
      <c r="V151" s="5"/>
    </row>
    <row r="152" spans="1:23" ht="15.6" x14ac:dyDescent="0.3">
      <c r="A152" s="24"/>
      <c r="B152" s="25" t="s">
        <v>266</v>
      </c>
      <c r="C152" s="25"/>
      <c r="D152" s="25"/>
      <c r="E152" s="25"/>
      <c r="F152" s="25"/>
      <c r="G152" s="25"/>
      <c r="H152" s="25"/>
      <c r="I152" s="25"/>
      <c r="J152" s="25"/>
      <c r="K152" s="25"/>
      <c r="L152" s="25"/>
      <c r="M152" s="25"/>
      <c r="N152" s="25"/>
      <c r="O152" s="25"/>
      <c r="P152" s="25"/>
      <c r="Q152" s="25"/>
      <c r="R152" s="25"/>
      <c r="S152" s="25"/>
      <c r="T152" s="53">
        <v>6810</v>
      </c>
      <c r="U152" s="25"/>
      <c r="V152" s="5"/>
    </row>
    <row r="153" spans="1:23" ht="15.6" x14ac:dyDescent="0.3">
      <c r="A153" s="24"/>
      <c r="B153" s="25"/>
      <c r="C153" s="25"/>
      <c r="D153" s="25"/>
      <c r="E153" s="25"/>
      <c r="F153" s="25"/>
      <c r="G153" s="25"/>
      <c r="H153" s="25"/>
      <c r="I153" s="25"/>
      <c r="J153" s="25"/>
      <c r="K153" s="25"/>
      <c r="L153" s="25"/>
      <c r="M153" s="25"/>
      <c r="N153" s="25"/>
      <c r="O153" s="25"/>
      <c r="P153" s="25"/>
      <c r="Q153" s="25"/>
      <c r="R153" s="25"/>
      <c r="S153" s="25"/>
      <c r="T153" s="53"/>
      <c r="U153" s="25"/>
      <c r="V153" s="5"/>
    </row>
    <row r="154" spans="1:23" ht="15.6" x14ac:dyDescent="0.3">
      <c r="A154" s="24"/>
      <c r="B154" s="25"/>
      <c r="C154" s="25"/>
      <c r="D154" s="25"/>
      <c r="E154" s="25"/>
      <c r="F154" s="25"/>
      <c r="G154" s="25"/>
      <c r="H154" s="25"/>
      <c r="I154" s="25"/>
      <c r="J154" s="25"/>
      <c r="K154" s="25"/>
      <c r="L154" s="25"/>
      <c r="M154" s="25"/>
      <c r="N154" s="25"/>
      <c r="O154" s="25"/>
      <c r="P154" s="25"/>
      <c r="Q154" s="25"/>
      <c r="R154" s="25"/>
      <c r="S154" s="25"/>
      <c r="T154" s="61"/>
      <c r="U154" s="25"/>
      <c r="V154" s="5"/>
    </row>
    <row r="155" spans="1:23" ht="15.6" x14ac:dyDescent="0.3">
      <c r="A155" s="6"/>
      <c r="B155" s="120" t="s">
        <v>25</v>
      </c>
      <c r="C155" s="8"/>
      <c r="D155" s="8"/>
      <c r="E155" s="8"/>
      <c r="F155" s="8"/>
      <c r="G155" s="8"/>
      <c r="H155" s="8"/>
      <c r="I155" s="8"/>
      <c r="J155" s="8"/>
      <c r="K155" s="8"/>
      <c r="L155" s="8"/>
      <c r="M155" s="8"/>
      <c r="N155" s="8"/>
      <c r="O155" s="8"/>
      <c r="P155" s="8"/>
      <c r="Q155" s="8"/>
      <c r="R155" s="8"/>
      <c r="S155" s="8"/>
      <c r="T155" s="52"/>
      <c r="U155" s="8"/>
      <c r="V155" s="5"/>
    </row>
    <row r="156" spans="1:23" ht="15.6" x14ac:dyDescent="0.3">
      <c r="A156" s="24"/>
      <c r="B156" s="25" t="s">
        <v>51</v>
      </c>
      <c r="C156" s="25"/>
      <c r="D156" s="25"/>
      <c r="E156" s="25"/>
      <c r="F156" s="25"/>
      <c r="G156" s="25"/>
      <c r="H156" s="25"/>
      <c r="I156" s="25"/>
      <c r="J156" s="25"/>
      <c r="K156" s="25"/>
      <c r="L156" s="25"/>
      <c r="M156" s="25"/>
      <c r="N156" s="25"/>
      <c r="O156" s="25"/>
      <c r="P156" s="25"/>
      <c r="Q156" s="25"/>
      <c r="R156" s="25"/>
      <c r="S156" s="25"/>
      <c r="T156" s="59" t="s">
        <v>127</v>
      </c>
      <c r="U156" s="25"/>
      <c r="V156" s="5"/>
    </row>
    <row r="157" spans="1:23" ht="15.6" x14ac:dyDescent="0.3">
      <c r="A157" s="24"/>
      <c r="B157" s="25" t="s">
        <v>52</v>
      </c>
      <c r="C157" s="160"/>
      <c r="D157" s="160"/>
      <c r="E157" s="160"/>
      <c r="F157" s="160"/>
      <c r="G157" s="160"/>
      <c r="H157" s="160"/>
      <c r="I157" s="160"/>
      <c r="J157" s="160"/>
      <c r="K157" s="160"/>
      <c r="L157" s="160"/>
      <c r="M157" s="160"/>
      <c r="N157" s="160"/>
      <c r="O157" s="160"/>
      <c r="P157" s="160"/>
      <c r="Q157" s="160"/>
      <c r="R157" s="160"/>
      <c r="S157" s="160"/>
      <c r="T157" s="59" t="s">
        <v>127</v>
      </c>
      <c r="U157" s="25"/>
      <c r="V157" s="5"/>
    </row>
    <row r="158" spans="1:23" ht="15.6" x14ac:dyDescent="0.3">
      <c r="A158" s="24"/>
      <c r="B158" s="25" t="s">
        <v>53</v>
      </c>
      <c r="C158" s="25"/>
      <c r="D158" s="25"/>
      <c r="E158" s="25"/>
      <c r="F158" s="25"/>
      <c r="G158" s="25"/>
      <c r="H158" s="25"/>
      <c r="I158" s="25"/>
      <c r="J158" s="25"/>
      <c r="K158" s="25"/>
      <c r="L158" s="25"/>
      <c r="M158" s="25"/>
      <c r="N158" s="25"/>
      <c r="O158" s="25"/>
      <c r="P158" s="25"/>
      <c r="Q158" s="25"/>
      <c r="R158" s="25"/>
      <c r="S158" s="25"/>
      <c r="T158" s="59" t="s">
        <v>127</v>
      </c>
      <c r="U158" s="25"/>
      <c r="V158" s="5"/>
    </row>
    <row r="159" spans="1:23" ht="15.6" x14ac:dyDescent="0.3">
      <c r="A159" s="24"/>
      <c r="B159" s="25" t="s">
        <v>54</v>
      </c>
      <c r="C159" s="25"/>
      <c r="D159" s="25"/>
      <c r="E159" s="25"/>
      <c r="F159" s="25"/>
      <c r="G159" s="25"/>
      <c r="H159" s="25"/>
      <c r="I159" s="25"/>
      <c r="J159" s="25"/>
      <c r="K159" s="25"/>
      <c r="L159" s="25"/>
      <c r="M159" s="25"/>
      <c r="N159" s="25"/>
      <c r="O159" s="25"/>
      <c r="P159" s="25"/>
      <c r="Q159" s="25"/>
      <c r="R159" s="25"/>
      <c r="S159" s="25"/>
      <c r="T159" s="59" t="s">
        <v>127</v>
      </c>
      <c r="U159" s="25"/>
      <c r="V159" s="5"/>
    </row>
    <row r="160" spans="1:23" ht="15.6" x14ac:dyDescent="0.3">
      <c r="A160" s="24"/>
      <c r="B160" s="25"/>
      <c r="C160" s="25"/>
      <c r="D160" s="25"/>
      <c r="E160" s="25"/>
      <c r="F160" s="25"/>
      <c r="G160" s="25"/>
      <c r="H160" s="25"/>
      <c r="I160" s="25"/>
      <c r="J160" s="25"/>
      <c r="K160" s="25"/>
      <c r="L160" s="25"/>
      <c r="M160" s="25"/>
      <c r="N160" s="25"/>
      <c r="O160" s="25"/>
      <c r="P160" s="25"/>
      <c r="Q160" s="25"/>
      <c r="R160" s="25"/>
      <c r="S160" s="25"/>
      <c r="T160" s="61"/>
      <c r="U160" s="25"/>
      <c r="V160" s="5"/>
    </row>
    <row r="161" spans="1:22" ht="15.6" x14ac:dyDescent="0.3">
      <c r="A161" s="6"/>
      <c r="B161" s="120" t="s">
        <v>55</v>
      </c>
      <c r="C161" s="8"/>
      <c r="D161" s="8"/>
      <c r="E161" s="8"/>
      <c r="F161" s="8"/>
      <c r="G161" s="8"/>
      <c r="H161" s="8"/>
      <c r="I161" s="8"/>
      <c r="J161" s="8"/>
      <c r="K161" s="8"/>
      <c r="L161" s="8"/>
      <c r="M161" s="8"/>
      <c r="N161" s="8"/>
      <c r="O161" s="8"/>
      <c r="P161" s="8"/>
      <c r="Q161" s="8"/>
      <c r="R161" s="8"/>
      <c r="S161" s="8"/>
      <c r="T161" s="63"/>
      <c r="U161" s="8"/>
      <c r="V161" s="5"/>
    </row>
    <row r="162" spans="1:22" ht="15.6" x14ac:dyDescent="0.3">
      <c r="A162" s="24"/>
      <c r="B162" s="25" t="s">
        <v>56</v>
      </c>
      <c r="C162" s="25"/>
      <c r="D162" s="25"/>
      <c r="E162" s="25"/>
      <c r="F162" s="25"/>
      <c r="G162" s="25"/>
      <c r="H162" s="25"/>
      <c r="I162" s="25"/>
      <c r="J162" s="25"/>
      <c r="K162" s="25"/>
      <c r="L162" s="25"/>
      <c r="M162" s="25"/>
      <c r="N162" s="25"/>
      <c r="O162" s="25"/>
      <c r="P162" s="25"/>
      <c r="Q162" s="25"/>
      <c r="R162" s="25"/>
      <c r="S162" s="25"/>
      <c r="T162" s="53">
        <v>0</v>
      </c>
      <c r="U162" s="25"/>
      <c r="V162" s="5"/>
    </row>
    <row r="163" spans="1:22" ht="15.6" x14ac:dyDescent="0.3">
      <c r="A163" s="24"/>
      <c r="B163" s="25" t="s">
        <v>57</v>
      </c>
      <c r="C163" s="25"/>
      <c r="D163" s="25"/>
      <c r="E163" s="25"/>
      <c r="F163" s="25"/>
      <c r="G163" s="25"/>
      <c r="H163" s="25"/>
      <c r="I163" s="25"/>
      <c r="J163" s="25"/>
      <c r="K163" s="25"/>
      <c r="L163" s="25"/>
      <c r="M163" s="25"/>
      <c r="N163" s="25"/>
      <c r="O163" s="25"/>
      <c r="P163" s="25"/>
      <c r="Q163" s="25"/>
      <c r="R163" s="25"/>
      <c r="S163" s="25"/>
      <c r="T163" s="53">
        <f>-T112</f>
        <v>69</v>
      </c>
      <c r="U163" s="25"/>
      <c r="V163" s="5"/>
    </row>
    <row r="164" spans="1:22" ht="15.6" x14ac:dyDescent="0.3">
      <c r="A164" s="24"/>
      <c r="B164" s="25" t="s">
        <v>58</v>
      </c>
      <c r="C164" s="25"/>
      <c r="D164" s="25"/>
      <c r="E164" s="25"/>
      <c r="F164" s="25"/>
      <c r="G164" s="25"/>
      <c r="H164" s="25"/>
      <c r="I164" s="25"/>
      <c r="J164" s="25"/>
      <c r="K164" s="25"/>
      <c r="L164" s="25"/>
      <c r="M164" s="25"/>
      <c r="N164" s="25"/>
      <c r="O164" s="25"/>
      <c r="P164" s="25"/>
      <c r="Q164" s="25"/>
      <c r="R164" s="25"/>
      <c r="S164" s="25"/>
      <c r="T164" s="53">
        <f>T163+T162</f>
        <v>69</v>
      </c>
      <c r="U164" s="25"/>
      <c r="V164" s="5"/>
    </row>
    <row r="165" spans="1:22" ht="15.6" x14ac:dyDescent="0.3">
      <c r="A165" s="24"/>
      <c r="B165" s="25" t="s">
        <v>309</v>
      </c>
      <c r="C165" s="25"/>
      <c r="D165" s="25"/>
      <c r="E165" s="25"/>
      <c r="F165" s="25"/>
      <c r="G165" s="25"/>
      <c r="H165" s="25"/>
      <c r="I165" s="25"/>
      <c r="J165" s="25"/>
      <c r="K165" s="25"/>
      <c r="L165" s="25"/>
      <c r="M165" s="25"/>
      <c r="N165" s="25"/>
      <c r="O165" s="25"/>
      <c r="P165" s="25"/>
      <c r="Q165" s="25"/>
      <c r="R165" s="25"/>
      <c r="S165" s="25"/>
      <c r="T165" s="53">
        <f>T112</f>
        <v>-69</v>
      </c>
      <c r="U165" s="25"/>
      <c r="V165" s="5"/>
    </row>
    <row r="166" spans="1:22" ht="15.6" x14ac:dyDescent="0.3">
      <c r="A166" s="24"/>
      <c r="B166" s="25" t="s">
        <v>59</v>
      </c>
      <c r="C166" s="25"/>
      <c r="D166" s="25"/>
      <c r="E166" s="25"/>
      <c r="F166" s="25"/>
      <c r="G166" s="25"/>
      <c r="H166" s="25"/>
      <c r="I166" s="25"/>
      <c r="J166" s="25"/>
      <c r="K166" s="25"/>
      <c r="L166" s="25"/>
      <c r="M166" s="25"/>
      <c r="N166" s="25"/>
      <c r="O166" s="25"/>
      <c r="P166" s="25"/>
      <c r="Q166" s="25"/>
      <c r="R166" s="25"/>
      <c r="S166" s="25"/>
      <c r="T166" s="53">
        <f>T164+T165</f>
        <v>0</v>
      </c>
      <c r="U166" s="25"/>
      <c r="V166" s="5"/>
    </row>
    <row r="167" spans="1:22" ht="16.2" thickBot="1" x14ac:dyDescent="0.35">
      <c r="A167" s="24"/>
      <c r="B167" s="25"/>
      <c r="C167" s="25"/>
      <c r="D167" s="25"/>
      <c r="E167" s="25"/>
      <c r="F167" s="25"/>
      <c r="G167" s="25"/>
      <c r="H167" s="25"/>
      <c r="I167" s="25"/>
      <c r="J167" s="25"/>
      <c r="K167" s="25"/>
      <c r="L167" s="25"/>
      <c r="M167" s="25"/>
      <c r="N167" s="25"/>
      <c r="O167" s="25"/>
      <c r="P167" s="25"/>
      <c r="Q167" s="25"/>
      <c r="R167" s="25"/>
      <c r="S167" s="25"/>
      <c r="T167" s="61"/>
      <c r="U167" s="25"/>
      <c r="V167" s="5"/>
    </row>
    <row r="168" spans="1:22" ht="15.6" x14ac:dyDescent="0.3">
      <c r="A168" s="2"/>
      <c r="B168" s="4"/>
      <c r="C168" s="4"/>
      <c r="D168" s="4"/>
      <c r="E168" s="4"/>
      <c r="F168" s="4"/>
      <c r="G168" s="4"/>
      <c r="H168" s="4"/>
      <c r="I168" s="4"/>
      <c r="J168" s="4"/>
      <c r="K168" s="4"/>
      <c r="L168" s="4"/>
      <c r="M168" s="4"/>
      <c r="N168" s="4"/>
      <c r="O168" s="4"/>
      <c r="P168" s="4"/>
      <c r="Q168" s="4"/>
      <c r="R168" s="4"/>
      <c r="S168" s="4"/>
      <c r="T168" s="50"/>
      <c r="U168" s="4"/>
      <c r="V168" s="5"/>
    </row>
    <row r="169" spans="1:22" ht="15.6" x14ac:dyDescent="0.3">
      <c r="A169" s="6"/>
      <c r="B169" s="120" t="s">
        <v>60</v>
      </c>
      <c r="C169" s="8"/>
      <c r="D169" s="8"/>
      <c r="E169" s="8"/>
      <c r="F169" s="8"/>
      <c r="G169" s="8"/>
      <c r="H169" s="8"/>
      <c r="I169" s="8"/>
      <c r="J169" s="8"/>
      <c r="K169" s="8"/>
      <c r="L169" s="8"/>
      <c r="M169" s="8"/>
      <c r="N169" s="8"/>
      <c r="O169" s="8"/>
      <c r="P169" s="8"/>
      <c r="Q169" s="8"/>
      <c r="R169" s="8"/>
      <c r="S169" s="8"/>
      <c r="T169" s="52"/>
      <c r="U169" s="8"/>
      <c r="V169" s="5"/>
    </row>
    <row r="170" spans="1:22" ht="15.6" x14ac:dyDescent="0.3">
      <c r="A170" s="6"/>
      <c r="B170" s="21"/>
      <c r="C170" s="8"/>
      <c r="D170" s="8"/>
      <c r="E170" s="8"/>
      <c r="F170" s="8"/>
      <c r="G170" s="8"/>
      <c r="H170" s="8"/>
      <c r="I170" s="8"/>
      <c r="J170" s="8"/>
      <c r="K170" s="8"/>
      <c r="L170" s="8"/>
      <c r="M170" s="8"/>
      <c r="N170" s="8"/>
      <c r="O170" s="8"/>
      <c r="P170" s="8"/>
      <c r="Q170" s="8"/>
      <c r="R170" s="8"/>
      <c r="S170" s="8"/>
      <c r="T170" s="52"/>
      <c r="U170" s="8"/>
      <c r="V170" s="5"/>
    </row>
    <row r="171" spans="1:22" ht="15.6" x14ac:dyDescent="0.3">
      <c r="A171" s="24"/>
      <c r="B171" s="25" t="s">
        <v>61</v>
      </c>
      <c r="C171" s="25"/>
      <c r="D171" s="25"/>
      <c r="E171" s="25"/>
      <c r="F171" s="25"/>
      <c r="G171" s="25"/>
      <c r="H171" s="25"/>
      <c r="I171" s="25"/>
      <c r="J171" s="25"/>
      <c r="K171" s="25"/>
      <c r="L171" s="25"/>
      <c r="M171" s="25"/>
      <c r="N171" s="25"/>
      <c r="O171" s="25"/>
      <c r="P171" s="25"/>
      <c r="Q171" s="25"/>
      <c r="R171" s="25"/>
      <c r="S171" s="25"/>
      <c r="T171" s="53">
        <f>T69</f>
        <v>591853</v>
      </c>
      <c r="U171" s="25"/>
      <c r="V171" s="5"/>
    </row>
    <row r="172" spans="1:22" ht="15.6" x14ac:dyDescent="0.3">
      <c r="A172" s="24"/>
      <c r="B172" s="25" t="s">
        <v>62</v>
      </c>
      <c r="C172" s="25"/>
      <c r="D172" s="25"/>
      <c r="E172" s="25"/>
      <c r="F172" s="25"/>
      <c r="G172" s="25"/>
      <c r="H172" s="25"/>
      <c r="I172" s="25"/>
      <c r="J172" s="25"/>
      <c r="K172" s="25"/>
      <c r="L172" s="25"/>
      <c r="M172" s="25"/>
      <c r="N172" s="25"/>
      <c r="O172" s="25"/>
      <c r="P172" s="25"/>
      <c r="Q172" s="25"/>
      <c r="R172" s="25"/>
      <c r="S172" s="25"/>
      <c r="T172" s="53">
        <f>T82</f>
        <v>591853</v>
      </c>
      <c r="U172" s="25"/>
      <c r="V172" s="5"/>
    </row>
    <row r="173" spans="1:22" ht="16.2" thickBot="1" x14ac:dyDescent="0.35">
      <c r="A173" s="24"/>
      <c r="B173" s="25"/>
      <c r="C173" s="25"/>
      <c r="D173" s="25"/>
      <c r="E173" s="25"/>
      <c r="F173" s="25"/>
      <c r="G173" s="25"/>
      <c r="H173" s="25"/>
      <c r="I173" s="25"/>
      <c r="J173" s="25"/>
      <c r="K173" s="25"/>
      <c r="L173" s="25"/>
      <c r="M173" s="25"/>
      <c r="N173" s="25"/>
      <c r="O173" s="25"/>
      <c r="P173" s="25"/>
      <c r="Q173" s="25"/>
      <c r="R173" s="25"/>
      <c r="S173" s="25"/>
      <c r="T173" s="61"/>
      <c r="U173" s="25"/>
      <c r="V173" s="5"/>
    </row>
    <row r="174" spans="1:22" ht="15.6" x14ac:dyDescent="0.3">
      <c r="A174" s="2"/>
      <c r="B174" s="4"/>
      <c r="C174" s="4"/>
      <c r="D174" s="4"/>
      <c r="E174" s="4"/>
      <c r="F174" s="4"/>
      <c r="G174" s="4"/>
      <c r="H174" s="4"/>
      <c r="I174" s="4"/>
      <c r="J174" s="4"/>
      <c r="K174" s="4"/>
      <c r="L174" s="4"/>
      <c r="M174" s="4"/>
      <c r="N174" s="4"/>
      <c r="O174" s="4"/>
      <c r="P174" s="4"/>
      <c r="Q174" s="4"/>
      <c r="R174" s="4"/>
      <c r="S174" s="4"/>
      <c r="T174" s="50"/>
      <c r="U174" s="4"/>
      <c r="V174" s="5"/>
    </row>
    <row r="175" spans="1:22" ht="15.6" x14ac:dyDescent="0.3">
      <c r="A175" s="6"/>
      <c r="B175" s="120" t="s">
        <v>63</v>
      </c>
      <c r="C175" s="118"/>
      <c r="D175" s="118"/>
      <c r="E175" s="118"/>
      <c r="F175" s="118"/>
      <c r="G175" s="118"/>
      <c r="H175" s="121"/>
      <c r="I175" s="121"/>
      <c r="J175" s="121"/>
      <c r="K175" s="121"/>
      <c r="L175" s="121"/>
      <c r="M175" s="121"/>
      <c r="N175" s="121"/>
      <c r="O175" s="121"/>
      <c r="P175" s="121"/>
      <c r="Q175" s="121" t="s">
        <v>107</v>
      </c>
      <c r="R175" s="121" t="s">
        <v>234</v>
      </c>
      <c r="S175" s="112"/>
      <c r="T175" s="122" t="s">
        <v>123</v>
      </c>
      <c r="U175" s="10"/>
      <c r="V175" s="5"/>
    </row>
    <row r="176" spans="1:22" ht="15.6" x14ac:dyDescent="0.3">
      <c r="A176" s="24"/>
      <c r="B176" s="25" t="s">
        <v>64</v>
      </c>
      <c r="C176" s="25"/>
      <c r="D176" s="25"/>
      <c r="E176" s="25"/>
      <c r="F176" s="25"/>
      <c r="G176" s="25"/>
      <c r="H176" s="25"/>
      <c r="I176" s="25"/>
      <c r="J176" s="25"/>
      <c r="K176" s="25"/>
      <c r="L176" s="25"/>
      <c r="M176" s="25"/>
      <c r="N176" s="25"/>
      <c r="O176" s="25"/>
      <c r="P176" s="25"/>
      <c r="Q176" s="53">
        <v>112000</v>
      </c>
      <c r="R176" s="40"/>
      <c r="S176" s="25"/>
      <c r="T176" s="53"/>
      <c r="U176" s="25"/>
      <c r="V176" s="5"/>
    </row>
    <row r="177" spans="1:22" ht="15.6" x14ac:dyDescent="0.3">
      <c r="A177" s="24"/>
      <c r="B177" s="25" t="s">
        <v>65</v>
      </c>
      <c r="C177" s="25"/>
      <c r="D177" s="25"/>
      <c r="E177" s="25"/>
      <c r="F177" s="25"/>
      <c r="G177" s="25"/>
      <c r="H177" s="25"/>
      <c r="I177" s="25"/>
      <c r="J177" s="25"/>
      <c r="K177" s="25"/>
      <c r="L177" s="25"/>
      <c r="M177" s="25"/>
      <c r="N177" s="25"/>
      <c r="O177" s="25"/>
      <c r="P177" s="25"/>
      <c r="Q177" s="53">
        <f>'Oct 06'!Q178</f>
        <v>21875</v>
      </c>
      <c r="R177" s="53">
        <f>'Oct 06'!R178</f>
        <v>1985</v>
      </c>
      <c r="S177" s="25"/>
      <c r="T177" s="53">
        <f>Q177+R177</f>
        <v>23860</v>
      </c>
      <c r="U177" s="25"/>
      <c r="V177" s="5"/>
    </row>
    <row r="178" spans="1:22" ht="15.6" x14ac:dyDescent="0.3">
      <c r="A178" s="24"/>
      <c r="B178" s="25" t="s">
        <v>66</v>
      </c>
      <c r="C178" s="25"/>
      <c r="D178" s="25"/>
      <c r="E178" s="25"/>
      <c r="F178" s="25"/>
      <c r="G178" s="25"/>
      <c r="H178" s="25"/>
      <c r="I178" s="25"/>
      <c r="J178" s="25"/>
      <c r="K178" s="25"/>
      <c r="L178" s="25"/>
      <c r="M178" s="25"/>
      <c r="N178" s="25"/>
      <c r="O178" s="25"/>
      <c r="P178" s="25"/>
      <c r="Q178" s="34">
        <v>2870</v>
      </c>
      <c r="R178" s="34">
        <v>109</v>
      </c>
      <c r="S178" s="25"/>
      <c r="T178" s="53">
        <f>Q178+R178</f>
        <v>2979</v>
      </c>
      <c r="U178" s="25"/>
      <c r="V178" s="5"/>
    </row>
    <row r="179" spans="1:22" ht="15.6" x14ac:dyDescent="0.3">
      <c r="A179" s="24"/>
      <c r="B179" s="25" t="s">
        <v>67</v>
      </c>
      <c r="C179" s="25"/>
      <c r="D179" s="25"/>
      <c r="E179" s="25"/>
      <c r="F179" s="25"/>
      <c r="G179" s="25"/>
      <c r="H179" s="25"/>
      <c r="I179" s="25"/>
      <c r="J179" s="25"/>
      <c r="K179" s="25"/>
      <c r="L179" s="25"/>
      <c r="M179" s="25"/>
      <c r="N179" s="25"/>
      <c r="O179" s="25"/>
      <c r="P179" s="25"/>
      <c r="Q179" s="53">
        <f>Q177+Q178</f>
        <v>24745</v>
      </c>
      <c r="R179" s="53">
        <f>R178+R177</f>
        <v>2094</v>
      </c>
      <c r="S179" s="25"/>
      <c r="T179" s="53">
        <f>Q179+R179</f>
        <v>26839</v>
      </c>
      <c r="U179" s="25"/>
      <c r="V179" s="5"/>
    </row>
    <row r="180" spans="1:22" ht="15.6" x14ac:dyDescent="0.3">
      <c r="A180" s="24"/>
      <c r="B180" s="25" t="s">
        <v>68</v>
      </c>
      <c r="C180" s="25"/>
      <c r="D180" s="25"/>
      <c r="E180" s="25"/>
      <c r="F180" s="25"/>
      <c r="G180" s="25"/>
      <c r="H180" s="25"/>
      <c r="I180" s="25"/>
      <c r="J180" s="25"/>
      <c r="K180" s="25"/>
      <c r="L180" s="25"/>
      <c r="M180" s="25"/>
      <c r="N180" s="25"/>
      <c r="O180" s="25"/>
      <c r="P180" s="25"/>
      <c r="Q180" s="53">
        <f>Q176-Q179-R179</f>
        <v>85161</v>
      </c>
      <c r="R180" s="40"/>
      <c r="S180" s="25"/>
      <c r="T180" s="53"/>
      <c r="U180" s="25"/>
      <c r="V180" s="5"/>
    </row>
    <row r="181" spans="1:22" ht="16.2" thickBot="1" x14ac:dyDescent="0.35">
      <c r="A181" s="24"/>
      <c r="B181" s="25"/>
      <c r="C181" s="25"/>
      <c r="D181" s="25"/>
      <c r="E181" s="25"/>
      <c r="F181" s="25"/>
      <c r="G181" s="25"/>
      <c r="H181" s="25"/>
      <c r="I181" s="25"/>
      <c r="J181" s="25"/>
      <c r="K181" s="25"/>
      <c r="L181" s="25"/>
      <c r="M181" s="25"/>
      <c r="N181" s="25"/>
      <c r="O181" s="25"/>
      <c r="P181" s="25"/>
      <c r="Q181" s="25"/>
      <c r="R181" s="25"/>
      <c r="S181" s="25"/>
      <c r="T181" s="61"/>
      <c r="U181" s="25"/>
      <c r="V181" s="5"/>
    </row>
    <row r="182" spans="1:22" ht="15.6" x14ac:dyDescent="0.3">
      <c r="A182" s="2"/>
      <c r="B182" s="4"/>
      <c r="C182" s="4"/>
      <c r="D182" s="4"/>
      <c r="E182" s="4"/>
      <c r="F182" s="4"/>
      <c r="G182" s="4"/>
      <c r="H182" s="4"/>
      <c r="I182" s="4"/>
      <c r="J182" s="4"/>
      <c r="K182" s="4"/>
      <c r="L182" s="4"/>
      <c r="M182" s="4"/>
      <c r="N182" s="4"/>
      <c r="O182" s="4"/>
      <c r="P182" s="4"/>
      <c r="Q182" s="4"/>
      <c r="R182" s="4"/>
      <c r="S182" s="4"/>
      <c r="T182" s="50"/>
      <c r="U182" s="4"/>
      <c r="V182" s="5"/>
    </row>
    <row r="183" spans="1:22" ht="15.6" x14ac:dyDescent="0.3">
      <c r="A183" s="6"/>
      <c r="B183" s="120" t="s">
        <v>69</v>
      </c>
      <c r="C183" s="8"/>
      <c r="D183" s="8"/>
      <c r="E183" s="8"/>
      <c r="F183" s="8"/>
      <c r="G183" s="8"/>
      <c r="H183" s="8"/>
      <c r="I183" s="8"/>
      <c r="J183" s="8"/>
      <c r="K183" s="8"/>
      <c r="L183" s="8"/>
      <c r="M183" s="8"/>
      <c r="N183" s="8"/>
      <c r="O183" s="8"/>
      <c r="P183" s="8"/>
      <c r="Q183" s="8"/>
      <c r="R183" s="8"/>
      <c r="S183" s="8"/>
      <c r="T183" s="65"/>
      <c r="U183" s="8"/>
      <c r="V183" s="5"/>
    </row>
    <row r="184" spans="1:22" ht="15.6" x14ac:dyDescent="0.3">
      <c r="A184" s="24"/>
      <c r="B184" s="25" t="s">
        <v>70</v>
      </c>
      <c r="C184" s="25"/>
      <c r="D184" s="25"/>
      <c r="E184" s="25"/>
      <c r="F184" s="25"/>
      <c r="G184" s="25"/>
      <c r="H184" s="25"/>
      <c r="I184" s="25"/>
      <c r="J184" s="25"/>
      <c r="K184" s="25"/>
      <c r="L184" s="25"/>
      <c r="M184" s="25"/>
      <c r="N184" s="25"/>
      <c r="O184" s="25"/>
      <c r="P184" s="25"/>
      <c r="Q184" s="25"/>
      <c r="R184" s="25"/>
      <c r="S184" s="25"/>
      <c r="T184" s="59">
        <f>(T97+T99+T100+T101+T102+T103)/-(T104+T105+T106)</f>
        <v>1.394535519125683</v>
      </c>
      <c r="U184" s="25" t="s">
        <v>124</v>
      </c>
      <c r="V184" s="5"/>
    </row>
    <row r="185" spans="1:22" ht="15.6" x14ac:dyDescent="0.3">
      <c r="A185" s="24"/>
      <c r="B185" s="25" t="s">
        <v>71</v>
      </c>
      <c r="C185" s="25"/>
      <c r="D185" s="25"/>
      <c r="E185" s="25"/>
      <c r="F185" s="25"/>
      <c r="G185" s="25"/>
      <c r="H185" s="25"/>
      <c r="I185" s="25"/>
      <c r="J185" s="25"/>
      <c r="K185" s="25"/>
      <c r="L185" s="25"/>
      <c r="M185" s="25"/>
      <c r="N185" s="25"/>
      <c r="O185" s="25"/>
      <c r="P185" s="25"/>
      <c r="Q185" s="25"/>
      <c r="R185" s="25"/>
      <c r="S185" s="25"/>
      <c r="T185" s="66">
        <v>1.36</v>
      </c>
      <c r="U185" s="25" t="s">
        <v>124</v>
      </c>
      <c r="V185" s="5"/>
    </row>
    <row r="186" spans="1:22" ht="15.6" x14ac:dyDescent="0.3">
      <c r="A186" s="24"/>
      <c r="B186" s="25" t="s">
        <v>72</v>
      </c>
      <c r="C186" s="25"/>
      <c r="D186" s="25"/>
      <c r="E186" s="25"/>
      <c r="F186" s="25"/>
      <c r="G186" s="25"/>
      <c r="H186" s="25"/>
      <c r="I186" s="25"/>
      <c r="J186" s="25"/>
      <c r="K186" s="25"/>
      <c r="L186" s="25"/>
      <c r="M186" s="25"/>
      <c r="N186" s="25"/>
      <c r="O186" s="25"/>
      <c r="P186" s="25"/>
      <c r="Q186" s="25"/>
      <c r="R186" s="25"/>
      <c r="S186" s="25"/>
      <c r="T186" s="59">
        <f>(T97+T99+T100+T101+T102+T103+T104+T105+T106)/-(T107+T108)</f>
        <v>7.5800524934383198</v>
      </c>
      <c r="U186" s="25" t="s">
        <v>124</v>
      </c>
      <c r="V186" s="5"/>
    </row>
    <row r="187" spans="1:22" ht="15.6" x14ac:dyDescent="0.3">
      <c r="A187" s="24"/>
      <c r="B187" s="25" t="s">
        <v>73</v>
      </c>
      <c r="C187" s="25"/>
      <c r="D187" s="25"/>
      <c r="E187" s="25"/>
      <c r="F187" s="25"/>
      <c r="G187" s="25"/>
      <c r="H187" s="25"/>
      <c r="I187" s="25"/>
      <c r="J187" s="25"/>
      <c r="K187" s="25"/>
      <c r="L187" s="25"/>
      <c r="M187" s="25"/>
      <c r="N187" s="25"/>
      <c r="O187" s="25"/>
      <c r="P187" s="25"/>
      <c r="Q187" s="25"/>
      <c r="R187" s="25"/>
      <c r="S187" s="25"/>
      <c r="T187" s="67">
        <v>7.46</v>
      </c>
      <c r="U187" s="25" t="s">
        <v>124</v>
      </c>
      <c r="V187" s="5"/>
    </row>
    <row r="188" spans="1:22" ht="15.6" x14ac:dyDescent="0.3">
      <c r="A188" s="24"/>
      <c r="B188" s="25" t="s">
        <v>243</v>
      </c>
      <c r="C188" s="25"/>
      <c r="D188" s="25"/>
      <c r="E188" s="25"/>
      <c r="F188" s="25"/>
      <c r="G188" s="25"/>
      <c r="H188" s="25"/>
      <c r="I188" s="25"/>
      <c r="J188" s="25"/>
      <c r="K188" s="25"/>
      <c r="L188" s="25"/>
      <c r="M188" s="25"/>
      <c r="N188" s="25"/>
      <c r="O188" s="25"/>
      <c r="P188" s="25"/>
      <c r="Q188" s="25"/>
      <c r="R188" s="25"/>
      <c r="S188" s="25"/>
      <c r="T188" s="59">
        <f>(T97+T99+T100+T101+T102+T103+T104+T105+T106+T107+T108)/-(T109+T110)</f>
        <v>3.5560283687943262</v>
      </c>
      <c r="U188" s="25" t="s">
        <v>124</v>
      </c>
      <c r="V188" s="5"/>
    </row>
    <row r="189" spans="1:22" ht="15.6" x14ac:dyDescent="0.3">
      <c r="A189" s="24"/>
      <c r="B189" s="25" t="s">
        <v>244</v>
      </c>
      <c r="C189" s="25"/>
      <c r="D189" s="25"/>
      <c r="E189" s="25"/>
      <c r="F189" s="25"/>
      <c r="G189" s="25"/>
      <c r="H189" s="25"/>
      <c r="I189" s="25"/>
      <c r="J189" s="25"/>
      <c r="K189" s="25"/>
      <c r="L189" s="25"/>
      <c r="M189" s="25"/>
      <c r="N189" s="25"/>
      <c r="O189" s="25"/>
      <c r="P189" s="25"/>
      <c r="Q189" s="25"/>
      <c r="R189" s="25"/>
      <c r="S189" s="25"/>
      <c r="T189" s="67">
        <v>3.48</v>
      </c>
      <c r="U189" s="25" t="s">
        <v>124</v>
      </c>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ht="15.6" x14ac:dyDescent="0.3">
      <c r="A192" s="6"/>
      <c r="B192" s="8"/>
      <c r="C192" s="8"/>
      <c r="D192" s="8"/>
      <c r="E192" s="8"/>
      <c r="F192" s="8"/>
      <c r="G192" s="8"/>
      <c r="H192" s="8"/>
      <c r="I192" s="8"/>
      <c r="J192" s="8"/>
      <c r="K192" s="8"/>
      <c r="L192" s="8"/>
      <c r="M192" s="8"/>
      <c r="N192" s="8"/>
      <c r="O192" s="8"/>
      <c r="P192" s="8"/>
      <c r="Q192" s="8"/>
      <c r="R192" s="8"/>
      <c r="S192" s="8"/>
      <c r="T192" s="8"/>
      <c r="U192" s="8"/>
      <c r="V192" s="5"/>
    </row>
    <row r="193" spans="1:22" ht="18" thickBot="1" x14ac:dyDescent="0.35">
      <c r="A193" s="102"/>
      <c r="B193" s="103" t="str">
        <f>B133</f>
        <v>PM9 INVESTOR REPORT QUARTER ENDING JANUARY 2007</v>
      </c>
      <c r="C193" s="162"/>
      <c r="D193" s="162"/>
      <c r="E193" s="162"/>
      <c r="F193" s="162"/>
      <c r="G193" s="162"/>
      <c r="H193" s="162"/>
      <c r="I193" s="162"/>
      <c r="J193" s="162"/>
      <c r="K193" s="162"/>
      <c r="L193" s="162"/>
      <c r="M193" s="162"/>
      <c r="N193" s="162"/>
      <c r="O193" s="162"/>
      <c r="P193" s="162"/>
      <c r="Q193" s="162"/>
      <c r="R193" s="162"/>
      <c r="S193" s="162"/>
      <c r="T193" s="162"/>
      <c r="U193" s="163"/>
      <c r="V193" s="5"/>
    </row>
    <row r="194" spans="1:22" ht="15.6" x14ac:dyDescent="0.3">
      <c r="A194" s="68"/>
      <c r="B194" s="60" t="s">
        <v>74</v>
      </c>
      <c r="C194" s="69"/>
      <c r="D194" s="69"/>
      <c r="E194" s="69"/>
      <c r="F194" s="69"/>
      <c r="G194" s="70"/>
      <c r="H194" s="70"/>
      <c r="I194" s="70"/>
      <c r="J194" s="70"/>
      <c r="K194" s="70"/>
      <c r="L194" s="70"/>
      <c r="M194" s="70"/>
      <c r="N194" s="70"/>
      <c r="O194" s="70"/>
      <c r="P194" s="70"/>
      <c r="Q194" s="70"/>
      <c r="R194" s="71">
        <v>39113</v>
      </c>
      <c r="S194" s="4"/>
      <c r="T194" s="4"/>
      <c r="U194" s="4"/>
      <c r="V194" s="5"/>
    </row>
    <row r="195" spans="1:22" ht="15.6" x14ac:dyDescent="0.3">
      <c r="A195" s="72"/>
      <c r="B195" s="73"/>
      <c r="C195" s="74"/>
      <c r="D195" s="74"/>
      <c r="E195" s="74"/>
      <c r="F195" s="74"/>
      <c r="G195" s="75"/>
      <c r="H195" s="75"/>
      <c r="I195" s="75"/>
      <c r="J195" s="75"/>
      <c r="K195" s="75"/>
      <c r="L195" s="75"/>
      <c r="M195" s="75"/>
      <c r="N195" s="75"/>
      <c r="O195" s="75"/>
      <c r="P195" s="75"/>
      <c r="Q195" s="75"/>
      <c r="R195" s="75"/>
      <c r="S195" s="8"/>
      <c r="T195" s="8"/>
      <c r="U195" s="8"/>
      <c r="V195" s="5"/>
    </row>
    <row r="196" spans="1:22" ht="15.6" x14ac:dyDescent="0.3">
      <c r="A196" s="76"/>
      <c r="B196" s="77" t="s">
        <v>75</v>
      </c>
      <c r="C196" s="78"/>
      <c r="D196" s="78"/>
      <c r="E196" s="78"/>
      <c r="F196" s="78"/>
      <c r="G196" s="64"/>
      <c r="H196" s="64"/>
      <c r="I196" s="64"/>
      <c r="J196" s="64"/>
      <c r="K196" s="64"/>
      <c r="L196" s="64"/>
      <c r="M196" s="64"/>
      <c r="N196" s="64"/>
      <c r="O196" s="64"/>
      <c r="P196" s="64"/>
      <c r="Q196" s="64"/>
      <c r="R196" s="79">
        <v>5.8209999999999998E-2</v>
      </c>
      <c r="S196" s="25"/>
      <c r="T196" s="25"/>
      <c r="U196" s="25"/>
      <c r="V196" s="5"/>
    </row>
    <row r="197" spans="1:22" ht="15.6" x14ac:dyDescent="0.3">
      <c r="A197" s="76"/>
      <c r="B197" s="77" t="s">
        <v>164</v>
      </c>
      <c r="C197" s="78"/>
      <c r="D197" s="78"/>
      <c r="E197" s="78"/>
      <c r="F197" s="78"/>
      <c r="G197" s="64"/>
      <c r="H197" s="64"/>
      <c r="I197" s="64"/>
      <c r="J197" s="64"/>
      <c r="K197" s="64"/>
      <c r="L197" s="64"/>
      <c r="M197" s="64"/>
      <c r="N197" s="64"/>
      <c r="O197" s="64"/>
      <c r="P197" s="64"/>
      <c r="Q197" s="64"/>
      <c r="R197" s="39">
        <f>'Oct 05'!R193</f>
        <v>4.8438496428571419E-2</v>
      </c>
      <c r="S197" s="25"/>
      <c r="T197" s="25"/>
      <c r="U197" s="25"/>
      <c r="V197" s="5"/>
    </row>
    <row r="198" spans="1:22" ht="15.6" x14ac:dyDescent="0.3">
      <c r="A198" s="76"/>
      <c r="B198" s="77" t="s">
        <v>76</v>
      </c>
      <c r="C198" s="78"/>
      <c r="D198" s="78"/>
      <c r="E198" s="78"/>
      <c r="F198" s="78"/>
      <c r="G198" s="64"/>
      <c r="H198" s="64"/>
      <c r="I198" s="64"/>
      <c r="J198" s="64"/>
      <c r="K198" s="64"/>
      <c r="L198" s="64"/>
      <c r="M198" s="64"/>
      <c r="N198" s="64"/>
      <c r="O198" s="64"/>
      <c r="P198" s="64"/>
      <c r="Q198" s="64"/>
      <c r="R198" s="79">
        <f>R196-R197</f>
        <v>9.7715035714285789E-3</v>
      </c>
      <c r="S198" s="25"/>
      <c r="T198" s="25"/>
      <c r="U198" s="25"/>
      <c r="V198" s="5"/>
    </row>
    <row r="199" spans="1:22" ht="15.6" x14ac:dyDescent="0.3">
      <c r="A199" s="76"/>
      <c r="B199" s="77" t="s">
        <v>77</v>
      </c>
      <c r="C199" s="78"/>
      <c r="D199" s="78"/>
      <c r="E199" s="78"/>
      <c r="F199" s="78"/>
      <c r="G199" s="64"/>
      <c r="H199" s="64"/>
      <c r="I199" s="64"/>
      <c r="J199" s="64"/>
      <c r="K199" s="64"/>
      <c r="L199" s="64"/>
      <c r="M199" s="64"/>
      <c r="N199" s="64"/>
      <c r="O199" s="64"/>
      <c r="P199" s="64"/>
      <c r="Q199" s="64"/>
      <c r="R199" s="79">
        <v>5.9389999999999998E-2</v>
      </c>
      <c r="S199" s="25"/>
      <c r="T199" s="25"/>
      <c r="U199" s="25"/>
      <c r="V199" s="5"/>
    </row>
    <row r="200" spans="1:22" ht="15.6" x14ac:dyDescent="0.3">
      <c r="A200" s="76"/>
      <c r="B200" s="77" t="s">
        <v>257</v>
      </c>
      <c r="C200" s="78"/>
      <c r="D200" s="78"/>
      <c r="E200" s="78"/>
      <c r="F200" s="78"/>
      <c r="G200" s="64"/>
      <c r="H200" s="64"/>
      <c r="I200" s="64"/>
      <c r="J200" s="64"/>
      <c r="K200" s="64"/>
      <c r="L200" s="64"/>
      <c r="M200" s="64"/>
      <c r="N200" s="64"/>
      <c r="O200" s="64"/>
      <c r="P200" s="64"/>
      <c r="Q200" s="64"/>
      <c r="R200" s="79">
        <f>+T41</f>
        <v>5.4479936396143722E-2</v>
      </c>
      <c r="S200" s="25"/>
      <c r="T200" s="25"/>
      <c r="U200" s="25"/>
      <c r="V200" s="5"/>
    </row>
    <row r="201" spans="1:22" ht="15.6" x14ac:dyDescent="0.3">
      <c r="A201" s="76"/>
      <c r="B201" s="77" t="s">
        <v>78</v>
      </c>
      <c r="C201" s="78"/>
      <c r="D201" s="78"/>
      <c r="E201" s="78"/>
      <c r="F201" s="78"/>
      <c r="G201" s="64"/>
      <c r="H201" s="64"/>
      <c r="I201" s="64"/>
      <c r="J201" s="64"/>
      <c r="K201" s="64"/>
      <c r="L201" s="64"/>
      <c r="M201" s="64"/>
      <c r="N201" s="64"/>
      <c r="O201" s="64"/>
      <c r="P201" s="64"/>
      <c r="Q201" s="64"/>
      <c r="R201" s="79">
        <f>R199-R200</f>
        <v>4.9100636038562767E-3</v>
      </c>
      <c r="S201" s="25"/>
      <c r="T201" s="25"/>
      <c r="U201" s="25"/>
      <c r="V201" s="5"/>
    </row>
    <row r="202" spans="1:22" ht="15.6" x14ac:dyDescent="0.3">
      <c r="A202" s="76"/>
      <c r="B202" s="77" t="s">
        <v>268</v>
      </c>
      <c r="C202" s="78"/>
      <c r="D202" s="78"/>
      <c r="E202" s="78"/>
      <c r="F202" s="78"/>
      <c r="G202" s="64"/>
      <c r="H202" s="64"/>
      <c r="I202" s="64"/>
      <c r="J202" s="64"/>
      <c r="K202" s="64"/>
      <c r="L202" s="64"/>
      <c r="M202" s="64"/>
      <c r="N202" s="64"/>
      <c r="O202" s="64"/>
      <c r="P202" s="64"/>
      <c r="Q202" s="64"/>
      <c r="R202" s="79">
        <f>+T97/L69</f>
        <v>1.7077625272402336E-2</v>
      </c>
      <c r="S202" s="25"/>
      <c r="T202" s="25"/>
      <c r="U202" s="25"/>
      <c r="V202" s="5"/>
    </row>
    <row r="203" spans="1:22" ht="15.6" x14ac:dyDescent="0.3">
      <c r="A203" s="76"/>
      <c r="B203" s="77" t="s">
        <v>249</v>
      </c>
      <c r="C203" s="78"/>
      <c r="D203" s="78"/>
      <c r="E203" s="78"/>
      <c r="F203" s="78"/>
      <c r="G203" s="64"/>
      <c r="H203" s="64"/>
      <c r="I203" s="64"/>
      <c r="J203" s="64"/>
      <c r="K203" s="64"/>
      <c r="L203" s="64"/>
      <c r="M203" s="64"/>
      <c r="N203" s="64"/>
      <c r="O203" s="64"/>
      <c r="P203" s="64"/>
      <c r="Q203" s="64"/>
      <c r="R203" s="132">
        <v>51622</v>
      </c>
      <c r="S203" s="25"/>
      <c r="T203" s="25"/>
      <c r="U203" s="25"/>
      <c r="V203" s="5"/>
    </row>
    <row r="204" spans="1:22" ht="15.6" x14ac:dyDescent="0.3">
      <c r="A204" s="76"/>
      <c r="B204" s="77" t="s">
        <v>250</v>
      </c>
      <c r="C204" s="78"/>
      <c r="D204" s="78"/>
      <c r="E204" s="78"/>
      <c r="F204" s="78"/>
      <c r="G204" s="64"/>
      <c r="H204" s="64"/>
      <c r="I204" s="64"/>
      <c r="J204" s="64"/>
      <c r="K204" s="64"/>
      <c r="L204" s="64"/>
      <c r="M204" s="64"/>
      <c r="N204" s="64"/>
      <c r="O204" s="64"/>
      <c r="P204" s="64"/>
      <c r="Q204" s="64"/>
      <c r="R204" s="132">
        <v>51622</v>
      </c>
      <c r="S204" s="25"/>
      <c r="T204" s="25"/>
      <c r="U204" s="25"/>
      <c r="V204" s="5"/>
    </row>
    <row r="205" spans="1:22" ht="15.6" x14ac:dyDescent="0.3">
      <c r="A205" s="76"/>
      <c r="B205" s="77" t="s">
        <v>251</v>
      </c>
      <c r="C205" s="78"/>
      <c r="D205" s="78"/>
      <c r="E205" s="78"/>
      <c r="F205" s="78"/>
      <c r="G205" s="64"/>
      <c r="H205" s="64"/>
      <c r="I205" s="64"/>
      <c r="J205" s="64"/>
      <c r="K205" s="64"/>
      <c r="L205" s="64"/>
      <c r="M205" s="64"/>
      <c r="N205" s="64"/>
      <c r="O205" s="64"/>
      <c r="P205" s="64"/>
      <c r="Q205" s="64"/>
      <c r="R205" s="132">
        <v>51622</v>
      </c>
      <c r="S205" s="25"/>
      <c r="T205" s="25"/>
      <c r="U205" s="25"/>
      <c r="V205" s="5"/>
    </row>
    <row r="206" spans="1:22" ht="15.6" x14ac:dyDescent="0.3">
      <c r="A206" s="76"/>
      <c r="B206" s="77" t="s">
        <v>79</v>
      </c>
      <c r="C206" s="78"/>
      <c r="D206" s="78"/>
      <c r="E206" s="78"/>
      <c r="F206" s="78"/>
      <c r="G206" s="64"/>
      <c r="H206" s="64"/>
      <c r="I206" s="64"/>
      <c r="J206" s="64"/>
      <c r="K206" s="64"/>
      <c r="L206" s="64"/>
      <c r="M206" s="64"/>
      <c r="N206" s="64"/>
      <c r="O206" s="64"/>
      <c r="P206" s="64"/>
      <c r="Q206" s="64"/>
      <c r="R206" s="136">
        <v>20.95</v>
      </c>
      <c r="S206" s="25" t="s">
        <v>119</v>
      </c>
      <c r="T206" s="25"/>
      <c r="U206" s="25"/>
      <c r="V206" s="5"/>
    </row>
    <row r="207" spans="1:22" ht="15.6" x14ac:dyDescent="0.3">
      <c r="A207" s="76"/>
      <c r="B207" s="77" t="s">
        <v>80</v>
      </c>
      <c r="C207" s="78"/>
      <c r="D207" s="78"/>
      <c r="E207" s="78"/>
      <c r="F207" s="78"/>
      <c r="G207" s="64"/>
      <c r="H207" s="64"/>
      <c r="I207" s="64"/>
      <c r="J207" s="64"/>
      <c r="K207" s="64"/>
      <c r="L207" s="64"/>
      <c r="M207" s="64"/>
      <c r="N207" s="64"/>
      <c r="O207" s="64"/>
      <c r="P207" s="64"/>
      <c r="Q207" s="64"/>
      <c r="R207" s="136">
        <v>19.61</v>
      </c>
      <c r="S207" s="25" t="s">
        <v>119</v>
      </c>
      <c r="T207" s="25"/>
      <c r="U207" s="25"/>
      <c r="V207" s="5"/>
    </row>
    <row r="208" spans="1:22" ht="15.6" x14ac:dyDescent="0.3">
      <c r="A208" s="76"/>
      <c r="B208" s="77" t="s">
        <v>81</v>
      </c>
      <c r="C208" s="78"/>
      <c r="D208" s="78"/>
      <c r="E208" s="78"/>
      <c r="F208" s="78"/>
      <c r="G208" s="64"/>
      <c r="H208" s="64"/>
      <c r="I208" s="64"/>
      <c r="J208" s="64"/>
      <c r="K208" s="64"/>
      <c r="L208" s="64"/>
      <c r="M208" s="64"/>
      <c r="N208" s="64"/>
      <c r="O208" s="64"/>
      <c r="P208" s="64"/>
      <c r="Q208" s="64"/>
      <c r="R208" s="79">
        <f>+N66/L66</f>
        <v>3.8394435314451129E-2</v>
      </c>
      <c r="S208" s="25"/>
      <c r="T208" s="25"/>
      <c r="U208" s="25"/>
      <c r="V208" s="5"/>
    </row>
    <row r="209" spans="1:22" ht="15.6" x14ac:dyDescent="0.3">
      <c r="A209" s="76"/>
      <c r="B209" s="77" t="s">
        <v>82</v>
      </c>
      <c r="C209" s="78"/>
      <c r="D209" s="78"/>
      <c r="E209" s="78"/>
      <c r="F209" s="78"/>
      <c r="G209" s="64"/>
      <c r="H209" s="64"/>
      <c r="I209" s="64"/>
      <c r="J209" s="64"/>
      <c r="K209" s="64"/>
      <c r="L209" s="64"/>
      <c r="M209" s="64"/>
      <c r="N209" s="64"/>
      <c r="O209" s="64"/>
      <c r="P209" s="64"/>
      <c r="Q209" s="64"/>
      <c r="R209" s="79">
        <v>0.12720000000000001</v>
      </c>
      <c r="S209" s="25"/>
      <c r="T209" s="25"/>
      <c r="U209" s="25"/>
      <c r="V209" s="5"/>
    </row>
    <row r="210" spans="1:22" ht="15.6" x14ac:dyDescent="0.3">
      <c r="A210" s="76"/>
      <c r="B210" s="77"/>
      <c r="C210" s="77"/>
      <c r="D210" s="77"/>
      <c r="E210" s="77"/>
      <c r="F210" s="77"/>
      <c r="G210" s="25"/>
      <c r="H210" s="25"/>
      <c r="I210" s="25"/>
      <c r="J210" s="25"/>
      <c r="K210" s="25"/>
      <c r="L210" s="25"/>
      <c r="M210" s="25"/>
      <c r="N210" s="25"/>
      <c r="O210" s="25"/>
      <c r="P210" s="25"/>
      <c r="Q210" s="25"/>
      <c r="R210" s="61"/>
      <c r="S210" s="25"/>
      <c r="T210" s="80"/>
      <c r="U210" s="25"/>
      <c r="V210" s="5"/>
    </row>
    <row r="211" spans="1:22" ht="15.6" x14ac:dyDescent="0.3">
      <c r="A211" s="81"/>
      <c r="B211" s="14" t="s">
        <v>83</v>
      </c>
      <c r="C211" s="82"/>
      <c r="D211" s="82"/>
      <c r="E211" s="82"/>
      <c r="F211" s="83"/>
      <c r="G211" s="82"/>
      <c r="H211" s="17"/>
      <c r="I211" s="17"/>
      <c r="J211" s="17"/>
      <c r="K211" s="17"/>
      <c r="L211" s="17"/>
      <c r="M211" s="17"/>
      <c r="N211" s="17"/>
      <c r="O211" s="17"/>
      <c r="P211" s="17"/>
      <c r="Q211" s="17" t="s">
        <v>108</v>
      </c>
      <c r="R211" s="84" t="s">
        <v>115</v>
      </c>
      <c r="S211" s="8"/>
      <c r="T211" s="8"/>
      <c r="U211" s="8"/>
      <c r="V211" s="5"/>
    </row>
    <row r="212" spans="1:22" ht="15.6" x14ac:dyDescent="0.3">
      <c r="A212" s="85"/>
      <c r="B212" s="77" t="s">
        <v>84</v>
      </c>
      <c r="C212" s="54"/>
      <c r="D212" s="54"/>
      <c r="E212" s="54"/>
      <c r="F212" s="25"/>
      <c r="G212" s="25"/>
      <c r="H212" s="30"/>
      <c r="I212" s="30"/>
      <c r="J212" s="30"/>
      <c r="K212" s="30"/>
      <c r="L212" s="30"/>
      <c r="M212" s="30"/>
      <c r="N212" s="30"/>
      <c r="O212" s="30"/>
      <c r="P212" s="30"/>
      <c r="Q212" s="30">
        <v>0</v>
      </c>
      <c r="R212" s="86">
        <v>0</v>
      </c>
      <c r="S212" s="25"/>
      <c r="T212" s="80"/>
      <c r="U212" s="87"/>
      <c r="V212" s="5"/>
    </row>
    <row r="213" spans="1:22" ht="15.6" x14ac:dyDescent="0.3">
      <c r="A213" s="85"/>
      <c r="B213" s="77" t="s">
        <v>156</v>
      </c>
      <c r="C213" s="54"/>
      <c r="D213" s="54"/>
      <c r="E213" s="54"/>
      <c r="F213" s="25"/>
      <c r="G213" s="25"/>
      <c r="H213" s="30"/>
      <c r="I213" s="30"/>
      <c r="J213" s="30"/>
      <c r="K213" s="30"/>
      <c r="L213" s="30"/>
      <c r="M213" s="30"/>
      <c r="N213" s="30"/>
      <c r="O213" s="30"/>
      <c r="P213" s="30"/>
      <c r="Q213" s="156">
        <f>+P252</f>
        <v>22</v>
      </c>
      <c r="R213" s="86">
        <f>+R252</f>
        <v>3002</v>
      </c>
      <c r="S213" s="25"/>
      <c r="T213" s="80"/>
      <c r="U213" s="87"/>
      <c r="V213" s="5"/>
    </row>
    <row r="214" spans="1:22" ht="15.6" x14ac:dyDescent="0.3">
      <c r="A214" s="85"/>
      <c r="B214" s="77" t="s">
        <v>85</v>
      </c>
      <c r="C214" s="54"/>
      <c r="D214" s="54"/>
      <c r="E214" s="54"/>
      <c r="F214" s="25"/>
      <c r="G214" s="25"/>
      <c r="H214" s="30"/>
      <c r="I214" s="30"/>
      <c r="J214" s="30"/>
      <c r="K214" s="30"/>
      <c r="L214" s="30"/>
      <c r="M214" s="30"/>
      <c r="N214" s="30"/>
      <c r="O214" s="30"/>
      <c r="P214" s="30"/>
      <c r="Q214" s="30">
        <v>0</v>
      </c>
      <c r="R214" s="86">
        <v>0</v>
      </c>
      <c r="S214" s="25"/>
      <c r="T214" s="80"/>
      <c r="U214" s="87"/>
      <c r="V214" s="5"/>
    </row>
    <row r="215" spans="1:22" ht="15.6" x14ac:dyDescent="0.3">
      <c r="A215" s="85"/>
      <c r="B215" s="123" t="s">
        <v>86</v>
      </c>
      <c r="C215" s="54"/>
      <c r="D215" s="54"/>
      <c r="E215" s="54"/>
      <c r="F215" s="25"/>
      <c r="G215" s="25"/>
      <c r="H215" s="25"/>
      <c r="I215" s="25"/>
      <c r="J215" s="25"/>
      <c r="K215" s="25"/>
      <c r="L215" s="25"/>
      <c r="M215" s="25"/>
      <c r="N215" s="25"/>
      <c r="O215" s="25"/>
      <c r="P215" s="25"/>
      <c r="Q215" s="25"/>
      <c r="R215" s="86">
        <v>0</v>
      </c>
      <c r="S215" s="25"/>
      <c r="T215" s="80"/>
      <c r="U215" s="87"/>
      <c r="V215" s="5"/>
    </row>
    <row r="216" spans="1:22" ht="15.6" x14ac:dyDescent="0.3">
      <c r="A216" s="85"/>
      <c r="B216" s="123" t="s">
        <v>87</v>
      </c>
      <c r="C216" s="54"/>
      <c r="D216" s="54"/>
      <c r="E216" s="54"/>
      <c r="F216" s="25"/>
      <c r="G216" s="25"/>
      <c r="H216" s="25"/>
      <c r="I216" s="25"/>
      <c r="J216" s="25"/>
      <c r="K216" s="25"/>
      <c r="L216" s="25"/>
      <c r="M216" s="25"/>
      <c r="N216" s="25"/>
      <c r="O216" s="25"/>
      <c r="P216" s="25"/>
      <c r="Q216" s="25"/>
      <c r="R216" s="62" t="s">
        <v>116</v>
      </c>
      <c r="S216" s="25"/>
      <c r="T216" s="80"/>
      <c r="U216" s="87"/>
      <c r="V216" s="5"/>
    </row>
    <row r="217" spans="1:22" ht="15.6" x14ac:dyDescent="0.3">
      <c r="A217" s="88"/>
      <c r="B217" s="123" t="s">
        <v>88</v>
      </c>
      <c r="C217" s="77"/>
      <c r="D217" s="77"/>
      <c r="E217" s="77"/>
      <c r="F217" s="77"/>
      <c r="G217" s="25"/>
      <c r="H217" s="25"/>
      <c r="I217" s="25"/>
      <c r="J217" s="25"/>
      <c r="K217" s="25"/>
      <c r="L217" s="25"/>
      <c r="M217" s="25"/>
      <c r="N217" s="25"/>
      <c r="O217" s="25"/>
      <c r="P217" s="25"/>
      <c r="Q217" s="25"/>
      <c r="R217" s="86"/>
      <c r="S217" s="25"/>
      <c r="T217" s="80"/>
      <c r="U217" s="89"/>
      <c r="V217" s="5"/>
    </row>
    <row r="218" spans="1:22" ht="15.6" x14ac:dyDescent="0.3">
      <c r="A218" s="88"/>
      <c r="B218" s="134" t="s">
        <v>89</v>
      </c>
      <c r="C218" s="77"/>
      <c r="D218" s="77"/>
      <c r="E218" s="77"/>
      <c r="F218" s="77"/>
      <c r="G218" s="25"/>
      <c r="H218" s="25"/>
      <c r="I218" s="25"/>
      <c r="J218" s="25"/>
      <c r="K218" s="25"/>
      <c r="L218" s="25"/>
      <c r="M218" s="25"/>
      <c r="N218" s="25"/>
      <c r="O218" s="25"/>
      <c r="P218" s="25"/>
      <c r="Q218" s="30"/>
      <c r="R218" s="86">
        <f>T163</f>
        <v>69</v>
      </c>
      <c r="S218" s="25"/>
      <c r="T218" s="80"/>
      <c r="U218" s="89"/>
      <c r="V218" s="5"/>
    </row>
    <row r="219" spans="1:22" ht="15.6" x14ac:dyDescent="0.3">
      <c r="A219" s="85"/>
      <c r="B219" s="77" t="s">
        <v>90</v>
      </c>
      <c r="C219" s="54"/>
      <c r="D219" s="54"/>
      <c r="E219" s="54"/>
      <c r="F219" s="54"/>
      <c r="G219" s="25"/>
      <c r="H219" s="25"/>
      <c r="I219" s="25"/>
      <c r="J219" s="25"/>
      <c r="K219" s="25"/>
      <c r="L219" s="25"/>
      <c r="M219" s="25"/>
      <c r="N219" s="25"/>
      <c r="O219" s="25"/>
      <c r="P219" s="25"/>
      <c r="Q219" s="30"/>
      <c r="R219" s="86">
        <f>'Oct 06'!R218+R218</f>
        <v>70</v>
      </c>
      <c r="S219" s="25"/>
      <c r="T219" s="80"/>
      <c r="U219" s="89"/>
      <c r="V219" s="5"/>
    </row>
    <row r="220" spans="1:22" ht="15.6" x14ac:dyDescent="0.3">
      <c r="A220" s="88"/>
      <c r="B220" s="123" t="s">
        <v>288</v>
      </c>
      <c r="C220" s="77"/>
      <c r="D220" s="77"/>
      <c r="E220" s="77"/>
      <c r="F220" s="77"/>
      <c r="G220" s="25"/>
      <c r="H220" s="25"/>
      <c r="I220" s="25"/>
      <c r="J220" s="25"/>
      <c r="K220" s="25"/>
      <c r="L220" s="25"/>
      <c r="M220" s="25"/>
      <c r="N220" s="25"/>
      <c r="O220" s="25"/>
      <c r="P220" s="25"/>
      <c r="Q220" s="30"/>
      <c r="R220" s="86"/>
      <c r="S220" s="25"/>
      <c r="T220" s="80"/>
      <c r="U220" s="89"/>
      <c r="V220" s="5"/>
    </row>
    <row r="221" spans="1:22" ht="15.6" x14ac:dyDescent="0.3">
      <c r="A221" s="88"/>
      <c r="B221" s="77" t="s">
        <v>286</v>
      </c>
      <c r="C221" s="77"/>
      <c r="D221" s="77"/>
      <c r="E221" s="77"/>
      <c r="F221" s="77"/>
      <c r="G221" s="25"/>
      <c r="H221" s="25"/>
      <c r="I221" s="25"/>
      <c r="J221" s="25"/>
      <c r="K221" s="25"/>
      <c r="L221" s="25"/>
      <c r="M221" s="25"/>
      <c r="N221" s="25"/>
      <c r="O221" s="25"/>
      <c r="P221" s="25"/>
      <c r="Q221" s="30">
        <v>0</v>
      </c>
      <c r="R221" s="86">
        <v>0</v>
      </c>
      <c r="S221" s="25"/>
      <c r="T221" s="80"/>
      <c r="U221" s="89"/>
      <c r="V221" s="5"/>
    </row>
    <row r="222" spans="1:22" ht="15.6" x14ac:dyDescent="0.3">
      <c r="A222" s="85"/>
      <c r="B222" s="77" t="s">
        <v>92</v>
      </c>
      <c r="C222" s="90"/>
      <c r="D222" s="90"/>
      <c r="E222" s="90"/>
      <c r="F222" s="91"/>
      <c r="G222" s="25"/>
      <c r="H222" s="25"/>
      <c r="I222" s="25"/>
      <c r="J222" s="25"/>
      <c r="K222" s="25"/>
      <c r="L222" s="25"/>
      <c r="M222" s="25"/>
      <c r="N222" s="25"/>
      <c r="O222" s="25"/>
      <c r="P222" s="25"/>
      <c r="Q222" s="30"/>
      <c r="R222" s="62">
        <v>0</v>
      </c>
      <c r="S222" s="25"/>
      <c r="T222" s="80"/>
      <c r="U222" s="89"/>
      <c r="V222" s="5"/>
    </row>
    <row r="223" spans="1:22" ht="15.6" x14ac:dyDescent="0.3">
      <c r="A223" s="85"/>
      <c r="B223" s="77" t="s">
        <v>93</v>
      </c>
      <c r="C223" s="90"/>
      <c r="D223" s="90"/>
      <c r="E223" s="90"/>
      <c r="F223" s="91"/>
      <c r="G223" s="25"/>
      <c r="H223" s="25"/>
      <c r="I223" s="25"/>
      <c r="J223" s="25"/>
      <c r="K223" s="25"/>
      <c r="L223" s="25"/>
      <c r="M223" s="25"/>
      <c r="N223" s="25"/>
      <c r="O223" s="25"/>
      <c r="P223" s="25"/>
      <c r="Q223" s="30"/>
      <c r="R223" s="62">
        <v>0</v>
      </c>
      <c r="S223" s="25"/>
      <c r="T223" s="80"/>
      <c r="U223" s="89"/>
      <c r="V223" s="5"/>
    </row>
    <row r="224" spans="1:22" ht="15.6" x14ac:dyDescent="0.3">
      <c r="A224" s="85"/>
      <c r="B224" s="123" t="s">
        <v>258</v>
      </c>
      <c r="C224" s="90"/>
      <c r="D224" s="90"/>
      <c r="E224" s="90"/>
      <c r="F224" s="91"/>
      <c r="G224" s="25"/>
      <c r="H224" s="25"/>
      <c r="I224" s="25"/>
      <c r="J224" s="25"/>
      <c r="K224" s="25"/>
      <c r="L224" s="25"/>
      <c r="M224" s="25"/>
      <c r="N224" s="25"/>
      <c r="O224" s="25"/>
      <c r="P224" s="25"/>
      <c r="Q224" s="30"/>
      <c r="R224" s="92"/>
      <c r="S224" s="25"/>
      <c r="T224" s="80"/>
      <c r="U224" s="89"/>
      <c r="V224" s="5"/>
    </row>
    <row r="225" spans="1:23" ht="15.6" x14ac:dyDescent="0.3">
      <c r="A225" s="85"/>
      <c r="B225" s="77" t="s">
        <v>286</v>
      </c>
      <c r="C225" s="90"/>
      <c r="D225" s="90"/>
      <c r="E225" s="90"/>
      <c r="F225" s="91"/>
      <c r="G225" s="25"/>
      <c r="H225" s="25"/>
      <c r="I225" s="25"/>
      <c r="J225" s="25"/>
      <c r="K225" s="25"/>
      <c r="L225" s="25"/>
      <c r="M225" s="25"/>
      <c r="N225" s="25"/>
      <c r="O225" s="25"/>
      <c r="P225" s="25"/>
      <c r="Q225" s="30">
        <v>4</v>
      </c>
      <c r="R225" s="86">
        <v>569</v>
      </c>
      <c r="S225" s="25"/>
      <c r="T225" s="80"/>
      <c r="U225" s="89"/>
      <c r="V225" s="5"/>
    </row>
    <row r="226" spans="1:23" ht="15.6" x14ac:dyDescent="0.3">
      <c r="A226" s="85"/>
      <c r="B226" s="77" t="s">
        <v>259</v>
      </c>
      <c r="C226" s="90"/>
      <c r="D226" s="90"/>
      <c r="E226" s="90"/>
      <c r="F226" s="91"/>
      <c r="G226" s="25"/>
      <c r="H226" s="25"/>
      <c r="I226" s="25"/>
      <c r="J226" s="25"/>
      <c r="K226" s="25"/>
      <c r="L226" s="25"/>
      <c r="M226" s="25"/>
      <c r="N226" s="25"/>
      <c r="O226" s="25"/>
      <c r="P226" s="25"/>
      <c r="Q226" s="25"/>
      <c r="R226" s="62">
        <v>12.76</v>
      </c>
      <c r="S226" s="25"/>
      <c r="T226" s="80"/>
      <c r="U226" s="89"/>
      <c r="V226" s="5"/>
    </row>
    <row r="227" spans="1:23" ht="15.6" x14ac:dyDescent="0.3">
      <c r="A227" s="85"/>
      <c r="B227" s="77"/>
      <c r="C227" s="90"/>
      <c r="D227" s="90"/>
      <c r="E227" s="90"/>
      <c r="F227" s="91"/>
      <c r="G227" s="25"/>
      <c r="H227" s="25"/>
      <c r="I227" s="25"/>
      <c r="J227" s="25"/>
      <c r="K227" s="25"/>
      <c r="L227" s="25"/>
      <c r="M227" s="25"/>
      <c r="N227" s="25"/>
      <c r="O227" s="25"/>
      <c r="P227" s="25"/>
      <c r="Q227" s="25"/>
      <c r="R227" s="92"/>
      <c r="S227" s="25"/>
      <c r="T227" s="80"/>
      <c r="U227" s="89"/>
      <c r="V227" s="5"/>
    </row>
    <row r="228" spans="1:23" ht="17.399999999999999" x14ac:dyDescent="0.3">
      <c r="A228" s="85"/>
      <c r="B228" s="153" t="s">
        <v>208</v>
      </c>
      <c r="C228" s="90"/>
      <c r="D228" s="90"/>
      <c r="E228" s="90"/>
      <c r="F228" s="91"/>
      <c r="G228" s="25"/>
      <c r="H228" s="25"/>
      <c r="I228" s="25"/>
      <c r="J228" s="25"/>
      <c r="K228" s="25"/>
      <c r="L228" s="25"/>
      <c r="M228" s="25"/>
      <c r="N228" s="154" t="s">
        <v>207</v>
      </c>
      <c r="O228" s="25"/>
      <c r="P228" s="25"/>
      <c r="Q228" s="25"/>
      <c r="R228" s="92"/>
      <c r="S228" s="25"/>
      <c r="T228" s="80"/>
      <c r="U228" s="89"/>
      <c r="V228" s="5"/>
    </row>
    <row r="229" spans="1:23" ht="15.6" x14ac:dyDescent="0.3">
      <c r="A229" s="85"/>
      <c r="B229" s="77"/>
      <c r="C229" s="90"/>
      <c r="D229" s="90"/>
      <c r="E229" s="90"/>
      <c r="F229" s="91"/>
      <c r="G229" s="25"/>
      <c r="H229" s="25"/>
      <c r="I229" s="25"/>
      <c r="J229" s="25"/>
      <c r="K229" s="25"/>
      <c r="L229" s="25"/>
      <c r="M229" s="25"/>
      <c r="N229" s="25"/>
      <c r="O229" s="25"/>
      <c r="P229" s="25"/>
      <c r="Q229" s="25"/>
      <c r="R229" s="92"/>
      <c r="S229" s="25"/>
      <c r="T229" s="80"/>
      <c r="U229" s="89"/>
      <c r="V229" s="5"/>
    </row>
    <row r="230" spans="1:23" ht="15.6" x14ac:dyDescent="0.3">
      <c r="A230" s="6"/>
      <c r="B230" s="14" t="s">
        <v>177</v>
      </c>
      <c r="C230" s="82"/>
      <c r="D230" s="82"/>
      <c r="E230" s="82"/>
      <c r="F230" s="83"/>
      <c r="G230" s="82"/>
      <c r="H230" s="17"/>
      <c r="I230" s="17"/>
      <c r="J230" s="17"/>
      <c r="K230" s="17"/>
      <c r="L230" s="17"/>
      <c r="M230" s="17"/>
      <c r="N230" s="17"/>
      <c r="O230" s="17"/>
      <c r="P230" s="84" t="s">
        <v>108</v>
      </c>
      <c r="Q230" s="17" t="s">
        <v>109</v>
      </c>
      <c r="R230" s="84" t="s">
        <v>117</v>
      </c>
      <c r="S230" s="17" t="s">
        <v>109</v>
      </c>
      <c r="T230" s="8"/>
      <c r="U230" s="93"/>
      <c r="V230" s="5"/>
    </row>
    <row r="231" spans="1:23" ht="15.6" x14ac:dyDescent="0.3">
      <c r="A231" s="24"/>
      <c r="B231" s="54" t="s">
        <v>94</v>
      </c>
      <c r="C231" s="94"/>
      <c r="D231" s="94"/>
      <c r="E231" s="94"/>
      <c r="F231" s="25"/>
      <c r="G231" s="94"/>
      <c r="H231" s="94"/>
      <c r="I231" s="94"/>
      <c r="J231" s="94"/>
      <c r="K231" s="94"/>
      <c r="L231" s="94"/>
      <c r="M231" s="94"/>
      <c r="N231" s="94"/>
      <c r="O231" s="94"/>
      <c r="P231" s="54">
        <v>5243</v>
      </c>
      <c r="Q231" s="95">
        <f t="shared" ref="Q231:Q238" si="1">P231/$P$240</f>
        <v>0.99582146248812919</v>
      </c>
      <c r="R231" s="53">
        <v>586201</v>
      </c>
      <c r="S231" s="135">
        <f t="shared" ref="S231:S238" si="2">R231/$R$240</f>
        <v>0.99549971045306873</v>
      </c>
      <c r="T231" s="80"/>
      <c r="U231" s="89"/>
      <c r="V231" s="5"/>
    </row>
    <row r="232" spans="1:23" ht="15.6" x14ac:dyDescent="0.3">
      <c r="A232" s="24"/>
      <c r="B232" s="54" t="s">
        <v>95</v>
      </c>
      <c r="C232" s="94"/>
      <c r="D232" s="94"/>
      <c r="E232" s="94"/>
      <c r="F232" s="25"/>
      <c r="G232" s="95"/>
      <c r="H232" s="94"/>
      <c r="I232" s="94"/>
      <c r="J232" s="94"/>
      <c r="K232" s="94"/>
      <c r="L232" s="94"/>
      <c r="M232" s="94"/>
      <c r="N232" s="94"/>
      <c r="O232" s="94"/>
      <c r="P232" s="54">
        <v>14</v>
      </c>
      <c r="Q232" s="95">
        <f t="shared" si="1"/>
        <v>2.6590693257359924E-3</v>
      </c>
      <c r="R232" s="53">
        <v>1885</v>
      </c>
      <c r="S232" s="135">
        <f t="shared" si="2"/>
        <v>3.2011493569680614E-3</v>
      </c>
      <c r="T232" s="80"/>
      <c r="U232" s="89"/>
      <c r="V232" s="5"/>
      <c r="W232" s="110"/>
    </row>
    <row r="233" spans="1:23" ht="15.6" x14ac:dyDescent="0.3">
      <c r="A233" s="24"/>
      <c r="B233" s="54" t="s">
        <v>96</v>
      </c>
      <c r="C233" s="94"/>
      <c r="D233" s="94"/>
      <c r="E233" s="94"/>
      <c r="F233" s="25"/>
      <c r="G233" s="95"/>
      <c r="H233" s="94"/>
      <c r="I233" s="94"/>
      <c r="J233" s="94"/>
      <c r="K233" s="94"/>
      <c r="L233" s="94"/>
      <c r="M233" s="94"/>
      <c r="N233" s="94"/>
      <c r="O233" s="94"/>
      <c r="P233" s="54">
        <v>4</v>
      </c>
      <c r="Q233" s="95">
        <f t="shared" si="1"/>
        <v>7.5973409306742635E-4</v>
      </c>
      <c r="R233" s="53">
        <v>436</v>
      </c>
      <c r="S233" s="135">
        <f t="shared" si="2"/>
        <v>7.4042499715547738E-4</v>
      </c>
      <c r="T233" s="80"/>
      <c r="U233" s="89"/>
      <c r="V233" s="5"/>
    </row>
    <row r="234" spans="1:23" ht="15.6" x14ac:dyDescent="0.3">
      <c r="A234" s="24"/>
      <c r="B234" s="54" t="s">
        <v>171</v>
      </c>
      <c r="C234" s="94"/>
      <c r="D234" s="94"/>
      <c r="E234" s="94"/>
      <c r="F234" s="25"/>
      <c r="G234" s="95"/>
      <c r="H234" s="94"/>
      <c r="I234" s="94"/>
      <c r="J234" s="94"/>
      <c r="K234" s="94"/>
      <c r="L234" s="94"/>
      <c r="M234" s="94"/>
      <c r="N234" s="94"/>
      <c r="O234" s="94"/>
      <c r="P234" s="54">
        <v>1</v>
      </c>
      <c r="Q234" s="95">
        <f t="shared" si="1"/>
        <v>1.8993352326685659E-4</v>
      </c>
      <c r="R234" s="53">
        <v>88</v>
      </c>
      <c r="S234" s="135">
        <f t="shared" si="2"/>
        <v>1.4944357740752755E-4</v>
      </c>
      <c r="T234" s="80"/>
      <c r="U234" s="89"/>
      <c r="V234" s="5"/>
      <c r="W234" s="110"/>
    </row>
    <row r="235" spans="1:23" ht="15.6" x14ac:dyDescent="0.3">
      <c r="A235" s="24"/>
      <c r="B235" s="54" t="s">
        <v>172</v>
      </c>
      <c r="C235" s="94"/>
      <c r="D235" s="94"/>
      <c r="E235" s="94"/>
      <c r="F235" s="25"/>
      <c r="G235" s="95"/>
      <c r="H235" s="94"/>
      <c r="I235" s="94"/>
      <c r="J235" s="94"/>
      <c r="K235" s="94"/>
      <c r="L235" s="94"/>
      <c r="M235" s="94"/>
      <c r="N235" s="94"/>
      <c r="O235" s="94"/>
      <c r="P235" s="54">
        <v>0</v>
      </c>
      <c r="Q235" s="95">
        <f t="shared" si="1"/>
        <v>0</v>
      </c>
      <c r="R235" s="53">
        <v>0</v>
      </c>
      <c r="S235" s="135">
        <f t="shared" si="2"/>
        <v>0</v>
      </c>
      <c r="T235" s="80"/>
      <c r="U235" s="89"/>
      <c r="V235" s="5"/>
    </row>
    <row r="236" spans="1:23" ht="15.6" x14ac:dyDescent="0.3">
      <c r="A236" s="24"/>
      <c r="B236" s="54" t="s">
        <v>173</v>
      </c>
      <c r="C236" s="94"/>
      <c r="D236" s="94"/>
      <c r="E236" s="94"/>
      <c r="F236" s="25"/>
      <c r="G236" s="95"/>
      <c r="H236" s="94"/>
      <c r="I236" s="94"/>
      <c r="J236" s="94"/>
      <c r="K236" s="94"/>
      <c r="L236" s="94"/>
      <c r="M236" s="94"/>
      <c r="N236" s="94"/>
      <c r="O236" s="94"/>
      <c r="P236" s="54">
        <v>0</v>
      </c>
      <c r="Q236" s="95">
        <f t="shared" si="1"/>
        <v>0</v>
      </c>
      <c r="R236" s="53">
        <v>0</v>
      </c>
      <c r="S236" s="135">
        <f t="shared" si="2"/>
        <v>0</v>
      </c>
      <c r="T236" s="80"/>
      <c r="U236" s="89"/>
      <c r="V236" s="5"/>
      <c r="W236" s="110"/>
    </row>
    <row r="237" spans="1:23" ht="15.6" x14ac:dyDescent="0.3">
      <c r="A237" s="24"/>
      <c r="B237" s="54" t="s">
        <v>174</v>
      </c>
      <c r="C237" s="94"/>
      <c r="D237" s="94"/>
      <c r="E237" s="94"/>
      <c r="F237" s="25"/>
      <c r="G237" s="95"/>
      <c r="H237" s="94"/>
      <c r="I237" s="94"/>
      <c r="J237" s="94"/>
      <c r="K237" s="94"/>
      <c r="L237" s="94"/>
      <c r="M237" s="94"/>
      <c r="N237" s="94"/>
      <c r="O237" s="94"/>
      <c r="P237" s="54">
        <v>1</v>
      </c>
      <c r="Q237" s="95">
        <f t="shared" si="1"/>
        <v>1.8993352326685659E-4</v>
      </c>
      <c r="R237" s="53">
        <v>2</v>
      </c>
      <c r="S237" s="135">
        <f t="shared" si="2"/>
        <v>3.3964449410801713E-6</v>
      </c>
      <c r="T237" s="80"/>
      <c r="U237" s="89"/>
      <c r="V237" s="5"/>
    </row>
    <row r="238" spans="1:23" ht="15.6" x14ac:dyDescent="0.3">
      <c r="A238" s="24"/>
      <c r="B238" s="54" t="s">
        <v>175</v>
      </c>
      <c r="C238" s="94"/>
      <c r="D238" s="94"/>
      <c r="E238" s="94"/>
      <c r="F238" s="25"/>
      <c r="G238" s="95"/>
      <c r="H238" s="94"/>
      <c r="I238" s="94"/>
      <c r="J238" s="94"/>
      <c r="K238" s="94"/>
      <c r="L238" s="94"/>
      <c r="M238" s="94"/>
      <c r="N238" s="94"/>
      <c r="O238" s="94"/>
      <c r="P238" s="54">
        <v>2</v>
      </c>
      <c r="Q238" s="95">
        <f t="shared" si="1"/>
        <v>3.7986704653371318E-4</v>
      </c>
      <c r="R238" s="53">
        <v>239</v>
      </c>
      <c r="S238" s="135">
        <f t="shared" si="2"/>
        <v>4.0587517045908048E-4</v>
      </c>
      <c r="T238" s="80"/>
      <c r="U238" s="89"/>
      <c r="V238" s="5"/>
      <c r="W238" s="110"/>
    </row>
    <row r="239" spans="1:23" ht="15.6" x14ac:dyDescent="0.3">
      <c r="A239" s="24"/>
      <c r="B239" s="54"/>
      <c r="C239" s="94"/>
      <c r="D239" s="94"/>
      <c r="E239" s="94"/>
      <c r="F239" s="25"/>
      <c r="G239" s="95"/>
      <c r="H239" s="94"/>
      <c r="I239" s="94"/>
      <c r="J239" s="94"/>
      <c r="K239" s="94"/>
      <c r="L239" s="94"/>
      <c r="M239" s="94"/>
      <c r="N239" s="94"/>
      <c r="O239" s="94"/>
      <c r="P239" s="54"/>
      <c r="Q239" s="95"/>
      <c r="R239" s="53"/>
      <c r="S239" s="135"/>
      <c r="T239" s="80"/>
      <c r="U239" s="89"/>
      <c r="V239" s="5"/>
    </row>
    <row r="240" spans="1:23" ht="15.6" x14ac:dyDescent="0.3">
      <c r="A240" s="24"/>
      <c r="B240" s="25"/>
      <c r="C240" s="25"/>
      <c r="D240" s="25"/>
      <c r="E240" s="25"/>
      <c r="F240" s="25"/>
      <c r="G240" s="25"/>
      <c r="H240" s="96"/>
      <c r="I240" s="96"/>
      <c r="J240" s="96"/>
      <c r="K240" s="96"/>
      <c r="L240" s="96"/>
      <c r="M240" s="96"/>
      <c r="N240" s="96"/>
      <c r="O240" s="96"/>
      <c r="P240" s="34">
        <f>SUM(P231:P239)</f>
        <v>5265</v>
      </c>
      <c r="Q240" s="135">
        <f>SUM(Q231:Q239)</f>
        <v>1.0000000000000002</v>
      </c>
      <c r="R240" s="53">
        <f>SUM(R231:R239)</f>
        <v>588851</v>
      </c>
      <c r="S240" s="135">
        <f>SUM(S231:S239)</f>
        <v>0.99999999999999989</v>
      </c>
      <c r="T240" s="25"/>
      <c r="U240" s="25"/>
      <c r="V240" s="5"/>
    </row>
    <row r="241" spans="1:22" ht="15.6" x14ac:dyDescent="0.3">
      <c r="A241" s="24"/>
      <c r="B241" s="25"/>
      <c r="C241" s="25"/>
      <c r="D241" s="25"/>
      <c r="E241" s="25"/>
      <c r="F241" s="25"/>
      <c r="G241" s="25"/>
      <c r="H241" s="96"/>
      <c r="I241" s="96"/>
      <c r="J241" s="96"/>
      <c r="K241" s="96"/>
      <c r="L241" s="96"/>
      <c r="M241" s="96"/>
      <c r="N241" s="96"/>
      <c r="O241" s="96"/>
      <c r="P241" s="34"/>
      <c r="Q241" s="135"/>
      <c r="R241" s="53"/>
      <c r="S241" s="135"/>
      <c r="T241" s="25"/>
      <c r="U241" s="25"/>
      <c r="V241" s="5"/>
    </row>
    <row r="242" spans="1:22" ht="15.6" x14ac:dyDescent="0.3">
      <c r="A242" s="144"/>
      <c r="B242" s="14" t="s">
        <v>178</v>
      </c>
      <c r="C242" s="82"/>
      <c r="D242" s="82"/>
      <c r="E242" s="82"/>
      <c r="F242" s="83"/>
      <c r="G242" s="82"/>
      <c r="H242" s="17"/>
      <c r="I242" s="17"/>
      <c r="J242" s="17"/>
      <c r="K242" s="17"/>
      <c r="L242" s="17"/>
      <c r="M242" s="17"/>
      <c r="N242" s="17"/>
      <c r="O242" s="17"/>
      <c r="P242" s="84" t="s">
        <v>108</v>
      </c>
      <c r="Q242" s="17" t="s">
        <v>109</v>
      </c>
      <c r="R242" s="84" t="s">
        <v>117</v>
      </c>
      <c r="S242" s="17" t="s">
        <v>109</v>
      </c>
      <c r="T242" s="142"/>
      <c r="U242" s="143"/>
      <c r="V242" s="5"/>
    </row>
    <row r="243" spans="1:22" ht="15.6" x14ac:dyDescent="0.3">
      <c r="A243" s="24"/>
      <c r="B243" s="54" t="s">
        <v>94</v>
      </c>
      <c r="C243" s="94"/>
      <c r="D243" s="94"/>
      <c r="E243" s="94"/>
      <c r="F243" s="25"/>
      <c r="G243" s="94"/>
      <c r="H243" s="94"/>
      <c r="I243" s="94"/>
      <c r="J243" s="94"/>
      <c r="K243" s="94"/>
      <c r="L243" s="94"/>
      <c r="M243" s="94"/>
      <c r="N243" s="94"/>
      <c r="O243" s="94"/>
      <c r="P243" s="54">
        <v>7</v>
      </c>
      <c r="Q243" s="95">
        <f t="shared" ref="Q243:Q250" si="3">P243/$P$252</f>
        <v>0.31818181818181818</v>
      </c>
      <c r="R243" s="53">
        <v>873</v>
      </c>
      <c r="S243" s="135">
        <f t="shared" ref="S243:S250" si="4">R243/$R$252</f>
        <v>0.29080612924716853</v>
      </c>
      <c r="T243" s="25"/>
      <c r="U243" s="25"/>
      <c r="V243" s="5"/>
    </row>
    <row r="244" spans="1:22" ht="15.6" x14ac:dyDescent="0.3">
      <c r="A244" s="24"/>
      <c r="B244" s="54" t="s">
        <v>95</v>
      </c>
      <c r="C244" s="94"/>
      <c r="D244" s="94"/>
      <c r="E244" s="94"/>
      <c r="F244" s="25"/>
      <c r="G244" s="95"/>
      <c r="H244" s="94"/>
      <c r="I244" s="94"/>
      <c r="J244" s="94"/>
      <c r="K244" s="94"/>
      <c r="L244" s="94"/>
      <c r="M244" s="94"/>
      <c r="N244" s="94"/>
      <c r="O244" s="94"/>
      <c r="P244" s="54">
        <v>4</v>
      </c>
      <c r="Q244" s="95">
        <f t="shared" si="3"/>
        <v>0.18181818181818182</v>
      </c>
      <c r="R244" s="53">
        <v>569</v>
      </c>
      <c r="S244" s="135">
        <f t="shared" si="4"/>
        <v>0.18954030646235842</v>
      </c>
      <c r="T244" s="25"/>
      <c r="U244" s="25"/>
      <c r="V244" s="5"/>
    </row>
    <row r="245" spans="1:22" ht="15.6" x14ac:dyDescent="0.3">
      <c r="A245" s="24"/>
      <c r="B245" s="54" t="s">
        <v>96</v>
      </c>
      <c r="C245" s="94"/>
      <c r="D245" s="94"/>
      <c r="E245" s="94"/>
      <c r="F245" s="25"/>
      <c r="G245" s="95"/>
      <c r="H245" s="94"/>
      <c r="I245" s="94"/>
      <c r="J245" s="94"/>
      <c r="K245" s="94"/>
      <c r="L245" s="94"/>
      <c r="M245" s="94"/>
      <c r="N245" s="94"/>
      <c r="O245" s="94"/>
      <c r="P245" s="54">
        <v>2</v>
      </c>
      <c r="Q245" s="95">
        <f t="shared" si="3"/>
        <v>9.0909090909090912E-2</v>
      </c>
      <c r="R245" s="53">
        <v>171</v>
      </c>
      <c r="S245" s="135">
        <f t="shared" si="4"/>
        <v>5.6962025316455694E-2</v>
      </c>
      <c r="T245" s="25"/>
      <c r="U245" s="25"/>
      <c r="V245" s="5"/>
    </row>
    <row r="246" spans="1:22" ht="15.6" x14ac:dyDescent="0.3">
      <c r="A246" s="24"/>
      <c r="B246" s="54" t="s">
        <v>171</v>
      </c>
      <c r="C246" s="94"/>
      <c r="D246" s="94"/>
      <c r="E246" s="94"/>
      <c r="F246" s="25"/>
      <c r="G246" s="95"/>
      <c r="H246" s="94"/>
      <c r="I246" s="94"/>
      <c r="J246" s="94"/>
      <c r="K246" s="94"/>
      <c r="L246" s="94"/>
      <c r="M246" s="94"/>
      <c r="N246" s="94"/>
      <c r="O246" s="94"/>
      <c r="P246" s="54">
        <v>0</v>
      </c>
      <c r="Q246" s="95">
        <f t="shared" si="3"/>
        <v>0</v>
      </c>
      <c r="R246" s="53">
        <v>0</v>
      </c>
      <c r="S246" s="135">
        <f t="shared" si="4"/>
        <v>0</v>
      </c>
      <c r="T246" s="25"/>
      <c r="U246" s="25"/>
      <c r="V246" s="5"/>
    </row>
    <row r="247" spans="1:22" ht="15.6" x14ac:dyDescent="0.3">
      <c r="A247" s="24"/>
      <c r="B247" s="54" t="s">
        <v>172</v>
      </c>
      <c r="C247" s="94"/>
      <c r="D247" s="94"/>
      <c r="E247" s="94"/>
      <c r="F247" s="25"/>
      <c r="G247" s="95"/>
      <c r="H247" s="94"/>
      <c r="I247" s="94"/>
      <c r="J247" s="94"/>
      <c r="K247" s="94"/>
      <c r="L247" s="94"/>
      <c r="M247" s="94"/>
      <c r="N247" s="94"/>
      <c r="O247" s="94"/>
      <c r="P247" s="54">
        <v>3</v>
      </c>
      <c r="Q247" s="95">
        <f t="shared" si="3"/>
        <v>0.13636363636363635</v>
      </c>
      <c r="R247" s="53">
        <v>469</v>
      </c>
      <c r="S247" s="135">
        <f t="shared" si="4"/>
        <v>0.15622918054630247</v>
      </c>
      <c r="T247" s="25"/>
      <c r="U247" s="25"/>
      <c r="V247" s="5"/>
    </row>
    <row r="248" spans="1:22" ht="15.6" x14ac:dyDescent="0.3">
      <c r="A248" s="24"/>
      <c r="B248" s="54" t="s">
        <v>173</v>
      </c>
      <c r="C248" s="94"/>
      <c r="D248" s="94"/>
      <c r="E248" s="94"/>
      <c r="F248" s="25"/>
      <c r="G248" s="95"/>
      <c r="H248" s="94"/>
      <c r="I248" s="94"/>
      <c r="J248" s="94"/>
      <c r="K248" s="94"/>
      <c r="L248" s="94"/>
      <c r="M248" s="94"/>
      <c r="N248" s="94"/>
      <c r="O248" s="94"/>
      <c r="P248" s="54">
        <v>0</v>
      </c>
      <c r="Q248" s="95">
        <f t="shared" si="3"/>
        <v>0</v>
      </c>
      <c r="R248" s="53">
        <v>0</v>
      </c>
      <c r="S248" s="135">
        <f t="shared" si="4"/>
        <v>0</v>
      </c>
      <c r="T248" s="25"/>
      <c r="U248" s="25"/>
      <c r="V248" s="5"/>
    </row>
    <row r="249" spans="1:22" ht="15.6" x14ac:dyDescent="0.3">
      <c r="A249" s="24"/>
      <c r="B249" s="54" t="s">
        <v>174</v>
      </c>
      <c r="C249" s="94"/>
      <c r="D249" s="94"/>
      <c r="E249" s="94"/>
      <c r="F249" s="25"/>
      <c r="G249" s="95"/>
      <c r="H249" s="94"/>
      <c r="I249" s="94"/>
      <c r="J249" s="94"/>
      <c r="K249" s="94"/>
      <c r="L249" s="94"/>
      <c r="M249" s="94"/>
      <c r="N249" s="94"/>
      <c r="O249" s="94"/>
      <c r="P249" s="54">
        <v>1</v>
      </c>
      <c r="Q249" s="95">
        <f t="shared" si="3"/>
        <v>4.5454545454545456E-2</v>
      </c>
      <c r="R249" s="53">
        <v>181</v>
      </c>
      <c r="S249" s="135">
        <f t="shared" si="4"/>
        <v>6.0293137908061289E-2</v>
      </c>
      <c r="T249" s="25"/>
      <c r="U249" s="25"/>
      <c r="V249" s="5"/>
    </row>
    <row r="250" spans="1:22" ht="15.6" x14ac:dyDescent="0.3">
      <c r="A250" s="24"/>
      <c r="B250" s="54" t="s">
        <v>175</v>
      </c>
      <c r="C250" s="94"/>
      <c r="D250" s="94"/>
      <c r="E250" s="94"/>
      <c r="F250" s="25"/>
      <c r="G250" s="95"/>
      <c r="H250" s="94"/>
      <c r="I250" s="94"/>
      <c r="J250" s="94"/>
      <c r="K250" s="94"/>
      <c r="L250" s="94"/>
      <c r="M250" s="94"/>
      <c r="N250" s="94"/>
      <c r="O250" s="94"/>
      <c r="P250" s="54">
        <v>5</v>
      </c>
      <c r="Q250" s="95">
        <f t="shared" si="3"/>
        <v>0.22727272727272727</v>
      </c>
      <c r="R250" s="53">
        <v>739</v>
      </c>
      <c r="S250" s="135">
        <f t="shared" si="4"/>
        <v>0.24616922051965356</v>
      </c>
      <c r="T250" s="25"/>
      <c r="U250" s="25"/>
      <c r="V250" s="5"/>
    </row>
    <row r="251" spans="1:22" ht="15.6" x14ac:dyDescent="0.3">
      <c r="A251" s="24"/>
      <c r="B251" s="54"/>
      <c r="C251" s="94"/>
      <c r="D251" s="94"/>
      <c r="E251" s="94"/>
      <c r="F251" s="25"/>
      <c r="G251" s="95"/>
      <c r="H251" s="94"/>
      <c r="I251" s="94"/>
      <c r="J251" s="94"/>
      <c r="K251" s="94"/>
      <c r="L251" s="94"/>
      <c r="M251" s="94"/>
      <c r="N251" s="94"/>
      <c r="O251" s="94"/>
      <c r="P251" s="54"/>
      <c r="Q251" s="95"/>
      <c r="R251" s="53"/>
      <c r="S251" s="135"/>
      <c r="T251" s="25"/>
      <c r="U251" s="25"/>
      <c r="V251" s="5"/>
    </row>
    <row r="252" spans="1:22" ht="15.6" x14ac:dyDescent="0.3">
      <c r="A252" s="24"/>
      <c r="B252" s="25"/>
      <c r="C252" s="25"/>
      <c r="D252" s="25"/>
      <c r="E252" s="25"/>
      <c r="F252" s="25"/>
      <c r="G252" s="25"/>
      <c r="H252" s="96"/>
      <c r="I252" s="96"/>
      <c r="J252" s="96"/>
      <c r="K252" s="96"/>
      <c r="L252" s="96"/>
      <c r="M252" s="96"/>
      <c r="N252" s="96"/>
      <c r="O252" s="96"/>
      <c r="P252" s="34">
        <f>SUM(P243:P251)</f>
        <v>22</v>
      </c>
      <c r="Q252" s="135">
        <f>SUM(Q243:Q251)</f>
        <v>1</v>
      </c>
      <c r="R252" s="53">
        <f>SUM(R243:R251)</f>
        <v>3002</v>
      </c>
      <c r="S252" s="135">
        <f>SUM(S243:S251)</f>
        <v>1</v>
      </c>
      <c r="T252" s="25"/>
      <c r="U252" s="25"/>
      <c r="V252" s="5"/>
    </row>
    <row r="253" spans="1:22" ht="15.6" x14ac:dyDescent="0.3">
      <c r="A253" s="24"/>
      <c r="B253" s="25"/>
      <c r="C253" s="25"/>
      <c r="D253" s="25"/>
      <c r="E253" s="25"/>
      <c r="F253" s="25"/>
      <c r="G253" s="25"/>
      <c r="H253" s="96"/>
      <c r="I253" s="96"/>
      <c r="J253" s="96"/>
      <c r="K253" s="96"/>
      <c r="L253" s="96"/>
      <c r="M253" s="96"/>
      <c r="N253" s="96"/>
      <c r="O253" s="96"/>
      <c r="P253" s="34"/>
      <c r="Q253" s="135"/>
      <c r="R253" s="53"/>
      <c r="S253" s="135"/>
      <c r="T253" s="25"/>
      <c r="U253" s="25"/>
      <c r="V253" s="5"/>
    </row>
    <row r="254" spans="1:22" ht="15.6" x14ac:dyDescent="0.3">
      <c r="A254" s="144"/>
      <c r="B254" s="14" t="s">
        <v>179</v>
      </c>
      <c r="C254" s="142"/>
      <c r="D254" s="142"/>
      <c r="E254" s="142"/>
      <c r="F254" s="142"/>
      <c r="G254" s="142"/>
      <c r="H254" s="149"/>
      <c r="I254" s="149"/>
      <c r="J254" s="149"/>
      <c r="K254" s="149"/>
      <c r="L254" s="149"/>
      <c r="M254" s="149"/>
      <c r="N254" s="149"/>
      <c r="O254" s="149"/>
      <c r="P254" s="84" t="s">
        <v>108</v>
      </c>
      <c r="Q254" s="17" t="s">
        <v>109</v>
      </c>
      <c r="R254" s="84" t="s">
        <v>117</v>
      </c>
      <c r="S254" s="17" t="s">
        <v>109</v>
      </c>
      <c r="T254" s="142"/>
      <c r="U254" s="143"/>
      <c r="V254" s="5"/>
    </row>
    <row r="255" spans="1:22" ht="15.6" x14ac:dyDescent="0.3">
      <c r="A255" s="24"/>
      <c r="B255" s="54" t="s">
        <v>94</v>
      </c>
      <c r="C255" s="25"/>
      <c r="D255" s="25"/>
      <c r="E255" s="25"/>
      <c r="F255" s="25"/>
      <c r="G255" s="25"/>
      <c r="H255" s="96"/>
      <c r="I255" s="96"/>
      <c r="J255" s="96"/>
      <c r="K255" s="96"/>
      <c r="L255" s="96"/>
      <c r="M255" s="96"/>
      <c r="N255" s="96"/>
      <c r="O255" s="96"/>
      <c r="P255" s="54">
        <v>0</v>
      </c>
      <c r="Q255" s="95">
        <v>0</v>
      </c>
      <c r="R255" s="53">
        <v>0</v>
      </c>
      <c r="S255" s="135">
        <v>0</v>
      </c>
      <c r="T255" s="25"/>
      <c r="U255" s="25"/>
      <c r="V255" s="5"/>
    </row>
    <row r="256" spans="1:22" ht="15.6" x14ac:dyDescent="0.3">
      <c r="A256" s="24"/>
      <c r="B256" s="54" t="s">
        <v>95</v>
      </c>
      <c r="C256" s="25"/>
      <c r="D256" s="25"/>
      <c r="E256" s="25"/>
      <c r="F256" s="25"/>
      <c r="G256" s="25"/>
      <c r="H256" s="96"/>
      <c r="I256" s="96"/>
      <c r="J256" s="96"/>
      <c r="K256" s="96"/>
      <c r="L256" s="96"/>
      <c r="M256" s="96"/>
      <c r="N256" s="96"/>
      <c r="O256" s="96"/>
      <c r="P256" s="54">
        <v>0</v>
      </c>
      <c r="Q256" s="95">
        <v>0</v>
      </c>
      <c r="R256" s="53">
        <v>0</v>
      </c>
      <c r="S256" s="135">
        <v>0</v>
      </c>
      <c r="T256" s="25"/>
      <c r="U256" s="25"/>
      <c r="V256" s="5"/>
    </row>
    <row r="257" spans="1:22" ht="15.6" x14ac:dyDescent="0.3">
      <c r="A257" s="24"/>
      <c r="B257" s="54" t="s">
        <v>96</v>
      </c>
      <c r="C257" s="25"/>
      <c r="D257" s="25"/>
      <c r="E257" s="25"/>
      <c r="F257" s="25"/>
      <c r="G257" s="25"/>
      <c r="H257" s="96"/>
      <c r="I257" s="96"/>
      <c r="J257" s="96"/>
      <c r="K257" s="96"/>
      <c r="L257" s="96"/>
      <c r="M257" s="96"/>
      <c r="N257" s="96"/>
      <c r="O257" s="96"/>
      <c r="P257" s="54">
        <v>0</v>
      </c>
      <c r="Q257" s="95">
        <v>0</v>
      </c>
      <c r="R257" s="53">
        <v>0</v>
      </c>
      <c r="S257" s="135">
        <v>0</v>
      </c>
      <c r="T257" s="25"/>
      <c r="U257" s="25"/>
      <c r="V257" s="5"/>
    </row>
    <row r="258" spans="1:22" ht="15.6" x14ac:dyDescent="0.3">
      <c r="A258" s="24"/>
      <c r="B258" s="54" t="s">
        <v>171</v>
      </c>
      <c r="C258" s="25"/>
      <c r="D258" s="25"/>
      <c r="E258" s="25"/>
      <c r="F258" s="25"/>
      <c r="G258" s="25"/>
      <c r="H258" s="96"/>
      <c r="I258" s="96"/>
      <c r="J258" s="96"/>
      <c r="K258" s="96"/>
      <c r="L258" s="96"/>
      <c r="M258" s="96"/>
      <c r="N258" s="96"/>
      <c r="O258" s="96"/>
      <c r="P258" s="54">
        <v>0</v>
      </c>
      <c r="Q258" s="95">
        <v>0</v>
      </c>
      <c r="R258" s="53">
        <v>0</v>
      </c>
      <c r="S258" s="135">
        <v>0</v>
      </c>
      <c r="T258" s="25"/>
      <c r="U258" s="25"/>
      <c r="V258" s="5"/>
    </row>
    <row r="259" spans="1:22" ht="15.6" x14ac:dyDescent="0.3">
      <c r="A259" s="24"/>
      <c r="B259" s="54" t="s">
        <v>172</v>
      </c>
      <c r="C259" s="25"/>
      <c r="D259" s="25"/>
      <c r="E259" s="25"/>
      <c r="F259" s="25"/>
      <c r="G259" s="25"/>
      <c r="H259" s="96"/>
      <c r="I259" s="96"/>
      <c r="J259" s="96"/>
      <c r="K259" s="96"/>
      <c r="L259" s="96"/>
      <c r="M259" s="96"/>
      <c r="N259" s="96"/>
      <c r="O259" s="96"/>
      <c r="P259" s="54">
        <v>0</v>
      </c>
      <c r="Q259" s="95">
        <v>0</v>
      </c>
      <c r="R259" s="53">
        <v>0</v>
      </c>
      <c r="S259" s="135">
        <v>0</v>
      </c>
      <c r="T259" s="25"/>
      <c r="U259" s="25"/>
      <c r="V259" s="5"/>
    </row>
    <row r="260" spans="1:22" ht="15.6" x14ac:dyDescent="0.3">
      <c r="A260" s="24"/>
      <c r="B260" s="54" t="s">
        <v>173</v>
      </c>
      <c r="C260" s="25"/>
      <c r="D260" s="25"/>
      <c r="E260" s="25"/>
      <c r="F260" s="25"/>
      <c r="G260" s="25"/>
      <c r="H260" s="96"/>
      <c r="I260" s="96"/>
      <c r="J260" s="96"/>
      <c r="K260" s="96"/>
      <c r="L260" s="96"/>
      <c r="M260" s="96"/>
      <c r="N260" s="96"/>
      <c r="O260" s="96"/>
      <c r="P260" s="54">
        <v>0</v>
      </c>
      <c r="Q260" s="95">
        <v>0</v>
      </c>
      <c r="R260" s="53">
        <v>0</v>
      </c>
      <c r="S260" s="135">
        <v>0</v>
      </c>
      <c r="T260" s="25"/>
      <c r="U260" s="25"/>
      <c r="V260" s="5"/>
    </row>
    <row r="261" spans="1:22" ht="15.6" x14ac:dyDescent="0.3">
      <c r="A261" s="24"/>
      <c r="B261" s="54" t="s">
        <v>174</v>
      </c>
      <c r="C261" s="25"/>
      <c r="D261" s="25"/>
      <c r="E261" s="25"/>
      <c r="F261" s="25"/>
      <c r="G261" s="25"/>
      <c r="H261" s="96"/>
      <c r="I261" s="96"/>
      <c r="J261" s="96"/>
      <c r="K261" s="96"/>
      <c r="L261" s="96"/>
      <c r="M261" s="96"/>
      <c r="N261" s="96"/>
      <c r="O261" s="96"/>
      <c r="P261" s="54">
        <v>0</v>
      </c>
      <c r="Q261" s="95">
        <v>0</v>
      </c>
      <c r="R261" s="53">
        <v>0</v>
      </c>
      <c r="S261" s="135">
        <v>0</v>
      </c>
      <c r="T261" s="25"/>
      <c r="U261" s="25"/>
      <c r="V261" s="5"/>
    </row>
    <row r="262" spans="1:22" ht="15.6" x14ac:dyDescent="0.3">
      <c r="A262" s="24"/>
      <c r="B262" s="54" t="s">
        <v>175</v>
      </c>
      <c r="C262" s="25"/>
      <c r="D262" s="25"/>
      <c r="E262" s="25"/>
      <c r="F262" s="25"/>
      <c r="G262" s="25"/>
      <c r="H262" s="96"/>
      <c r="I262" s="96"/>
      <c r="J262" s="96"/>
      <c r="K262" s="96"/>
      <c r="L262" s="96"/>
      <c r="M262" s="96"/>
      <c r="N262" s="96"/>
      <c r="O262" s="96"/>
      <c r="P262" s="54">
        <v>0</v>
      </c>
      <c r="Q262" s="95">
        <v>0</v>
      </c>
      <c r="R262" s="53">
        <v>0</v>
      </c>
      <c r="S262" s="135">
        <v>0</v>
      </c>
      <c r="T262" s="25"/>
      <c r="U262" s="25"/>
      <c r="V262" s="5"/>
    </row>
    <row r="263" spans="1:22" ht="15.6" x14ac:dyDescent="0.3">
      <c r="A263" s="24"/>
      <c r="B263" s="54"/>
      <c r="C263" s="25"/>
      <c r="D263" s="25"/>
      <c r="E263" s="25"/>
      <c r="F263" s="25"/>
      <c r="G263" s="25"/>
      <c r="H263" s="96"/>
      <c r="I263" s="96"/>
      <c r="J263" s="96"/>
      <c r="K263" s="96"/>
      <c r="L263" s="96"/>
      <c r="M263" s="96"/>
      <c r="N263" s="96"/>
      <c r="O263" s="96"/>
      <c r="P263" s="54"/>
      <c r="Q263" s="95"/>
      <c r="R263" s="53"/>
      <c r="S263" s="135"/>
      <c r="T263" s="25"/>
      <c r="U263" s="25"/>
      <c r="V263" s="5"/>
    </row>
    <row r="264" spans="1:22" ht="15.6" x14ac:dyDescent="0.3">
      <c r="A264" s="24"/>
      <c r="B264" s="25" t="s">
        <v>123</v>
      </c>
      <c r="C264" s="25"/>
      <c r="D264" s="25"/>
      <c r="E264" s="25"/>
      <c r="F264" s="25"/>
      <c r="G264" s="25"/>
      <c r="H264" s="96"/>
      <c r="I264" s="96"/>
      <c r="J264" s="96"/>
      <c r="K264" s="96"/>
      <c r="L264" s="96"/>
      <c r="M264" s="96"/>
      <c r="N264" s="96"/>
      <c r="O264" s="96"/>
      <c r="P264" s="34">
        <f>SUM(P255:P262)</f>
        <v>0</v>
      </c>
      <c r="Q264" s="95">
        <f>SUM(Q255:Q262)</f>
        <v>0</v>
      </c>
      <c r="R264" s="53">
        <f>SUM(R255:R262)</f>
        <v>0</v>
      </c>
      <c r="S264" s="135">
        <f>SUM(S255:S262)</f>
        <v>0</v>
      </c>
      <c r="T264" s="25"/>
      <c r="U264" s="25"/>
      <c r="V264" s="5"/>
    </row>
    <row r="265" spans="1:22" ht="15.6" x14ac:dyDescent="0.3">
      <c r="A265" s="24"/>
      <c r="B265" s="25"/>
      <c r="C265" s="25"/>
      <c r="D265" s="25"/>
      <c r="E265" s="25"/>
      <c r="F265" s="25"/>
      <c r="G265" s="25"/>
      <c r="H265" s="96"/>
      <c r="I265" s="96"/>
      <c r="J265" s="96"/>
      <c r="K265" s="96"/>
      <c r="L265" s="96"/>
      <c r="M265" s="96"/>
      <c r="N265" s="96"/>
      <c r="O265" s="96"/>
      <c r="P265" s="34"/>
      <c r="Q265" s="135"/>
      <c r="R265" s="53"/>
      <c r="S265" s="135"/>
      <c r="T265" s="25"/>
      <c r="U265" s="25"/>
      <c r="V265" s="5"/>
    </row>
    <row r="266" spans="1:22" ht="15.6" x14ac:dyDescent="0.3">
      <c r="A266" s="24"/>
      <c r="B266" s="145" t="s">
        <v>180</v>
      </c>
      <c r="C266" s="25"/>
      <c r="D266" s="25"/>
      <c r="E266" s="25"/>
      <c r="F266" s="25"/>
      <c r="G266" s="25"/>
      <c r="H266" s="96"/>
      <c r="I266" s="96"/>
      <c r="J266" s="96"/>
      <c r="K266" s="96"/>
      <c r="L266" s="96"/>
      <c r="M266" s="96"/>
      <c r="N266" s="96"/>
      <c r="O266" s="96"/>
      <c r="P266" s="165">
        <f>+P240+P252+P264</f>
        <v>5287</v>
      </c>
      <c r="Q266" s="147"/>
      <c r="R266" s="148">
        <f>+R264+R252+R240</f>
        <v>591853</v>
      </c>
      <c r="S266" s="147"/>
      <c r="T266" s="25"/>
      <c r="U266" s="25"/>
      <c r="V266" s="5"/>
    </row>
    <row r="267" spans="1:22" ht="15.6" x14ac:dyDescent="0.3">
      <c r="A267" s="24"/>
      <c r="B267" s="25"/>
      <c r="C267" s="25"/>
      <c r="D267" s="25"/>
      <c r="E267" s="25"/>
      <c r="F267" s="25"/>
      <c r="G267" s="25"/>
      <c r="H267" s="96"/>
      <c r="I267" s="96"/>
      <c r="J267" s="96"/>
      <c r="K267" s="96"/>
      <c r="L267" s="96"/>
      <c r="M267" s="96"/>
      <c r="N267" s="96"/>
      <c r="O267" s="96"/>
      <c r="P267" s="96"/>
      <c r="Q267" s="96"/>
      <c r="R267" s="53"/>
      <c r="S267" s="96"/>
      <c r="T267" s="25"/>
      <c r="U267" s="25"/>
      <c r="V267" s="5"/>
    </row>
    <row r="268" spans="1:22" ht="15.6" x14ac:dyDescent="0.3">
      <c r="A268" s="6"/>
      <c r="B268" s="8"/>
      <c r="C268" s="8"/>
      <c r="D268" s="8"/>
      <c r="E268" s="8"/>
      <c r="F268" s="8"/>
      <c r="G268" s="8"/>
      <c r="H268" s="97"/>
      <c r="I268" s="97"/>
      <c r="J268" s="97"/>
      <c r="K268" s="97"/>
      <c r="L268" s="97"/>
      <c r="M268" s="97"/>
      <c r="N268" s="97"/>
      <c r="O268" s="97"/>
      <c r="P268" s="97"/>
      <c r="Q268" s="97"/>
      <c r="R268" s="98"/>
      <c r="S268" s="97"/>
      <c r="T268" s="8"/>
      <c r="U268" s="8"/>
      <c r="V268" s="5"/>
    </row>
    <row r="269" spans="1:22" ht="15.6" x14ac:dyDescent="0.3">
      <c r="A269" s="164"/>
      <c r="B269" s="14" t="s">
        <v>97</v>
      </c>
      <c r="C269" s="15"/>
      <c r="D269" s="15"/>
      <c r="E269" s="15"/>
      <c r="F269" s="17" t="s">
        <v>103</v>
      </c>
      <c r="G269" s="15"/>
      <c r="H269" s="14" t="s">
        <v>105</v>
      </c>
      <c r="I269" s="159"/>
      <c r="J269" s="159"/>
      <c r="K269" s="159"/>
      <c r="L269" s="159"/>
      <c r="M269" s="159"/>
      <c r="N269" s="159"/>
      <c r="O269" s="159"/>
      <c r="P269" s="159"/>
      <c r="Q269" s="159"/>
      <c r="R269" s="159"/>
      <c r="S269" s="159"/>
      <c r="T269" s="159"/>
      <c r="U269" s="159"/>
      <c r="V269" s="5"/>
    </row>
    <row r="270" spans="1:22" ht="15.6" x14ac:dyDescent="0.3">
      <c r="A270" s="164"/>
      <c r="B270" s="159"/>
      <c r="C270" s="8"/>
      <c r="D270" s="8"/>
      <c r="E270" s="8"/>
      <c r="F270" s="8"/>
      <c r="G270" s="8"/>
      <c r="H270" s="8"/>
      <c r="I270" s="159"/>
      <c r="J270" s="159"/>
      <c r="K270" s="159"/>
      <c r="L270" s="159"/>
      <c r="M270" s="159"/>
      <c r="N270" s="159"/>
      <c r="O270" s="159"/>
      <c r="P270" s="159"/>
      <c r="Q270" s="159"/>
      <c r="R270" s="159"/>
      <c r="S270" s="159"/>
      <c r="T270" s="159"/>
      <c r="U270" s="159"/>
      <c r="V270" s="5"/>
    </row>
    <row r="271" spans="1:22" ht="15.6" x14ac:dyDescent="0.3">
      <c r="A271" s="164"/>
      <c r="B271" s="13" t="s">
        <v>98</v>
      </c>
      <c r="C271" s="13"/>
      <c r="D271" s="13"/>
      <c r="E271" s="13"/>
      <c r="F271" s="133" t="s">
        <v>159</v>
      </c>
      <c r="G271" s="13"/>
      <c r="H271" s="13" t="s">
        <v>167</v>
      </c>
      <c r="I271" s="159"/>
      <c r="J271" s="159"/>
      <c r="K271" s="159"/>
      <c r="L271" s="159"/>
      <c r="M271" s="159"/>
      <c r="N271" s="159"/>
      <c r="O271" s="159"/>
      <c r="P271" s="159"/>
      <c r="Q271" s="159"/>
      <c r="R271" s="159"/>
      <c r="S271" s="159"/>
      <c r="T271" s="159"/>
      <c r="U271" s="159"/>
      <c r="V271" s="5"/>
    </row>
    <row r="272" spans="1:22" ht="15.6" x14ac:dyDescent="0.3">
      <c r="A272" s="164"/>
      <c r="B272" s="13" t="s">
        <v>273</v>
      </c>
      <c r="C272" s="13"/>
      <c r="D272" s="13"/>
      <c r="E272" s="13"/>
      <c r="F272" s="133" t="s">
        <v>274</v>
      </c>
      <c r="G272" s="13"/>
      <c r="H272" s="13" t="s">
        <v>275</v>
      </c>
      <c r="I272" s="159"/>
      <c r="J272" s="159"/>
      <c r="K272" s="159"/>
      <c r="L272" s="159"/>
      <c r="M272" s="159"/>
      <c r="N272" s="159"/>
      <c r="O272" s="159"/>
      <c r="P272" s="159"/>
      <c r="Q272" s="159"/>
      <c r="R272" s="159"/>
      <c r="S272" s="159"/>
      <c r="T272" s="159"/>
      <c r="U272" s="159"/>
      <c r="V272" s="5"/>
    </row>
    <row r="273" spans="1:22" ht="15.6" x14ac:dyDescent="0.3">
      <c r="A273" s="164"/>
      <c r="B273" s="13" t="s">
        <v>99</v>
      </c>
      <c r="C273" s="13"/>
      <c r="D273" s="13"/>
      <c r="E273" s="13"/>
      <c r="F273" s="133" t="s">
        <v>158</v>
      </c>
      <c r="G273" s="13"/>
      <c r="H273" s="13" t="s">
        <v>168</v>
      </c>
      <c r="I273" s="159"/>
      <c r="J273" s="159"/>
      <c r="K273" s="159"/>
      <c r="L273" s="159"/>
      <c r="M273" s="159"/>
      <c r="N273" s="159"/>
      <c r="O273" s="159"/>
      <c r="P273" s="159"/>
      <c r="Q273" s="159"/>
      <c r="R273" s="159"/>
      <c r="S273" s="159"/>
      <c r="T273" s="159"/>
      <c r="U273" s="159"/>
      <c r="V273" s="5"/>
    </row>
    <row r="274" spans="1:22" ht="15.6" x14ac:dyDescent="0.3">
      <c r="A274" s="164"/>
      <c r="B274" s="13"/>
      <c r="C274" s="13"/>
      <c r="D274" s="13"/>
      <c r="E274" s="13"/>
      <c r="F274" s="13"/>
      <c r="G274" s="100"/>
      <c r="H274" s="159"/>
      <c r="I274" s="159"/>
      <c r="J274" s="159"/>
      <c r="K274" s="159"/>
      <c r="L274" s="159"/>
      <c r="M274" s="159"/>
      <c r="N274" s="159"/>
      <c r="O274" s="159"/>
      <c r="P274" s="159"/>
      <c r="Q274" s="159"/>
      <c r="R274" s="159"/>
      <c r="S274" s="159"/>
      <c r="T274" s="159"/>
      <c r="U274" s="159"/>
      <c r="V274" s="5"/>
    </row>
    <row r="275" spans="1:22" ht="18" thickBot="1" x14ac:dyDescent="0.35">
      <c r="A275" s="164"/>
      <c r="B275" s="49" t="str">
        <f>B193</f>
        <v>PM9 INVESTOR REPORT QUARTER ENDING JANUARY 2007</v>
      </c>
      <c r="C275" s="13"/>
      <c r="D275" s="13"/>
      <c r="E275" s="13"/>
      <c r="F275" s="13"/>
      <c r="G275" s="100"/>
      <c r="H275" s="159"/>
      <c r="I275" s="159"/>
      <c r="J275" s="159"/>
      <c r="K275" s="159"/>
      <c r="L275" s="159"/>
      <c r="M275" s="159"/>
      <c r="N275" s="159"/>
      <c r="O275" s="159"/>
      <c r="P275" s="159"/>
      <c r="Q275" s="159"/>
      <c r="R275" s="159"/>
      <c r="S275" s="159"/>
      <c r="T275" s="159"/>
      <c r="U275" s="159"/>
      <c r="V275" s="5"/>
    </row>
    <row r="276" spans="1:22" x14ac:dyDescent="0.25">
      <c r="A276" s="101"/>
      <c r="B276" s="101"/>
      <c r="C276" s="101"/>
      <c r="D276" s="101"/>
      <c r="E276" s="101"/>
      <c r="F276" s="101"/>
      <c r="G276" s="101"/>
      <c r="H276" s="101"/>
      <c r="I276" s="101"/>
      <c r="J276" s="101"/>
      <c r="K276" s="101"/>
      <c r="L276" s="101"/>
      <c r="M276" s="101"/>
      <c r="N276" s="101"/>
      <c r="O276" s="101"/>
      <c r="P276" s="101"/>
      <c r="Q276" s="101"/>
      <c r="R276" s="101"/>
      <c r="S276" s="101"/>
      <c r="T276" s="101"/>
      <c r="U276" s="101"/>
    </row>
  </sheetData>
  <phoneticPr fontId="0" type="noConversion"/>
  <hyperlinks>
    <hyperlink ref="J9" r:id="rId1" xr:uid="{00000000-0004-0000-0500-000000000000}"/>
    <hyperlink ref="N228" r:id="rId2" xr:uid="{00000000-0004-0000-05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3" max="14" man="1"/>
    <brk id="193" max="14"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9CB31"/>
  </sheetPr>
  <dimension ref="A1:W276"/>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t="s">
        <v>263</v>
      </c>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0.58520000000000005</v>
      </c>
      <c r="R16" s="17" t="s">
        <v>149</v>
      </c>
      <c r="S16" s="140">
        <v>0.4148</v>
      </c>
      <c r="T16" s="16"/>
      <c r="U16" s="15"/>
      <c r="V16" s="5"/>
    </row>
    <row r="17" spans="1:22" ht="15.6" x14ac:dyDescent="0.3">
      <c r="A17" s="6"/>
      <c r="B17" s="14" t="s">
        <v>4</v>
      </c>
      <c r="C17" s="15"/>
      <c r="D17" s="15"/>
      <c r="E17" s="15"/>
      <c r="F17" s="15"/>
      <c r="G17" s="15"/>
      <c r="H17" s="15"/>
      <c r="I17" s="15"/>
      <c r="J17" s="15"/>
      <c r="K17" s="15"/>
      <c r="L17" s="15"/>
      <c r="M17" s="15"/>
      <c r="N17" s="15"/>
      <c r="O17" s="15"/>
      <c r="P17" s="15"/>
      <c r="Q17" s="15"/>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39227</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286072.10800000001</v>
      </c>
      <c r="E30" s="32"/>
      <c r="F30" s="125">
        <f>F29*F36</f>
        <v>293513.29000000004</v>
      </c>
      <c r="G30" s="31"/>
      <c r="H30" s="150">
        <f>H29*H36</f>
        <v>49607.880000000005</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272211.00199999998</v>
      </c>
      <c r="E31" s="36"/>
      <c r="F31" s="126">
        <f>F35*F29</f>
        <v>279291.63500000001</v>
      </c>
      <c r="G31" s="35"/>
      <c r="H31" s="155">
        <f>H35*H29</f>
        <v>47204.22</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286072.10800000001</v>
      </c>
      <c r="E33" s="32"/>
      <c r="F33" s="31">
        <f>F32*F36</f>
        <v>202152.111</v>
      </c>
      <c r="G33" s="31"/>
      <c r="H33" s="31">
        <f>H32*H36</f>
        <v>28028.4522</v>
      </c>
      <c r="I33" s="31"/>
      <c r="J33" s="31">
        <f>J32*J36</f>
        <v>7000</v>
      </c>
      <c r="K33" s="31"/>
      <c r="L33" s="31">
        <f>L32*L36</f>
        <v>20300</v>
      </c>
      <c r="M33" s="31"/>
      <c r="N33" s="31">
        <f>N32*N36</f>
        <v>3000</v>
      </c>
      <c r="O33" s="31"/>
      <c r="P33" s="31">
        <f>P32*P36</f>
        <v>45300</v>
      </c>
      <c r="Q33" s="31"/>
      <c r="R33" s="31"/>
      <c r="S33" s="161"/>
      <c r="T33" s="31">
        <f>SUM(C33:P33)</f>
        <v>591852.67119999998</v>
      </c>
      <c r="U33" s="34"/>
      <c r="V33" s="5"/>
    </row>
    <row r="34" spans="1:22" ht="15.6" x14ac:dyDescent="0.3">
      <c r="A34" s="28"/>
      <c r="B34" s="29" t="s">
        <v>291</v>
      </c>
      <c r="C34" s="36"/>
      <c r="D34" s="35">
        <f>D35*D32</f>
        <v>272211.00199999998</v>
      </c>
      <c r="E34" s="36"/>
      <c r="F34" s="35">
        <f>F35*F32</f>
        <v>192357.19649999999</v>
      </c>
      <c r="G34" s="35"/>
      <c r="H34" s="35">
        <f>H35*H32</f>
        <v>26670.384300000002</v>
      </c>
      <c r="I34" s="35"/>
      <c r="J34" s="35">
        <f>J35*J32</f>
        <v>7000</v>
      </c>
      <c r="K34" s="35"/>
      <c r="L34" s="35">
        <f>L35*L32</f>
        <v>20300</v>
      </c>
      <c r="M34" s="35"/>
      <c r="N34" s="35">
        <f>N35*N32</f>
        <v>3000</v>
      </c>
      <c r="O34" s="35"/>
      <c r="P34" s="35">
        <f>P35*P32</f>
        <v>45300</v>
      </c>
      <c r="Q34" s="35"/>
      <c r="R34" s="35"/>
      <c r="S34" s="37"/>
      <c r="T34" s="35">
        <f>SUM(C34:P34)</f>
        <v>566838.58279999997</v>
      </c>
      <c r="U34" s="34"/>
      <c r="V34" s="5"/>
    </row>
    <row r="35" spans="1:22" ht="15.6" x14ac:dyDescent="0.3">
      <c r="A35" s="28"/>
      <c r="B35" s="123" t="s">
        <v>139</v>
      </c>
      <c r="C35" s="127"/>
      <c r="D35" s="138">
        <v>0.78673700000000002</v>
      </c>
      <c r="E35" s="139"/>
      <c r="F35" s="138">
        <v>0.78673700000000002</v>
      </c>
      <c r="G35" s="138"/>
      <c r="H35" s="138">
        <v>0.78673700000000002</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38">
        <v>0.82679800000000003</v>
      </c>
      <c r="E36" s="139"/>
      <c r="F36" s="138">
        <v>0.82679800000000003</v>
      </c>
      <c r="G36" s="138"/>
      <c r="H36" s="138">
        <v>0.82679800000000003</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5.71563E-2</v>
      </c>
      <c r="E38" s="25"/>
      <c r="F38" s="38">
        <v>3.9940000000000003E-2</v>
      </c>
      <c r="G38" s="39"/>
      <c r="H38" s="38">
        <v>5.5399999999999998E-2</v>
      </c>
      <c r="I38" s="39"/>
      <c r="J38" s="38">
        <v>5.8256299999999997E-2</v>
      </c>
      <c r="K38" s="39"/>
      <c r="L38" s="38">
        <v>4.104E-2</v>
      </c>
      <c r="M38" s="39"/>
      <c r="N38" s="38">
        <v>6.05563E-2</v>
      </c>
      <c r="O38" s="39"/>
      <c r="P38" s="38">
        <v>4.3339999999999997E-2</v>
      </c>
      <c r="Q38" s="39"/>
      <c r="R38" s="38"/>
      <c r="S38" s="160"/>
      <c r="T38" s="39"/>
      <c r="U38" s="25"/>
      <c r="V38" s="5"/>
    </row>
    <row r="39" spans="1:22" ht="15.6" x14ac:dyDescent="0.3">
      <c r="A39" s="24"/>
      <c r="B39" s="25" t="s">
        <v>14</v>
      </c>
      <c r="C39" s="25"/>
      <c r="D39" s="38">
        <v>5.4074999999999998E-2</v>
      </c>
      <c r="E39" s="25"/>
      <c r="F39" s="38">
        <v>3.7670000000000002E-2</v>
      </c>
      <c r="G39" s="39"/>
      <c r="H39" s="38">
        <v>5.5537499999999997E-2</v>
      </c>
      <c r="I39" s="39"/>
      <c r="J39" s="38">
        <v>5.5175000000000002E-2</v>
      </c>
      <c r="K39" s="39"/>
      <c r="L39" s="38">
        <v>3.8769999999999999E-2</v>
      </c>
      <c r="M39" s="39"/>
      <c r="N39" s="38">
        <v>5.7474999999999998E-2</v>
      </c>
      <c r="O39" s="39"/>
      <c r="P39" s="38">
        <v>4.1070000000000002E-2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5.71563E-2</v>
      </c>
      <c r="E41" s="25"/>
      <c r="F41" s="38">
        <v>5.7256300000000003E-2</v>
      </c>
      <c r="G41" s="39"/>
      <c r="H41" s="38">
        <v>5.7386300000000001E-2</v>
      </c>
      <c r="I41" s="39"/>
      <c r="J41" s="38">
        <f>+J38</f>
        <v>5.8256299999999997E-2</v>
      </c>
      <c r="K41" s="39"/>
      <c r="L41" s="38">
        <v>5.8551300000000001E-2</v>
      </c>
      <c r="M41" s="39"/>
      <c r="N41" s="38">
        <f>+N38</f>
        <v>6.05563E-2</v>
      </c>
      <c r="O41" s="39"/>
      <c r="P41" s="38">
        <v>6.0996300000000003E-2</v>
      </c>
      <c r="Q41" s="39"/>
      <c r="R41" s="38"/>
      <c r="S41" s="160"/>
      <c r="T41" s="39">
        <f>SUMPRODUCT(D41:P41,D33:P33)/T33</f>
        <v>5.7573350166565181E-2</v>
      </c>
      <c r="U41" s="25"/>
      <c r="V41" s="5"/>
    </row>
    <row r="42" spans="1:22" ht="15.6" x14ac:dyDescent="0.3">
      <c r="A42" s="24"/>
      <c r="B42" s="25" t="s">
        <v>294</v>
      </c>
      <c r="C42" s="25"/>
      <c r="D42" s="38">
        <f>+D39</f>
        <v>5.4074999999999998E-2</v>
      </c>
      <c r="E42" s="25"/>
      <c r="F42" s="38">
        <v>5.4175000000000001E-2</v>
      </c>
      <c r="G42" s="39"/>
      <c r="H42" s="38">
        <v>5.4304999999999999E-2</v>
      </c>
      <c r="I42" s="39"/>
      <c r="J42" s="38">
        <f>+J39</f>
        <v>5.5175000000000002E-2</v>
      </c>
      <c r="K42" s="39"/>
      <c r="L42" s="38">
        <v>5.5469999999999998E-2</v>
      </c>
      <c r="M42" s="39"/>
      <c r="N42" s="38">
        <f>+N39</f>
        <v>5.7474999999999998E-2</v>
      </c>
      <c r="O42" s="39"/>
      <c r="P42" s="38">
        <v>5.7915000000000001E-2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0.15389670650275317</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39217</v>
      </c>
      <c r="U53" s="25"/>
      <c r="V53" s="5"/>
    </row>
    <row r="54" spans="1:23" ht="15.6" x14ac:dyDescent="0.3">
      <c r="A54" s="24"/>
      <c r="B54" s="25" t="s">
        <v>130</v>
      </c>
      <c r="C54" s="25"/>
      <c r="D54" s="25"/>
      <c r="E54" s="25"/>
      <c r="F54" s="25"/>
      <c r="G54" s="25"/>
      <c r="H54" s="58"/>
      <c r="I54" s="58"/>
      <c r="J54" s="58"/>
      <c r="K54" s="58"/>
      <c r="L54" s="58"/>
      <c r="M54" s="58"/>
      <c r="N54" s="58"/>
      <c r="O54" s="58"/>
      <c r="P54" s="25">
        <f>+T54-R54+1</f>
        <v>92</v>
      </c>
      <c r="Q54" s="25"/>
      <c r="R54" s="45">
        <v>39036</v>
      </c>
      <c r="S54" s="46"/>
      <c r="T54" s="45">
        <v>39127</v>
      </c>
      <c r="U54" s="25"/>
      <c r="V54" s="5"/>
    </row>
    <row r="55" spans="1:23" ht="15.6" x14ac:dyDescent="0.3">
      <c r="A55" s="24"/>
      <c r="B55" s="25" t="s">
        <v>131</v>
      </c>
      <c r="C55" s="25"/>
      <c r="D55" s="25"/>
      <c r="E55" s="25"/>
      <c r="F55" s="25"/>
      <c r="G55" s="25"/>
      <c r="H55" s="25"/>
      <c r="I55" s="25"/>
      <c r="J55" s="25"/>
      <c r="K55" s="25"/>
      <c r="L55" s="25"/>
      <c r="M55" s="25"/>
      <c r="N55" s="25"/>
      <c r="O55" s="25"/>
      <c r="P55" s="25">
        <f>+T55-R55+1</f>
        <v>89</v>
      </c>
      <c r="Q55" s="25"/>
      <c r="R55" s="45">
        <v>39128</v>
      </c>
      <c r="S55" s="46"/>
      <c r="T55" s="45">
        <v>39216</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39203</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271</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591853</v>
      </c>
      <c r="M66" s="34"/>
      <c r="N66" s="34">
        <f>25014+2319+933</f>
        <v>28266</v>
      </c>
      <c r="O66" s="34"/>
      <c r="P66" s="34">
        <f>2319+933</f>
        <v>3252</v>
      </c>
      <c r="Q66" s="34"/>
      <c r="R66" s="34">
        <v>0</v>
      </c>
      <c r="S66" s="34"/>
      <c r="T66" s="53">
        <f>+L66-N66+P66-R66</f>
        <v>566839</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591853</v>
      </c>
      <c r="M69" s="34"/>
      <c r="N69" s="34">
        <f>SUM(N66:N68)</f>
        <v>28266</v>
      </c>
      <c r="O69" s="34"/>
      <c r="P69" s="34">
        <f>SUM(P66:P68)</f>
        <v>3252</v>
      </c>
      <c r="Q69" s="34"/>
      <c r="R69" s="34">
        <f>SUM(R66:R68)</f>
        <v>0</v>
      </c>
      <c r="S69" s="34"/>
      <c r="T69" s="54">
        <f>SUM(T66:T68)</f>
        <v>566839</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2"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2" ht="15.6" x14ac:dyDescent="0.3">
      <c r="A82" s="24"/>
      <c r="B82" s="25" t="s">
        <v>27</v>
      </c>
      <c r="C82" s="34"/>
      <c r="D82" s="34"/>
      <c r="E82" s="34"/>
      <c r="F82" s="54"/>
      <c r="G82" s="34"/>
      <c r="H82" s="54"/>
      <c r="I82" s="54"/>
      <c r="J82" s="54">
        <f>SUM(J69:J81)</f>
        <v>700000</v>
      </c>
      <c r="K82" s="34"/>
      <c r="L82" s="54">
        <f>SUM(L69:L81)</f>
        <v>591853</v>
      </c>
      <c r="M82" s="34"/>
      <c r="N82" s="34"/>
      <c r="O82" s="34"/>
      <c r="P82" s="34"/>
      <c r="Q82" s="34"/>
      <c r="R82" s="54"/>
      <c r="S82" s="34"/>
      <c r="T82" s="54">
        <f>SUM(T69:T81)</f>
        <v>566839</v>
      </c>
      <c r="U82" s="25"/>
      <c r="V82" s="5"/>
    </row>
    <row r="83" spans="1:22"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2" ht="15.6" x14ac:dyDescent="0.3">
      <c r="A84" s="6"/>
      <c r="B84" s="8"/>
      <c r="C84" s="8"/>
      <c r="D84" s="8"/>
      <c r="E84" s="8"/>
      <c r="F84" s="8"/>
      <c r="G84" s="8"/>
      <c r="H84" s="8"/>
      <c r="I84" s="8"/>
      <c r="J84" s="8"/>
      <c r="K84" s="8"/>
      <c r="L84" s="8"/>
      <c r="M84" s="8"/>
      <c r="N84" s="8"/>
      <c r="O84" s="8"/>
      <c r="P84" s="8"/>
      <c r="Q84" s="8"/>
      <c r="R84" s="8"/>
      <c r="S84" s="8"/>
      <c r="T84" s="8"/>
      <c r="U84" s="8"/>
      <c r="V84" s="5"/>
    </row>
    <row r="85" spans="1:22" ht="15.6" x14ac:dyDescent="0.3">
      <c r="A85" s="6"/>
      <c r="B85" s="51" t="s">
        <v>28</v>
      </c>
      <c r="C85" s="14"/>
      <c r="D85" s="14"/>
      <c r="E85" s="14"/>
      <c r="F85" s="14"/>
      <c r="G85" s="14"/>
      <c r="H85" s="17"/>
      <c r="I85" s="17"/>
      <c r="J85" s="158" t="s">
        <v>101</v>
      </c>
      <c r="K85" s="17"/>
      <c r="L85" s="157">
        <f>+R194</f>
        <v>39202</v>
      </c>
      <c r="M85" s="17"/>
      <c r="N85" s="17"/>
      <c r="O85" s="17"/>
      <c r="P85" s="17"/>
      <c r="Q85" s="17"/>
      <c r="R85" s="17" t="s">
        <v>114</v>
      </c>
      <c r="S85" s="17"/>
      <c r="T85" s="17" t="s">
        <v>122</v>
      </c>
      <c r="U85" s="8"/>
      <c r="V85" s="5"/>
    </row>
    <row r="86" spans="1:22"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2" ht="15.6" x14ac:dyDescent="0.3">
      <c r="A87" s="24"/>
      <c r="B87" s="25" t="s">
        <v>30</v>
      </c>
      <c r="C87" s="25"/>
      <c r="D87" s="25"/>
      <c r="E87" s="25"/>
      <c r="F87" s="25"/>
      <c r="G87" s="25"/>
      <c r="H87" s="40"/>
      <c r="I87" s="57"/>
      <c r="J87" s="40"/>
      <c r="K87" s="25"/>
      <c r="L87" s="128"/>
      <c r="M87" s="25"/>
      <c r="N87" s="25"/>
      <c r="O87" s="25"/>
      <c r="P87" s="25"/>
      <c r="Q87" s="25"/>
      <c r="R87" s="34">
        <v>28266</v>
      </c>
      <c r="S87" s="25"/>
      <c r="T87" s="53"/>
      <c r="U87" s="25"/>
      <c r="V87" s="5"/>
    </row>
    <row r="88" spans="1:22" ht="15.6" x14ac:dyDescent="0.3">
      <c r="A88" s="24"/>
      <c r="B88" s="25" t="s">
        <v>254</v>
      </c>
      <c r="C88" s="25"/>
      <c r="D88" s="25"/>
      <c r="E88" s="25"/>
      <c r="F88" s="25"/>
      <c r="G88" s="25"/>
      <c r="H88" s="40"/>
      <c r="I88" s="57"/>
      <c r="J88" s="40"/>
      <c r="K88" s="25"/>
      <c r="L88" s="128"/>
      <c r="M88" s="25"/>
      <c r="N88" s="25"/>
      <c r="O88" s="25"/>
      <c r="P88" s="25"/>
      <c r="Q88" s="25"/>
      <c r="R88" s="34"/>
      <c r="S88" s="25"/>
      <c r="T88" s="53">
        <f>5969+3647-734-568-1</f>
        <v>8313</v>
      </c>
      <c r="U88" s="25"/>
      <c r="V88" s="5"/>
    </row>
    <row r="89" spans="1:22" ht="15.6" x14ac:dyDescent="0.3">
      <c r="A89" s="24"/>
      <c r="B89" s="25" t="s">
        <v>255</v>
      </c>
      <c r="C89" s="25"/>
      <c r="D89" s="25"/>
      <c r="E89" s="25"/>
      <c r="F89" s="25"/>
      <c r="G89" s="25"/>
      <c r="H89" s="40"/>
      <c r="I89" s="57"/>
      <c r="J89" s="40"/>
      <c r="K89" s="25"/>
      <c r="L89" s="128"/>
      <c r="M89" s="25"/>
      <c r="N89" s="25"/>
      <c r="O89" s="25"/>
      <c r="P89" s="25"/>
      <c r="Q89" s="25"/>
      <c r="R89" s="34"/>
      <c r="S89" s="25"/>
      <c r="T89" s="53">
        <f>174+201</f>
        <v>375</v>
      </c>
      <c r="U89" s="25"/>
      <c r="V89" s="5"/>
    </row>
    <row r="90" spans="1:22" ht="15.6" x14ac:dyDescent="0.3">
      <c r="A90" s="24"/>
      <c r="B90" s="25" t="s">
        <v>256</v>
      </c>
      <c r="C90" s="25"/>
      <c r="D90" s="25"/>
      <c r="E90" s="25"/>
      <c r="F90" s="25"/>
      <c r="G90" s="25"/>
      <c r="H90" s="40"/>
      <c r="I90" s="57"/>
      <c r="J90" s="40"/>
      <c r="K90" s="25"/>
      <c r="L90" s="128"/>
      <c r="M90" s="25"/>
      <c r="N90" s="25"/>
      <c r="O90" s="25"/>
      <c r="P90" s="25"/>
      <c r="Q90" s="25"/>
      <c r="R90" s="34"/>
      <c r="S90" s="25"/>
      <c r="T90" s="53">
        <v>402</v>
      </c>
      <c r="U90" s="25"/>
      <c r="V90" s="5"/>
    </row>
    <row r="91" spans="1:22" ht="15.6" x14ac:dyDescent="0.3">
      <c r="A91" s="24"/>
      <c r="B91" s="25" t="s">
        <v>270</v>
      </c>
      <c r="C91" s="25"/>
      <c r="D91" s="25"/>
      <c r="E91" s="25"/>
      <c r="F91" s="25"/>
      <c r="G91" s="25"/>
      <c r="H91" s="40"/>
      <c r="I91" s="57"/>
      <c r="J91" s="40"/>
      <c r="K91" s="25"/>
      <c r="L91" s="128"/>
      <c r="M91" s="25"/>
      <c r="N91" s="25"/>
      <c r="O91" s="25"/>
      <c r="P91" s="25"/>
      <c r="Q91" s="25"/>
      <c r="R91" s="34"/>
      <c r="S91" s="25"/>
      <c r="T91" s="53">
        <v>615</v>
      </c>
      <c r="U91" s="25"/>
      <c r="V91" s="5"/>
    </row>
    <row r="92" spans="1:22" ht="15.6" x14ac:dyDescent="0.3">
      <c r="A92" s="24"/>
      <c r="B92" s="25" t="s">
        <v>144</v>
      </c>
      <c r="C92" s="25"/>
      <c r="D92" s="25"/>
      <c r="E92" s="25"/>
      <c r="F92" s="25"/>
      <c r="G92" s="25"/>
      <c r="H92" s="25"/>
      <c r="I92" s="25"/>
      <c r="J92" s="25"/>
      <c r="K92" s="25"/>
      <c r="L92" s="25"/>
      <c r="M92" s="25"/>
      <c r="N92" s="25"/>
      <c r="O92" s="25"/>
      <c r="P92" s="25"/>
      <c r="Q92" s="25"/>
      <c r="R92" s="34"/>
      <c r="S92" s="25"/>
      <c r="T92" s="53">
        <v>0</v>
      </c>
      <c r="U92" s="25"/>
      <c r="V92" s="5"/>
    </row>
    <row r="93" spans="1:22" ht="15.6" x14ac:dyDescent="0.3">
      <c r="A93" s="24"/>
      <c r="B93" s="25" t="s">
        <v>233</v>
      </c>
      <c r="C93" s="25"/>
      <c r="D93" s="25"/>
      <c r="E93" s="25"/>
      <c r="F93" s="25"/>
      <c r="G93" s="25"/>
      <c r="H93" s="25"/>
      <c r="I93" s="25"/>
      <c r="J93" s="25"/>
      <c r="K93" s="25"/>
      <c r="L93" s="25"/>
      <c r="M93" s="25"/>
      <c r="N93" s="25"/>
      <c r="O93" s="25"/>
      <c r="P93" s="25"/>
      <c r="Q93" s="25"/>
      <c r="R93" s="34"/>
      <c r="S93" s="25"/>
      <c r="T93" s="53">
        <v>507</v>
      </c>
      <c r="U93" s="25"/>
      <c r="V93" s="5"/>
    </row>
    <row r="94" spans="1:22" ht="15.6" x14ac:dyDescent="0.3">
      <c r="A94" s="24"/>
      <c r="B94" s="25" t="s">
        <v>32</v>
      </c>
      <c r="C94" s="25"/>
      <c r="D94" s="25"/>
      <c r="E94" s="25"/>
      <c r="F94" s="25"/>
      <c r="G94" s="25"/>
      <c r="H94" s="25"/>
      <c r="I94" s="25"/>
      <c r="J94" s="25"/>
      <c r="K94" s="25"/>
      <c r="L94" s="25"/>
      <c r="M94" s="25"/>
      <c r="N94" s="25"/>
      <c r="O94" s="25"/>
      <c r="P94" s="25"/>
      <c r="Q94" s="25"/>
      <c r="R94" s="34">
        <f>SUM(R86:R93)</f>
        <v>28266</v>
      </c>
      <c r="S94" s="25"/>
      <c r="T94" s="54">
        <f>SUM(T86:T93)</f>
        <v>10212</v>
      </c>
      <c r="U94" s="25"/>
      <c r="V94" s="5"/>
    </row>
    <row r="95" spans="1:22" ht="15.6" x14ac:dyDescent="0.3">
      <c r="A95" s="24"/>
      <c r="B95" s="25" t="s">
        <v>176</v>
      </c>
      <c r="C95" s="25"/>
      <c r="D95" s="25"/>
      <c r="E95" s="25"/>
      <c r="F95" s="25"/>
      <c r="G95" s="25"/>
      <c r="H95" s="25"/>
      <c r="I95" s="25"/>
      <c r="J95" s="25"/>
      <c r="K95" s="25"/>
      <c r="L95" s="25"/>
      <c r="M95" s="25"/>
      <c r="N95" s="25"/>
      <c r="O95" s="25"/>
      <c r="P95" s="25"/>
      <c r="Q95" s="25"/>
      <c r="R95" s="34">
        <v>-86</v>
      </c>
      <c r="S95" s="25"/>
      <c r="T95" s="54">
        <f>-R95</f>
        <v>86</v>
      </c>
      <c r="U95" s="25"/>
      <c r="V95" s="5"/>
    </row>
    <row r="96" spans="1:22" ht="15.6" x14ac:dyDescent="0.3">
      <c r="A96" s="24"/>
      <c r="B96" s="25" t="s">
        <v>33</v>
      </c>
      <c r="C96" s="25"/>
      <c r="D96" s="25"/>
      <c r="E96" s="25"/>
      <c r="F96" s="25"/>
      <c r="G96" s="25"/>
      <c r="H96" s="25"/>
      <c r="I96" s="25"/>
      <c r="J96" s="25"/>
      <c r="K96" s="25"/>
      <c r="L96" s="25"/>
      <c r="M96" s="25"/>
      <c r="N96" s="25"/>
      <c r="O96" s="25"/>
      <c r="P96" s="25"/>
      <c r="Q96" s="25"/>
      <c r="R96" s="34">
        <f>-T96</f>
        <v>0</v>
      </c>
      <c r="S96" s="25"/>
      <c r="T96" s="53">
        <v>0</v>
      </c>
      <c r="U96" s="25"/>
      <c r="V96" s="5"/>
    </row>
    <row r="97" spans="1:23" ht="15.6" x14ac:dyDescent="0.3">
      <c r="A97" s="24"/>
      <c r="B97" s="25" t="s">
        <v>34</v>
      </c>
      <c r="C97" s="25"/>
      <c r="D97" s="25"/>
      <c r="E97" s="25"/>
      <c r="F97" s="25"/>
      <c r="G97" s="25"/>
      <c r="H97" s="25"/>
      <c r="I97" s="25"/>
      <c r="J97" s="25"/>
      <c r="K97" s="25"/>
      <c r="L97" s="25"/>
      <c r="M97" s="25"/>
      <c r="N97" s="25"/>
      <c r="O97" s="25"/>
      <c r="P97" s="25"/>
      <c r="Q97" s="25"/>
      <c r="R97" s="34">
        <f>R94+R96+R95</f>
        <v>28180</v>
      </c>
      <c r="S97" s="25"/>
      <c r="T97" s="54">
        <f>T94+T96+T95</f>
        <v>10298</v>
      </c>
      <c r="U97" s="25"/>
      <c r="V97" s="5"/>
      <c r="W97" s="166"/>
    </row>
    <row r="98" spans="1:23" ht="15.6" x14ac:dyDescent="0.3">
      <c r="A98" s="24"/>
      <c r="B98" s="119" t="s">
        <v>35</v>
      </c>
      <c r="C98" s="25"/>
      <c r="D98" s="25"/>
      <c r="E98" s="25"/>
      <c r="F98" s="25"/>
      <c r="G98" s="25"/>
      <c r="H98" s="25"/>
      <c r="I98" s="25"/>
      <c r="J98" s="25"/>
      <c r="K98" s="25"/>
      <c r="L98" s="25"/>
      <c r="M98" s="25"/>
      <c r="N98" s="25"/>
      <c r="O98" s="25"/>
      <c r="P98" s="25"/>
      <c r="Q98" s="25"/>
      <c r="R98" s="34"/>
      <c r="S98" s="25"/>
      <c r="T98" s="53"/>
      <c r="U98" s="25"/>
      <c r="V98" s="5"/>
    </row>
    <row r="99" spans="1:23" ht="15.6" x14ac:dyDescent="0.3">
      <c r="A99" s="24">
        <v>1</v>
      </c>
      <c r="B99" s="25" t="s">
        <v>36</v>
      </c>
      <c r="C99" s="25"/>
      <c r="D99" s="25"/>
      <c r="E99" s="25"/>
      <c r="F99" s="25"/>
      <c r="G99" s="25"/>
      <c r="H99" s="25"/>
      <c r="I99" s="25"/>
      <c r="J99" s="25"/>
      <c r="K99" s="25"/>
      <c r="L99" s="25"/>
      <c r="M99" s="25"/>
      <c r="N99" s="25"/>
      <c r="O99" s="25"/>
      <c r="P99" s="25"/>
      <c r="Q99" s="25"/>
      <c r="R99" s="25"/>
      <c r="S99" s="25"/>
      <c r="T99" s="53">
        <v>0</v>
      </c>
      <c r="U99" s="25"/>
      <c r="V99" s="5"/>
    </row>
    <row r="100" spans="1:23" ht="15.6" x14ac:dyDescent="0.3">
      <c r="A100" s="24">
        <f>+A99+1</f>
        <v>2</v>
      </c>
      <c r="B100" s="25" t="s">
        <v>37</v>
      </c>
      <c r="C100" s="25"/>
      <c r="D100" s="25"/>
      <c r="E100" s="25"/>
      <c r="F100" s="25"/>
      <c r="G100" s="25"/>
      <c r="H100" s="25"/>
      <c r="I100" s="25"/>
      <c r="J100" s="25"/>
      <c r="K100" s="25"/>
      <c r="L100" s="25"/>
      <c r="M100" s="25"/>
      <c r="N100" s="25"/>
      <c r="O100" s="25"/>
      <c r="P100" s="25"/>
      <c r="Q100" s="25"/>
      <c r="R100" s="25"/>
      <c r="S100" s="25"/>
      <c r="T100" s="53">
        <v>-2</v>
      </c>
      <c r="U100" s="25"/>
      <c r="V100" s="5"/>
    </row>
    <row r="101" spans="1:23" ht="15.6" x14ac:dyDescent="0.3">
      <c r="A101" s="24">
        <f>+A100+1</f>
        <v>3</v>
      </c>
      <c r="B101" s="25" t="s">
        <v>160</v>
      </c>
      <c r="C101" s="25"/>
      <c r="D101" s="25"/>
      <c r="E101" s="25"/>
      <c r="F101" s="25"/>
      <c r="G101" s="25"/>
      <c r="H101" s="25"/>
      <c r="I101" s="25"/>
      <c r="J101" s="25"/>
      <c r="K101" s="25"/>
      <c r="L101" s="25"/>
      <c r="M101" s="25"/>
      <c r="N101" s="25"/>
      <c r="O101" s="25"/>
      <c r="P101" s="25"/>
      <c r="Q101" s="25"/>
      <c r="R101" s="25"/>
      <c r="S101" s="25"/>
      <c r="T101" s="53">
        <f>-217-8-8</f>
        <v>-233</v>
      </c>
      <c r="U101" s="25"/>
      <c r="V101" s="5"/>
    </row>
    <row r="102" spans="1:23" ht="15.6" x14ac:dyDescent="0.3">
      <c r="A102" s="24" t="s">
        <v>136</v>
      </c>
      <c r="B102" s="25" t="s">
        <v>125</v>
      </c>
      <c r="C102" s="25"/>
      <c r="D102" s="25"/>
      <c r="E102" s="25"/>
      <c r="F102" s="25"/>
      <c r="G102" s="25"/>
      <c r="H102" s="25"/>
      <c r="I102" s="25"/>
      <c r="J102" s="25"/>
      <c r="K102" s="25"/>
      <c r="L102" s="25"/>
      <c r="M102" s="25"/>
      <c r="N102" s="25"/>
      <c r="O102" s="25"/>
      <c r="P102" s="25"/>
      <c r="Q102" s="25"/>
      <c r="R102" s="25"/>
      <c r="S102" s="25"/>
      <c r="T102" s="53">
        <v>0</v>
      </c>
      <c r="U102" s="25"/>
      <c r="V102" s="5"/>
    </row>
    <row r="103" spans="1:23" ht="15.6" x14ac:dyDescent="0.3">
      <c r="A103" s="24" t="s">
        <v>137</v>
      </c>
      <c r="B103" s="25" t="s">
        <v>267</v>
      </c>
      <c r="C103" s="25"/>
      <c r="D103" s="25"/>
      <c r="E103" s="25"/>
      <c r="F103" s="25"/>
      <c r="G103" s="25"/>
      <c r="H103" s="25"/>
      <c r="I103" s="25"/>
      <c r="J103" s="25"/>
      <c r="K103" s="25"/>
      <c r="L103" s="25"/>
      <c r="M103" s="25"/>
      <c r="N103" s="25"/>
      <c r="O103" s="25"/>
      <c r="P103" s="25"/>
      <c r="Q103" s="25"/>
      <c r="R103" s="25"/>
      <c r="S103" s="25"/>
      <c r="T103" s="53">
        <v>-2</v>
      </c>
      <c r="U103" s="25"/>
      <c r="V103" s="5"/>
    </row>
    <row r="104" spans="1:23" ht="15.6" x14ac:dyDescent="0.3">
      <c r="A104" s="24" t="s">
        <v>162</v>
      </c>
      <c r="B104" s="25" t="s">
        <v>218</v>
      </c>
      <c r="C104" s="25"/>
      <c r="D104" s="25"/>
      <c r="E104" s="25"/>
      <c r="F104" s="25"/>
      <c r="G104" s="25"/>
      <c r="H104" s="25"/>
      <c r="I104" s="25"/>
      <c r="J104" s="25"/>
      <c r="K104" s="25"/>
      <c r="L104" s="25"/>
      <c r="M104" s="25"/>
      <c r="N104" s="25"/>
      <c r="O104" s="25"/>
      <c r="P104" s="25"/>
      <c r="Q104" s="25"/>
      <c r="R104" s="25"/>
      <c r="S104" s="25"/>
      <c r="T104" s="53">
        <v>-3987</v>
      </c>
      <c r="U104" s="25"/>
      <c r="V104" s="5"/>
      <c r="W104" s="110"/>
    </row>
    <row r="105" spans="1:23" ht="15.6" x14ac:dyDescent="0.3">
      <c r="A105" s="24" t="s">
        <v>163</v>
      </c>
      <c r="B105" s="25" t="s">
        <v>219</v>
      </c>
      <c r="C105" s="25"/>
      <c r="D105" s="25"/>
      <c r="E105" s="25"/>
      <c r="F105" s="25"/>
      <c r="G105" s="25"/>
      <c r="H105" s="25"/>
      <c r="I105" s="25"/>
      <c r="J105" s="25"/>
      <c r="K105" s="25"/>
      <c r="L105" s="25"/>
      <c r="M105" s="25"/>
      <c r="N105" s="25"/>
      <c r="O105" s="25"/>
      <c r="P105" s="25"/>
      <c r="Q105" s="25"/>
      <c r="R105" s="25"/>
      <c r="S105" s="25"/>
      <c r="T105" s="53">
        <v>-2822</v>
      </c>
      <c r="U105" s="25"/>
      <c r="V105" s="5"/>
      <c r="W105" s="110"/>
    </row>
    <row r="106" spans="1:23" ht="15.6" x14ac:dyDescent="0.3">
      <c r="A106" s="24" t="s">
        <v>252</v>
      </c>
      <c r="B106" s="25" t="s">
        <v>242</v>
      </c>
      <c r="C106" s="25"/>
      <c r="D106" s="25"/>
      <c r="E106" s="25"/>
      <c r="F106" s="25"/>
      <c r="G106" s="25"/>
      <c r="H106" s="25"/>
      <c r="I106" s="25"/>
      <c r="J106" s="25"/>
      <c r="K106" s="25"/>
      <c r="L106" s="25"/>
      <c r="M106" s="25"/>
      <c r="N106" s="25"/>
      <c r="O106" s="25"/>
      <c r="P106" s="25"/>
      <c r="Q106" s="25"/>
      <c r="R106" s="25"/>
      <c r="S106" s="25"/>
      <c r="T106" s="53">
        <v>-392</v>
      </c>
      <c r="U106" s="25"/>
      <c r="V106" s="5"/>
      <c r="W106" s="110"/>
    </row>
    <row r="107" spans="1:23" ht="15.6" x14ac:dyDescent="0.3">
      <c r="A107" s="24" t="s">
        <v>245</v>
      </c>
      <c r="B107" s="25" t="s">
        <v>220</v>
      </c>
      <c r="C107" s="25"/>
      <c r="D107" s="25"/>
      <c r="E107" s="25"/>
      <c r="F107" s="25"/>
      <c r="G107" s="25"/>
      <c r="H107" s="25"/>
      <c r="I107" s="25"/>
      <c r="J107" s="25"/>
      <c r="K107" s="25"/>
      <c r="L107" s="25"/>
      <c r="M107" s="25"/>
      <c r="N107" s="25"/>
      <c r="O107" s="25"/>
      <c r="P107" s="25"/>
      <c r="Q107" s="25"/>
      <c r="R107" s="25"/>
      <c r="S107" s="25"/>
      <c r="T107" s="53">
        <v>-99</v>
      </c>
      <c r="U107" s="25"/>
      <c r="V107" s="5"/>
      <c r="W107" s="110"/>
    </row>
    <row r="108" spans="1:23" ht="15.6" x14ac:dyDescent="0.3">
      <c r="A108" s="24" t="s">
        <v>246</v>
      </c>
      <c r="B108" s="25" t="s">
        <v>221</v>
      </c>
      <c r="C108" s="25"/>
      <c r="D108" s="25"/>
      <c r="E108" s="25"/>
      <c r="F108" s="25"/>
      <c r="G108" s="25"/>
      <c r="H108" s="25"/>
      <c r="I108" s="25"/>
      <c r="J108" s="25"/>
      <c r="K108" s="25"/>
      <c r="L108" s="25"/>
      <c r="M108" s="25"/>
      <c r="N108" s="25"/>
      <c r="O108" s="25"/>
      <c r="P108" s="25"/>
      <c r="Q108" s="25"/>
      <c r="R108" s="25"/>
      <c r="S108" s="25"/>
      <c r="T108" s="53">
        <v>-290</v>
      </c>
      <c r="U108" s="25"/>
      <c r="V108" s="5"/>
      <c r="W108" s="110"/>
    </row>
    <row r="109" spans="1:23" ht="15.6" x14ac:dyDescent="0.3">
      <c r="A109" s="24" t="s">
        <v>247</v>
      </c>
      <c r="B109" s="25" t="s">
        <v>222</v>
      </c>
      <c r="C109" s="25"/>
      <c r="D109" s="25"/>
      <c r="E109" s="25"/>
      <c r="F109" s="25"/>
      <c r="G109" s="25"/>
      <c r="H109" s="25"/>
      <c r="I109" s="25"/>
      <c r="J109" s="25"/>
      <c r="K109" s="25"/>
      <c r="L109" s="25"/>
      <c r="M109" s="25"/>
      <c r="N109" s="25"/>
      <c r="O109" s="25"/>
      <c r="P109" s="25"/>
      <c r="Q109" s="25"/>
      <c r="R109" s="25"/>
      <c r="S109" s="25"/>
      <c r="T109" s="53">
        <v>-44</v>
      </c>
      <c r="U109" s="25"/>
      <c r="V109" s="5"/>
      <c r="W109" s="110"/>
    </row>
    <row r="110" spans="1:23" ht="15.6" x14ac:dyDescent="0.3">
      <c r="A110" s="24" t="s">
        <v>248</v>
      </c>
      <c r="B110" s="25" t="s">
        <v>223</v>
      </c>
      <c r="C110" s="25"/>
      <c r="D110" s="25"/>
      <c r="E110" s="25"/>
      <c r="F110" s="25"/>
      <c r="G110" s="25"/>
      <c r="H110" s="25"/>
      <c r="I110" s="25"/>
      <c r="J110" s="25"/>
      <c r="K110" s="25"/>
      <c r="L110" s="25"/>
      <c r="M110" s="25"/>
      <c r="N110" s="25"/>
      <c r="O110" s="25"/>
      <c r="P110" s="25"/>
      <c r="Q110" s="25"/>
      <c r="R110" s="25"/>
      <c r="S110" s="25"/>
      <c r="T110" s="53">
        <v>-674</v>
      </c>
      <c r="U110" s="25"/>
      <c r="V110" s="5"/>
      <c r="W110" s="110"/>
    </row>
    <row r="111" spans="1:23" ht="15.6" x14ac:dyDescent="0.3">
      <c r="A111" s="24">
        <v>7</v>
      </c>
      <c r="B111" s="25" t="s">
        <v>38</v>
      </c>
      <c r="C111" s="25"/>
      <c r="D111" s="25"/>
      <c r="E111" s="25"/>
      <c r="F111" s="25"/>
      <c r="G111" s="25"/>
      <c r="H111" s="25"/>
      <c r="I111" s="25"/>
      <c r="J111" s="25"/>
      <c r="K111" s="25"/>
      <c r="L111" s="25"/>
      <c r="M111" s="25"/>
      <c r="N111" s="25"/>
      <c r="O111" s="25"/>
      <c r="P111" s="25"/>
      <c r="Q111" s="25"/>
      <c r="R111" s="25"/>
      <c r="S111" s="25"/>
      <c r="T111" s="53">
        <v>-8</v>
      </c>
      <c r="U111" s="25"/>
      <c r="V111" s="5"/>
    </row>
    <row r="112" spans="1:23" ht="15.6" x14ac:dyDescent="0.3">
      <c r="A112" s="24">
        <f t="shared" ref="A112:A117" si="0">+A111+1</f>
        <v>8</v>
      </c>
      <c r="B112" s="25" t="s">
        <v>49</v>
      </c>
      <c r="C112" s="25"/>
      <c r="D112" s="25"/>
      <c r="E112" s="25"/>
      <c r="F112" s="25"/>
      <c r="G112" s="25"/>
      <c r="H112" s="25"/>
      <c r="I112" s="25"/>
      <c r="J112" s="25"/>
      <c r="K112" s="25"/>
      <c r="L112" s="25"/>
      <c r="M112" s="25"/>
      <c r="N112" s="25"/>
      <c r="O112" s="25"/>
      <c r="P112" s="25"/>
      <c r="Q112" s="25"/>
      <c r="R112" s="34">
        <f>-T112</f>
        <v>0</v>
      </c>
      <c r="S112" s="25"/>
      <c r="T112" s="53">
        <v>0</v>
      </c>
      <c r="U112" s="25"/>
      <c r="V112" s="5"/>
    </row>
    <row r="113" spans="1:22" ht="15.6" x14ac:dyDescent="0.3">
      <c r="A113" s="24">
        <f t="shared" si="0"/>
        <v>9</v>
      </c>
      <c r="B113" s="25" t="s">
        <v>134</v>
      </c>
      <c r="C113" s="25"/>
      <c r="D113" s="25"/>
      <c r="E113" s="25"/>
      <c r="F113" s="25"/>
      <c r="G113" s="25"/>
      <c r="H113" s="25"/>
      <c r="I113" s="25"/>
      <c r="J113" s="25"/>
      <c r="K113" s="25"/>
      <c r="L113" s="25"/>
      <c r="M113" s="25"/>
      <c r="N113" s="25"/>
      <c r="O113" s="25"/>
      <c r="P113" s="25"/>
      <c r="Q113" s="25"/>
      <c r="R113" s="25"/>
      <c r="S113" s="25"/>
      <c r="T113" s="53">
        <v>0</v>
      </c>
      <c r="U113" s="25"/>
      <c r="V113" s="5"/>
    </row>
    <row r="114" spans="1:22" ht="15.6" x14ac:dyDescent="0.3">
      <c r="A114" s="24">
        <f t="shared" si="0"/>
        <v>10</v>
      </c>
      <c r="B114" s="25" t="s">
        <v>39</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11</v>
      </c>
      <c r="B115" s="25" t="s">
        <v>40</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12</v>
      </c>
      <c r="B116" s="25" t="s">
        <v>161</v>
      </c>
      <c r="C116" s="25"/>
      <c r="D116" s="25"/>
      <c r="E116" s="25"/>
      <c r="F116" s="25"/>
      <c r="G116" s="25"/>
      <c r="H116" s="25"/>
      <c r="I116" s="25"/>
      <c r="J116" s="25"/>
      <c r="K116" s="25"/>
      <c r="L116" s="25"/>
      <c r="M116" s="25"/>
      <c r="N116" s="25"/>
      <c r="O116" s="25"/>
      <c r="P116" s="25"/>
      <c r="Q116" s="25"/>
      <c r="R116" s="25"/>
      <c r="S116" s="25"/>
      <c r="T116" s="53">
        <v>-217</v>
      </c>
      <c r="U116" s="25"/>
      <c r="V116" s="5"/>
    </row>
    <row r="117" spans="1:22" ht="15.6" x14ac:dyDescent="0.3">
      <c r="A117" s="24">
        <f t="shared" si="0"/>
        <v>13</v>
      </c>
      <c r="B117" s="25" t="s">
        <v>135</v>
      </c>
      <c r="C117" s="25"/>
      <c r="D117" s="25"/>
      <c r="E117" s="25"/>
      <c r="F117" s="25"/>
      <c r="G117" s="25"/>
      <c r="H117" s="25"/>
      <c r="I117" s="25"/>
      <c r="J117" s="25"/>
      <c r="K117" s="25"/>
      <c r="L117" s="25"/>
      <c r="M117" s="25"/>
      <c r="N117" s="25"/>
      <c r="O117" s="25"/>
      <c r="P117" s="25"/>
      <c r="Q117" s="25"/>
      <c r="R117" s="25"/>
      <c r="S117" s="25"/>
      <c r="T117" s="53">
        <f>-T97-SUM(T99:T116)</f>
        <v>-1528</v>
      </c>
      <c r="U117" s="25"/>
      <c r="V117" s="5"/>
    </row>
    <row r="118" spans="1:22" ht="15.6" x14ac:dyDescent="0.3">
      <c r="A118" s="24"/>
      <c r="B118" s="119" t="s">
        <v>41</v>
      </c>
      <c r="C118" s="25"/>
      <c r="D118" s="25"/>
      <c r="E118" s="25"/>
      <c r="F118" s="25"/>
      <c r="G118" s="25"/>
      <c r="H118" s="25"/>
      <c r="I118" s="25"/>
      <c r="J118" s="25"/>
      <c r="K118" s="25"/>
      <c r="L118" s="25"/>
      <c r="M118" s="25"/>
      <c r="N118" s="25"/>
      <c r="O118" s="25"/>
      <c r="P118" s="25"/>
      <c r="Q118" s="25"/>
      <c r="R118" s="25"/>
      <c r="S118" s="25"/>
      <c r="T118" s="59"/>
      <c r="U118" s="25"/>
      <c r="V118" s="5"/>
    </row>
    <row r="119" spans="1:22" ht="15.6" x14ac:dyDescent="0.3">
      <c r="A119" s="24"/>
      <c r="B119" s="25" t="s">
        <v>229</v>
      </c>
      <c r="C119" s="25"/>
      <c r="D119" s="25"/>
      <c r="E119" s="25"/>
      <c r="F119" s="25"/>
      <c r="G119" s="25"/>
      <c r="H119" s="25"/>
      <c r="I119" s="25"/>
      <c r="J119" s="25"/>
      <c r="K119" s="25"/>
      <c r="L119" s="25"/>
      <c r="M119" s="25"/>
      <c r="N119" s="25"/>
      <c r="O119" s="25"/>
      <c r="P119" s="25"/>
      <c r="Q119" s="25"/>
      <c r="R119" s="34">
        <f>-R178</f>
        <v>-39</v>
      </c>
      <c r="S119" s="34"/>
      <c r="T119" s="53"/>
      <c r="U119" s="25"/>
      <c r="V119" s="5"/>
    </row>
    <row r="120" spans="1:22" ht="15.6" x14ac:dyDescent="0.3">
      <c r="A120" s="24"/>
      <c r="B120" s="25" t="s">
        <v>230</v>
      </c>
      <c r="C120" s="25"/>
      <c r="D120" s="25"/>
      <c r="E120" s="25"/>
      <c r="F120" s="25"/>
      <c r="G120" s="25"/>
      <c r="H120" s="25"/>
      <c r="I120" s="25"/>
      <c r="J120" s="25"/>
      <c r="K120" s="25"/>
      <c r="L120" s="25"/>
      <c r="M120" s="25"/>
      <c r="N120" s="25"/>
      <c r="O120" s="25"/>
      <c r="P120" s="25"/>
      <c r="Q120" s="25"/>
      <c r="R120" s="34">
        <v>-135</v>
      </c>
      <c r="S120" s="34"/>
      <c r="T120" s="53"/>
      <c r="U120" s="25"/>
      <c r="V120" s="5"/>
    </row>
    <row r="121" spans="1:22" ht="15.6" x14ac:dyDescent="0.3">
      <c r="A121" s="24"/>
      <c r="B121" s="25" t="s">
        <v>42</v>
      </c>
      <c r="C121" s="25"/>
      <c r="D121" s="25"/>
      <c r="E121" s="25"/>
      <c r="F121" s="25"/>
      <c r="G121" s="25"/>
      <c r="H121" s="25"/>
      <c r="I121" s="25"/>
      <c r="J121" s="25"/>
      <c r="K121" s="25"/>
      <c r="L121" s="25"/>
      <c r="M121" s="25"/>
      <c r="N121" s="25"/>
      <c r="O121" s="25"/>
      <c r="P121" s="25"/>
      <c r="Q121" s="25"/>
      <c r="R121" s="34">
        <f>-Q178</f>
        <v>-2992</v>
      </c>
      <c r="S121" s="34"/>
      <c r="T121" s="53"/>
      <c r="U121" s="25"/>
      <c r="V121" s="5"/>
    </row>
    <row r="122" spans="1:22" ht="15.6" x14ac:dyDescent="0.3">
      <c r="A122" s="24"/>
      <c r="B122" s="25" t="s">
        <v>235</v>
      </c>
      <c r="C122" s="25"/>
      <c r="D122" s="25"/>
      <c r="E122" s="25"/>
      <c r="F122" s="25"/>
      <c r="G122" s="25"/>
      <c r="H122" s="25"/>
      <c r="I122" s="25"/>
      <c r="J122" s="25"/>
      <c r="K122" s="25"/>
      <c r="L122" s="25"/>
      <c r="M122" s="25"/>
      <c r="N122" s="25"/>
      <c r="O122" s="25"/>
      <c r="P122" s="25"/>
      <c r="Q122" s="25"/>
      <c r="R122" s="34">
        <v>-13861</v>
      </c>
      <c r="S122" s="34"/>
      <c r="T122" s="53"/>
      <c r="U122" s="25"/>
      <c r="V122" s="5"/>
    </row>
    <row r="123" spans="1:22" ht="15.6" x14ac:dyDescent="0.3">
      <c r="A123" s="24"/>
      <c r="B123" s="25" t="s">
        <v>236</v>
      </c>
      <c r="C123" s="25"/>
      <c r="D123" s="25"/>
      <c r="E123" s="25"/>
      <c r="F123" s="25"/>
      <c r="G123" s="25"/>
      <c r="H123" s="25"/>
      <c r="I123" s="25"/>
      <c r="J123" s="25"/>
      <c r="K123" s="25"/>
      <c r="L123" s="25"/>
      <c r="M123" s="25"/>
      <c r="N123" s="25"/>
      <c r="O123" s="25"/>
      <c r="P123" s="25"/>
      <c r="Q123" s="25"/>
      <c r="R123" s="34">
        <v>-9795</v>
      </c>
      <c r="S123" s="34"/>
      <c r="T123" s="53"/>
      <c r="U123" s="25"/>
      <c r="V123" s="5"/>
    </row>
    <row r="124" spans="1:22" ht="15.6" x14ac:dyDescent="0.3">
      <c r="A124" s="24"/>
      <c r="B124" s="25" t="s">
        <v>241</v>
      </c>
      <c r="C124" s="25"/>
      <c r="D124" s="25"/>
      <c r="E124" s="25"/>
      <c r="F124" s="25"/>
      <c r="G124" s="25"/>
      <c r="H124" s="25"/>
      <c r="I124" s="25"/>
      <c r="J124" s="25"/>
      <c r="K124" s="25"/>
      <c r="L124" s="25"/>
      <c r="M124" s="25"/>
      <c r="N124" s="25"/>
      <c r="O124" s="25"/>
      <c r="P124" s="25"/>
      <c r="Q124" s="25"/>
      <c r="R124" s="34">
        <v>-1358</v>
      </c>
      <c r="S124" s="34"/>
      <c r="T124" s="53"/>
      <c r="U124" s="25"/>
      <c r="V124" s="5"/>
    </row>
    <row r="125" spans="1:22" ht="15.6" x14ac:dyDescent="0.3">
      <c r="A125" s="24"/>
      <c r="B125" s="25" t="s">
        <v>237</v>
      </c>
      <c r="C125" s="25"/>
      <c r="D125" s="25"/>
      <c r="E125" s="25"/>
      <c r="F125" s="25"/>
      <c r="G125" s="25"/>
      <c r="H125" s="25"/>
      <c r="I125" s="25"/>
      <c r="J125" s="25"/>
      <c r="K125" s="25"/>
      <c r="L125" s="25"/>
      <c r="M125" s="25"/>
      <c r="N125" s="25"/>
      <c r="O125" s="25"/>
      <c r="P125" s="25"/>
      <c r="Q125" s="25"/>
      <c r="R125" s="34">
        <v>0</v>
      </c>
      <c r="S125" s="34"/>
      <c r="T125" s="53"/>
      <c r="U125" s="25"/>
      <c r="V125" s="5"/>
    </row>
    <row r="126" spans="1:22" ht="15.6" x14ac:dyDescent="0.3">
      <c r="A126" s="24"/>
      <c r="B126" s="25" t="s">
        <v>238</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239</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240</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43</v>
      </c>
      <c r="C129" s="25"/>
      <c r="D129" s="25"/>
      <c r="E129" s="25"/>
      <c r="F129" s="25"/>
      <c r="G129" s="25"/>
      <c r="H129" s="25"/>
      <c r="I129" s="25"/>
      <c r="J129" s="25"/>
      <c r="K129" s="25"/>
      <c r="L129" s="25"/>
      <c r="M129" s="25"/>
      <c r="N129" s="25"/>
      <c r="O129" s="25"/>
      <c r="P129" s="25"/>
      <c r="Q129" s="25"/>
      <c r="R129" s="34">
        <f>SUM(R119:R128)</f>
        <v>-28180</v>
      </c>
      <c r="S129" s="34"/>
      <c r="T129" s="34">
        <f>SUM(T98:T127)</f>
        <v>-10298</v>
      </c>
      <c r="U129" s="25"/>
      <c r="V129" s="5"/>
    </row>
    <row r="130" spans="1:22" ht="15.6" x14ac:dyDescent="0.3">
      <c r="A130" s="24"/>
      <c r="B130" s="25" t="s">
        <v>44</v>
      </c>
      <c r="C130" s="25"/>
      <c r="D130" s="25"/>
      <c r="E130" s="25"/>
      <c r="F130" s="25"/>
      <c r="G130" s="25"/>
      <c r="H130" s="25"/>
      <c r="I130" s="25"/>
      <c r="J130" s="25"/>
      <c r="K130" s="25"/>
      <c r="L130" s="25"/>
      <c r="M130" s="25"/>
      <c r="N130" s="25"/>
      <c r="O130" s="25"/>
      <c r="P130" s="25"/>
      <c r="Q130" s="25"/>
      <c r="R130" s="34">
        <f>R97+R129+R112</f>
        <v>0</v>
      </c>
      <c r="S130" s="34"/>
      <c r="T130" s="34">
        <f>T97+T129</f>
        <v>0</v>
      </c>
      <c r="U130" s="25"/>
      <c r="V130" s="5"/>
    </row>
    <row r="131" spans="1:22" ht="15.6" x14ac:dyDescent="0.3">
      <c r="A131" s="24"/>
      <c r="B131" s="25"/>
      <c r="C131" s="25"/>
      <c r="D131" s="25"/>
      <c r="E131" s="25"/>
      <c r="F131" s="25"/>
      <c r="G131" s="25"/>
      <c r="H131" s="25"/>
      <c r="I131" s="25"/>
      <c r="J131" s="25"/>
      <c r="K131" s="25"/>
      <c r="L131" s="25"/>
      <c r="M131" s="25"/>
      <c r="N131" s="25"/>
      <c r="O131" s="25"/>
      <c r="P131" s="25"/>
      <c r="Q131" s="25"/>
      <c r="R131" s="34"/>
      <c r="S131" s="34"/>
      <c r="T131" s="34"/>
      <c r="U131" s="25"/>
      <c r="V131" s="5"/>
    </row>
    <row r="132" spans="1:22" ht="15.6" x14ac:dyDescent="0.3">
      <c r="A132" s="6"/>
      <c r="B132" s="8"/>
      <c r="C132" s="8"/>
      <c r="D132" s="8"/>
      <c r="E132" s="8"/>
      <c r="F132" s="8"/>
      <c r="G132" s="8"/>
      <c r="H132" s="8"/>
      <c r="I132" s="8"/>
      <c r="J132" s="8"/>
      <c r="K132" s="8"/>
      <c r="L132" s="8"/>
      <c r="M132" s="8"/>
      <c r="N132" s="8"/>
      <c r="O132" s="8"/>
      <c r="P132" s="8"/>
      <c r="Q132" s="8"/>
      <c r="R132" s="8"/>
      <c r="S132" s="8"/>
      <c r="T132" s="52"/>
      <c r="U132" s="8"/>
      <c r="V132" s="5"/>
    </row>
    <row r="133" spans="1:22" ht="18" thickBot="1" x14ac:dyDescent="0.35">
      <c r="A133" s="102"/>
      <c r="B133" s="103" t="str">
        <f>B61</f>
        <v>PM9 INVESTOR REPORT QUARTER ENDING APRIL 2007</v>
      </c>
      <c r="C133" s="104"/>
      <c r="D133" s="104"/>
      <c r="E133" s="104"/>
      <c r="F133" s="104"/>
      <c r="G133" s="104"/>
      <c r="H133" s="104"/>
      <c r="I133" s="104"/>
      <c r="J133" s="104"/>
      <c r="K133" s="104"/>
      <c r="L133" s="104"/>
      <c r="M133" s="104"/>
      <c r="N133" s="104"/>
      <c r="O133" s="104"/>
      <c r="P133" s="104"/>
      <c r="Q133" s="104"/>
      <c r="R133" s="104"/>
      <c r="S133" s="104"/>
      <c r="T133" s="107"/>
      <c r="U133" s="106"/>
      <c r="V133" s="5"/>
    </row>
    <row r="134" spans="1:22" ht="15.6" x14ac:dyDescent="0.3">
      <c r="A134" s="2"/>
      <c r="B134" s="60" t="s">
        <v>45</v>
      </c>
      <c r="C134" s="4"/>
      <c r="D134" s="4"/>
      <c r="E134" s="4"/>
      <c r="F134" s="4"/>
      <c r="G134" s="4"/>
      <c r="H134" s="4"/>
      <c r="I134" s="4"/>
      <c r="J134" s="4"/>
      <c r="K134" s="4"/>
      <c r="L134" s="4"/>
      <c r="M134" s="4"/>
      <c r="N134" s="4"/>
      <c r="O134" s="4"/>
      <c r="P134" s="4"/>
      <c r="Q134" s="4"/>
      <c r="R134" s="4"/>
      <c r="S134" s="4"/>
      <c r="T134" s="50"/>
      <c r="U134" s="4"/>
      <c r="V134" s="5"/>
    </row>
    <row r="135" spans="1:22" ht="15.6" x14ac:dyDescent="0.3">
      <c r="A135" s="6"/>
      <c r="B135" s="21"/>
      <c r="C135" s="8"/>
      <c r="D135" s="8"/>
      <c r="E135" s="8"/>
      <c r="F135" s="8"/>
      <c r="G135" s="8"/>
      <c r="H135" s="8"/>
      <c r="I135" s="8"/>
      <c r="J135" s="8"/>
      <c r="K135" s="8"/>
      <c r="L135" s="8"/>
      <c r="M135" s="8"/>
      <c r="N135" s="8"/>
      <c r="O135" s="8"/>
      <c r="P135" s="8"/>
      <c r="Q135" s="8"/>
      <c r="R135" s="8"/>
      <c r="S135" s="8"/>
      <c r="T135" s="52"/>
      <c r="U135" s="8"/>
      <c r="V135" s="5"/>
    </row>
    <row r="136" spans="1:22" ht="15.6" x14ac:dyDescent="0.3">
      <c r="A136" s="6"/>
      <c r="B136" s="120" t="s">
        <v>46</v>
      </c>
      <c r="C136" s="8"/>
      <c r="D136" s="8"/>
      <c r="E136" s="8"/>
      <c r="F136" s="8"/>
      <c r="G136" s="8"/>
      <c r="H136" s="8"/>
      <c r="I136" s="8"/>
      <c r="J136" s="8"/>
      <c r="K136" s="8"/>
      <c r="L136" s="8"/>
      <c r="M136" s="8"/>
      <c r="N136" s="8"/>
      <c r="O136" s="8"/>
      <c r="P136" s="8"/>
      <c r="Q136" s="8"/>
      <c r="R136" s="8"/>
      <c r="S136" s="8"/>
      <c r="T136" s="52"/>
      <c r="U136" s="8"/>
      <c r="V136" s="5"/>
    </row>
    <row r="137" spans="1:22" ht="15.6" x14ac:dyDescent="0.3">
      <c r="A137" s="24"/>
      <c r="B137" s="25" t="s">
        <v>47</v>
      </c>
      <c r="C137" s="25"/>
      <c r="D137" s="25"/>
      <c r="E137" s="25"/>
      <c r="F137" s="25"/>
      <c r="G137" s="25"/>
      <c r="H137" s="25"/>
      <c r="I137" s="25"/>
      <c r="J137" s="25"/>
      <c r="K137" s="25"/>
      <c r="L137" s="25"/>
      <c r="M137" s="25"/>
      <c r="N137" s="25"/>
      <c r="O137" s="25"/>
      <c r="P137" s="25"/>
      <c r="Q137" s="25"/>
      <c r="R137" s="25"/>
      <c r="S137" s="25"/>
      <c r="T137" s="53">
        <f>+T32*0.0176</f>
        <v>12320</v>
      </c>
      <c r="U137" s="25"/>
      <c r="V137" s="5"/>
    </row>
    <row r="138" spans="1:22" ht="15.6" x14ac:dyDescent="0.3">
      <c r="A138" s="24"/>
      <c r="B138" s="25" t="s">
        <v>48</v>
      </c>
      <c r="C138" s="25"/>
      <c r="D138" s="25"/>
      <c r="E138" s="25"/>
      <c r="F138" s="25"/>
      <c r="G138" s="25"/>
      <c r="H138" s="25"/>
      <c r="I138" s="25"/>
      <c r="J138" s="25"/>
      <c r="K138" s="25"/>
      <c r="L138" s="25"/>
      <c r="M138" s="25"/>
      <c r="N138" s="25"/>
      <c r="O138" s="25"/>
      <c r="P138" s="25"/>
      <c r="Q138" s="25"/>
      <c r="R138" s="25"/>
      <c r="S138" s="25"/>
      <c r="T138" s="53">
        <v>12320</v>
      </c>
      <c r="U138" s="25"/>
      <c r="V138" s="5"/>
    </row>
    <row r="139" spans="1:22" ht="15.6" x14ac:dyDescent="0.3">
      <c r="A139" s="24"/>
      <c r="B139" s="25" t="s">
        <v>145</v>
      </c>
      <c r="C139" s="25"/>
      <c r="D139" s="25"/>
      <c r="E139" s="25"/>
      <c r="F139" s="25"/>
      <c r="G139" s="25"/>
      <c r="H139" s="25"/>
      <c r="I139" s="25"/>
      <c r="J139" s="25"/>
      <c r="K139" s="25"/>
      <c r="L139" s="25"/>
      <c r="M139" s="25"/>
      <c r="N139" s="25"/>
      <c r="O139" s="25"/>
      <c r="P139" s="25"/>
      <c r="Q139" s="25"/>
      <c r="R139" s="25"/>
      <c r="S139" s="25"/>
      <c r="T139" s="53">
        <v>0</v>
      </c>
      <c r="U139" s="25"/>
      <c r="V139" s="5"/>
    </row>
    <row r="140" spans="1:22" ht="15.6" x14ac:dyDescent="0.3">
      <c r="A140" s="24"/>
      <c r="B140" s="25" t="s">
        <v>132</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133</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232</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49</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138</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231</v>
      </c>
      <c r="C145" s="25"/>
      <c r="D145" s="25"/>
      <c r="E145" s="25"/>
      <c r="F145" s="25"/>
      <c r="G145" s="25"/>
      <c r="H145" s="25"/>
      <c r="I145" s="25"/>
      <c r="J145" s="25"/>
      <c r="K145" s="25"/>
      <c r="L145" s="25"/>
      <c r="M145" s="25"/>
      <c r="N145" s="25"/>
      <c r="O145" s="25"/>
      <c r="P145" s="25"/>
      <c r="Q145" s="25"/>
      <c r="R145" s="25"/>
      <c r="S145" s="25"/>
      <c r="T145" s="53">
        <v>0</v>
      </c>
      <c r="U145" s="25"/>
      <c r="V145" s="5"/>
      <c r="W145" s="110"/>
    </row>
    <row r="146" spans="1:23" ht="15.6" x14ac:dyDescent="0.3">
      <c r="A146" s="24"/>
      <c r="B146" s="25" t="s">
        <v>50</v>
      </c>
      <c r="C146" s="25"/>
      <c r="D146" s="25"/>
      <c r="E146" s="25"/>
      <c r="F146" s="25"/>
      <c r="G146" s="25"/>
      <c r="H146" s="25"/>
      <c r="I146" s="25"/>
      <c r="J146" s="25"/>
      <c r="K146" s="25"/>
      <c r="L146" s="25"/>
      <c r="M146" s="25"/>
      <c r="N146" s="25"/>
      <c r="O146" s="25"/>
      <c r="P146" s="25"/>
      <c r="Q146" s="25"/>
      <c r="R146" s="25"/>
      <c r="S146" s="25"/>
      <c r="T146" s="53">
        <f>SUM(T138:T145)</f>
        <v>12320</v>
      </c>
      <c r="U146" s="25"/>
      <c r="V146" s="5"/>
    </row>
    <row r="147" spans="1:23" ht="15.6" x14ac:dyDescent="0.3">
      <c r="A147" s="24"/>
      <c r="B147" s="25"/>
      <c r="C147" s="25"/>
      <c r="D147" s="25"/>
      <c r="E147" s="25"/>
      <c r="F147" s="25"/>
      <c r="G147" s="25"/>
      <c r="H147" s="25"/>
      <c r="I147" s="25"/>
      <c r="J147" s="25"/>
      <c r="K147" s="25"/>
      <c r="L147" s="25"/>
      <c r="M147" s="25"/>
      <c r="N147" s="25"/>
      <c r="O147" s="25"/>
      <c r="P147" s="25"/>
      <c r="Q147" s="25"/>
      <c r="R147" s="25"/>
      <c r="S147" s="25"/>
      <c r="T147" s="53"/>
      <c r="U147" s="25"/>
      <c r="V147" s="5"/>
    </row>
    <row r="148" spans="1:23" ht="15.6" x14ac:dyDescent="0.3">
      <c r="A148" s="24"/>
      <c r="B148" s="141" t="s">
        <v>264</v>
      </c>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25" t="s">
        <v>170</v>
      </c>
      <c r="C149" s="25"/>
      <c r="D149" s="25"/>
      <c r="E149" s="25"/>
      <c r="F149" s="25"/>
      <c r="G149" s="25"/>
      <c r="H149" s="25"/>
      <c r="I149" s="25"/>
      <c r="J149" s="25"/>
      <c r="K149" s="25"/>
      <c r="L149" s="25"/>
      <c r="M149" s="25"/>
      <c r="N149" s="25"/>
      <c r="O149" s="25"/>
      <c r="P149" s="25"/>
      <c r="Q149" s="25"/>
      <c r="R149" s="25"/>
      <c r="S149" s="25"/>
      <c r="T149" s="53">
        <v>10000</v>
      </c>
      <c r="U149" s="25"/>
      <c r="V149" s="5"/>
    </row>
    <row r="150" spans="1:23" ht="15.6" x14ac:dyDescent="0.3">
      <c r="A150" s="24"/>
      <c r="B150" s="25" t="s">
        <v>260</v>
      </c>
      <c r="C150" s="25"/>
      <c r="D150" s="25"/>
      <c r="E150" s="25"/>
      <c r="F150" s="25"/>
      <c r="G150" s="25"/>
      <c r="H150" s="25"/>
      <c r="I150" s="25"/>
      <c r="J150" s="25"/>
      <c r="K150" s="25"/>
      <c r="L150" s="25"/>
      <c r="M150" s="25"/>
      <c r="N150" s="25"/>
      <c r="O150" s="25"/>
      <c r="P150" s="25"/>
      <c r="Q150" s="25"/>
      <c r="R150" s="25"/>
      <c r="S150" s="25"/>
      <c r="T150" s="53">
        <v>6810</v>
      </c>
      <c r="U150" s="25"/>
      <c r="V150" s="5"/>
    </row>
    <row r="151" spans="1:23" ht="15.6" x14ac:dyDescent="0.3">
      <c r="A151" s="24"/>
      <c r="B151" s="25" t="s">
        <v>228</v>
      </c>
      <c r="C151" s="25"/>
      <c r="D151" s="25"/>
      <c r="E151" s="25"/>
      <c r="F151" s="25"/>
      <c r="G151" s="25"/>
      <c r="H151" s="25"/>
      <c r="I151" s="25"/>
      <c r="J151" s="25"/>
      <c r="K151" s="25"/>
      <c r="L151" s="25"/>
      <c r="M151" s="25"/>
      <c r="N151" s="25"/>
      <c r="O151" s="25"/>
      <c r="P151" s="25"/>
      <c r="Q151" s="25"/>
      <c r="R151" s="25"/>
      <c r="S151" s="25"/>
      <c r="T151" s="53">
        <v>0</v>
      </c>
      <c r="U151" s="25"/>
      <c r="V151" s="5"/>
    </row>
    <row r="152" spans="1:23" ht="15.6" x14ac:dyDescent="0.3">
      <c r="A152" s="24"/>
      <c r="B152" s="25" t="s">
        <v>266</v>
      </c>
      <c r="C152" s="25"/>
      <c r="D152" s="25"/>
      <c r="E152" s="25"/>
      <c r="F152" s="25"/>
      <c r="G152" s="25"/>
      <c r="H152" s="25"/>
      <c r="I152" s="25"/>
      <c r="J152" s="25"/>
      <c r="K152" s="25"/>
      <c r="L152" s="25"/>
      <c r="M152" s="25"/>
      <c r="N152" s="25"/>
      <c r="O152" s="25"/>
      <c r="P152" s="25"/>
      <c r="Q152" s="25"/>
      <c r="R152" s="25"/>
      <c r="S152" s="25"/>
      <c r="T152" s="53">
        <v>6299</v>
      </c>
      <c r="U152" s="25"/>
      <c r="V152" s="5"/>
    </row>
    <row r="153" spans="1:23" ht="15.6" x14ac:dyDescent="0.3">
      <c r="A153" s="24"/>
      <c r="B153" s="25"/>
      <c r="C153" s="25"/>
      <c r="D153" s="25"/>
      <c r="E153" s="25"/>
      <c r="F153" s="25"/>
      <c r="G153" s="25"/>
      <c r="H153" s="25"/>
      <c r="I153" s="25"/>
      <c r="J153" s="25"/>
      <c r="K153" s="25"/>
      <c r="L153" s="25"/>
      <c r="M153" s="25"/>
      <c r="N153" s="25"/>
      <c r="O153" s="25"/>
      <c r="P153" s="25"/>
      <c r="Q153" s="25"/>
      <c r="R153" s="25"/>
      <c r="S153" s="25"/>
      <c r="T153" s="53"/>
      <c r="U153" s="25"/>
      <c r="V153" s="5"/>
    </row>
    <row r="154" spans="1:23" ht="15.6" x14ac:dyDescent="0.3">
      <c r="A154" s="24"/>
      <c r="B154" s="25"/>
      <c r="C154" s="25"/>
      <c r="D154" s="25"/>
      <c r="E154" s="25"/>
      <c r="F154" s="25"/>
      <c r="G154" s="25"/>
      <c r="H154" s="25"/>
      <c r="I154" s="25"/>
      <c r="J154" s="25"/>
      <c r="K154" s="25"/>
      <c r="L154" s="25"/>
      <c r="M154" s="25"/>
      <c r="N154" s="25"/>
      <c r="O154" s="25"/>
      <c r="P154" s="25"/>
      <c r="Q154" s="25"/>
      <c r="R154" s="25"/>
      <c r="S154" s="25"/>
      <c r="T154" s="61"/>
      <c r="U154" s="25"/>
      <c r="V154" s="5"/>
    </row>
    <row r="155" spans="1:23" ht="15.6" x14ac:dyDescent="0.3">
      <c r="A155" s="6"/>
      <c r="B155" s="120" t="s">
        <v>25</v>
      </c>
      <c r="C155" s="8"/>
      <c r="D155" s="8"/>
      <c r="E155" s="8"/>
      <c r="F155" s="8"/>
      <c r="G155" s="8"/>
      <c r="H155" s="8"/>
      <c r="I155" s="8"/>
      <c r="J155" s="8"/>
      <c r="K155" s="8"/>
      <c r="L155" s="8"/>
      <c r="M155" s="8"/>
      <c r="N155" s="8"/>
      <c r="O155" s="8"/>
      <c r="P155" s="8"/>
      <c r="Q155" s="8"/>
      <c r="R155" s="8"/>
      <c r="S155" s="8"/>
      <c r="T155" s="52"/>
      <c r="U155" s="8"/>
      <c r="V155" s="5"/>
    </row>
    <row r="156" spans="1:23" ht="15.6" x14ac:dyDescent="0.3">
      <c r="A156" s="24"/>
      <c r="B156" s="25" t="s">
        <v>51</v>
      </c>
      <c r="C156" s="25"/>
      <c r="D156" s="25"/>
      <c r="E156" s="25"/>
      <c r="F156" s="25"/>
      <c r="G156" s="25"/>
      <c r="H156" s="25"/>
      <c r="I156" s="25"/>
      <c r="J156" s="25"/>
      <c r="K156" s="25"/>
      <c r="L156" s="25"/>
      <c r="M156" s="25"/>
      <c r="N156" s="25"/>
      <c r="O156" s="25"/>
      <c r="P156" s="25"/>
      <c r="Q156" s="25"/>
      <c r="R156" s="25"/>
      <c r="S156" s="25"/>
      <c r="T156" s="59" t="s">
        <v>127</v>
      </c>
      <c r="U156" s="25"/>
      <c r="V156" s="5"/>
    </row>
    <row r="157" spans="1:23" ht="15.6" x14ac:dyDescent="0.3">
      <c r="A157" s="24"/>
      <c r="B157" s="25" t="s">
        <v>52</v>
      </c>
      <c r="C157" s="160"/>
      <c r="D157" s="160"/>
      <c r="E157" s="160"/>
      <c r="F157" s="160"/>
      <c r="G157" s="160"/>
      <c r="H157" s="160"/>
      <c r="I157" s="160"/>
      <c r="J157" s="160"/>
      <c r="K157" s="160"/>
      <c r="L157" s="160"/>
      <c r="M157" s="160"/>
      <c r="N157" s="160"/>
      <c r="O157" s="160"/>
      <c r="P157" s="160"/>
      <c r="Q157" s="160"/>
      <c r="R157" s="160"/>
      <c r="S157" s="160"/>
      <c r="T157" s="59" t="s">
        <v>127</v>
      </c>
      <c r="U157" s="25"/>
      <c r="V157" s="5"/>
    </row>
    <row r="158" spans="1:23" ht="15.6" x14ac:dyDescent="0.3">
      <c r="A158" s="24"/>
      <c r="B158" s="25" t="s">
        <v>53</v>
      </c>
      <c r="C158" s="25"/>
      <c r="D158" s="25"/>
      <c r="E158" s="25"/>
      <c r="F158" s="25"/>
      <c r="G158" s="25"/>
      <c r="H158" s="25"/>
      <c r="I158" s="25"/>
      <c r="J158" s="25"/>
      <c r="K158" s="25"/>
      <c r="L158" s="25"/>
      <c r="M158" s="25"/>
      <c r="N158" s="25"/>
      <c r="O158" s="25"/>
      <c r="P158" s="25"/>
      <c r="Q158" s="25"/>
      <c r="R158" s="25"/>
      <c r="S158" s="25"/>
      <c r="T158" s="59" t="s">
        <v>127</v>
      </c>
      <c r="U158" s="25"/>
      <c r="V158" s="5"/>
    </row>
    <row r="159" spans="1:23" ht="15.6" x14ac:dyDescent="0.3">
      <c r="A159" s="24"/>
      <c r="B159" s="25" t="s">
        <v>54</v>
      </c>
      <c r="C159" s="25"/>
      <c r="D159" s="25"/>
      <c r="E159" s="25"/>
      <c r="F159" s="25"/>
      <c r="G159" s="25"/>
      <c r="H159" s="25"/>
      <c r="I159" s="25"/>
      <c r="J159" s="25"/>
      <c r="K159" s="25"/>
      <c r="L159" s="25"/>
      <c r="M159" s="25"/>
      <c r="N159" s="25"/>
      <c r="O159" s="25"/>
      <c r="P159" s="25"/>
      <c r="Q159" s="25"/>
      <c r="R159" s="25"/>
      <c r="S159" s="25"/>
      <c r="T159" s="59" t="s">
        <v>127</v>
      </c>
      <c r="U159" s="25"/>
      <c r="V159" s="5"/>
    </row>
    <row r="160" spans="1:23" ht="15.6" x14ac:dyDescent="0.3">
      <c r="A160" s="24"/>
      <c r="B160" s="25"/>
      <c r="C160" s="25"/>
      <c r="D160" s="25"/>
      <c r="E160" s="25"/>
      <c r="F160" s="25"/>
      <c r="G160" s="25"/>
      <c r="H160" s="25"/>
      <c r="I160" s="25"/>
      <c r="J160" s="25"/>
      <c r="K160" s="25"/>
      <c r="L160" s="25"/>
      <c r="M160" s="25"/>
      <c r="N160" s="25"/>
      <c r="O160" s="25"/>
      <c r="P160" s="25"/>
      <c r="Q160" s="25"/>
      <c r="R160" s="25"/>
      <c r="S160" s="25"/>
      <c r="T160" s="61"/>
      <c r="U160" s="25"/>
      <c r="V160" s="5"/>
    </row>
    <row r="161" spans="1:22" ht="15.6" x14ac:dyDescent="0.3">
      <c r="A161" s="6"/>
      <c r="B161" s="120" t="s">
        <v>55</v>
      </c>
      <c r="C161" s="8"/>
      <c r="D161" s="8"/>
      <c r="E161" s="8"/>
      <c r="F161" s="8"/>
      <c r="G161" s="8"/>
      <c r="H161" s="8"/>
      <c r="I161" s="8"/>
      <c r="J161" s="8"/>
      <c r="K161" s="8"/>
      <c r="L161" s="8"/>
      <c r="M161" s="8"/>
      <c r="N161" s="8"/>
      <c r="O161" s="8"/>
      <c r="P161" s="8"/>
      <c r="Q161" s="8"/>
      <c r="R161" s="8"/>
      <c r="S161" s="8"/>
      <c r="T161" s="63"/>
      <c r="U161" s="8"/>
      <c r="V161" s="5"/>
    </row>
    <row r="162" spans="1:22" ht="15.6" x14ac:dyDescent="0.3">
      <c r="A162" s="24"/>
      <c r="B162" s="25" t="s">
        <v>56</v>
      </c>
      <c r="C162" s="25"/>
      <c r="D162" s="25"/>
      <c r="E162" s="25"/>
      <c r="F162" s="25"/>
      <c r="G162" s="25"/>
      <c r="H162" s="25"/>
      <c r="I162" s="25"/>
      <c r="J162" s="25"/>
      <c r="K162" s="25"/>
      <c r="L162" s="25"/>
      <c r="M162" s="25"/>
      <c r="N162" s="25"/>
      <c r="O162" s="25"/>
      <c r="P162" s="25"/>
      <c r="Q162" s="25"/>
      <c r="R162" s="25"/>
      <c r="S162" s="25"/>
      <c r="T162" s="53">
        <v>0</v>
      </c>
      <c r="U162" s="25"/>
      <c r="V162" s="5"/>
    </row>
    <row r="163" spans="1:22" ht="15.6" x14ac:dyDescent="0.3">
      <c r="A163" s="24"/>
      <c r="B163" s="25" t="s">
        <v>57</v>
      </c>
      <c r="C163" s="25"/>
      <c r="D163" s="25"/>
      <c r="E163" s="25"/>
      <c r="F163" s="25"/>
      <c r="G163" s="25"/>
      <c r="H163" s="25"/>
      <c r="I163" s="25"/>
      <c r="J163" s="25"/>
      <c r="K163" s="25"/>
      <c r="L163" s="25"/>
      <c r="M163" s="25"/>
      <c r="N163" s="25"/>
      <c r="O163" s="25"/>
      <c r="P163" s="25"/>
      <c r="Q163" s="25"/>
      <c r="R163" s="25"/>
      <c r="S163" s="25"/>
      <c r="T163" s="53">
        <f>-T112</f>
        <v>0</v>
      </c>
      <c r="U163" s="25"/>
      <c r="V163" s="5"/>
    </row>
    <row r="164" spans="1:22" ht="15.6" x14ac:dyDescent="0.3">
      <c r="A164" s="24"/>
      <c r="B164" s="25" t="s">
        <v>58</v>
      </c>
      <c r="C164" s="25"/>
      <c r="D164" s="25"/>
      <c r="E164" s="25"/>
      <c r="F164" s="25"/>
      <c r="G164" s="25"/>
      <c r="H164" s="25"/>
      <c r="I164" s="25"/>
      <c r="J164" s="25"/>
      <c r="K164" s="25"/>
      <c r="L164" s="25"/>
      <c r="M164" s="25"/>
      <c r="N164" s="25"/>
      <c r="O164" s="25"/>
      <c r="P164" s="25"/>
      <c r="Q164" s="25"/>
      <c r="R164" s="25"/>
      <c r="S164" s="25"/>
      <c r="T164" s="53">
        <f>T163+T162</f>
        <v>0</v>
      </c>
      <c r="U164" s="25"/>
      <c r="V164" s="5"/>
    </row>
    <row r="165" spans="1:22" ht="15.6" x14ac:dyDescent="0.3">
      <c r="A165" s="24"/>
      <c r="B165" s="25" t="s">
        <v>309</v>
      </c>
      <c r="C165" s="25"/>
      <c r="D165" s="25"/>
      <c r="E165" s="25"/>
      <c r="F165" s="25"/>
      <c r="G165" s="25"/>
      <c r="H165" s="25"/>
      <c r="I165" s="25"/>
      <c r="J165" s="25"/>
      <c r="K165" s="25"/>
      <c r="L165" s="25"/>
      <c r="M165" s="25"/>
      <c r="N165" s="25"/>
      <c r="O165" s="25"/>
      <c r="P165" s="25"/>
      <c r="Q165" s="25"/>
      <c r="R165" s="25"/>
      <c r="S165" s="25"/>
      <c r="T165" s="53">
        <f>T112</f>
        <v>0</v>
      </c>
      <c r="U165" s="25"/>
      <c r="V165" s="5"/>
    </row>
    <row r="166" spans="1:22" ht="15.6" x14ac:dyDescent="0.3">
      <c r="A166" s="24"/>
      <c r="B166" s="25" t="s">
        <v>59</v>
      </c>
      <c r="C166" s="25"/>
      <c r="D166" s="25"/>
      <c r="E166" s="25"/>
      <c r="F166" s="25"/>
      <c r="G166" s="25"/>
      <c r="H166" s="25"/>
      <c r="I166" s="25"/>
      <c r="J166" s="25"/>
      <c r="K166" s="25"/>
      <c r="L166" s="25"/>
      <c r="M166" s="25"/>
      <c r="N166" s="25"/>
      <c r="O166" s="25"/>
      <c r="P166" s="25"/>
      <c r="Q166" s="25"/>
      <c r="R166" s="25"/>
      <c r="S166" s="25"/>
      <c r="T166" s="53">
        <f>T164+T165</f>
        <v>0</v>
      </c>
      <c r="U166" s="25"/>
      <c r="V166" s="5"/>
    </row>
    <row r="167" spans="1:22" ht="16.2" thickBot="1" x14ac:dyDescent="0.35">
      <c r="A167" s="24"/>
      <c r="B167" s="25"/>
      <c r="C167" s="25"/>
      <c r="D167" s="25"/>
      <c r="E167" s="25"/>
      <c r="F167" s="25"/>
      <c r="G167" s="25"/>
      <c r="H167" s="25"/>
      <c r="I167" s="25"/>
      <c r="J167" s="25"/>
      <c r="K167" s="25"/>
      <c r="L167" s="25"/>
      <c r="M167" s="25"/>
      <c r="N167" s="25"/>
      <c r="O167" s="25"/>
      <c r="P167" s="25"/>
      <c r="Q167" s="25"/>
      <c r="R167" s="25"/>
      <c r="S167" s="25"/>
      <c r="T167" s="61"/>
      <c r="U167" s="25"/>
      <c r="V167" s="5"/>
    </row>
    <row r="168" spans="1:22" ht="15.6" x14ac:dyDescent="0.3">
      <c r="A168" s="2"/>
      <c r="B168" s="4"/>
      <c r="C168" s="4"/>
      <c r="D168" s="4"/>
      <c r="E168" s="4"/>
      <c r="F168" s="4"/>
      <c r="G168" s="4"/>
      <c r="H168" s="4"/>
      <c r="I168" s="4"/>
      <c r="J168" s="4"/>
      <c r="K168" s="4"/>
      <c r="L168" s="4"/>
      <c r="M168" s="4"/>
      <c r="N168" s="4"/>
      <c r="O168" s="4"/>
      <c r="P168" s="4"/>
      <c r="Q168" s="4"/>
      <c r="R168" s="4"/>
      <c r="S168" s="4"/>
      <c r="T168" s="50"/>
      <c r="U168" s="4"/>
      <c r="V168" s="5"/>
    </row>
    <row r="169" spans="1:22" ht="15.6" x14ac:dyDescent="0.3">
      <c r="A169" s="6"/>
      <c r="B169" s="120" t="s">
        <v>60</v>
      </c>
      <c r="C169" s="8"/>
      <c r="D169" s="8"/>
      <c r="E169" s="8"/>
      <c r="F169" s="8"/>
      <c r="G169" s="8"/>
      <c r="H169" s="8"/>
      <c r="I169" s="8"/>
      <c r="J169" s="8"/>
      <c r="K169" s="8"/>
      <c r="L169" s="8"/>
      <c r="M169" s="8"/>
      <c r="N169" s="8"/>
      <c r="O169" s="8"/>
      <c r="P169" s="8"/>
      <c r="Q169" s="8"/>
      <c r="R169" s="8"/>
      <c r="S169" s="8"/>
      <c r="T169" s="52"/>
      <c r="U169" s="8"/>
      <c r="V169" s="5"/>
    </row>
    <row r="170" spans="1:22" ht="15.6" x14ac:dyDescent="0.3">
      <c r="A170" s="6"/>
      <c r="B170" s="21"/>
      <c r="C170" s="8"/>
      <c r="D170" s="8"/>
      <c r="E170" s="8"/>
      <c r="F170" s="8"/>
      <c r="G170" s="8"/>
      <c r="H170" s="8"/>
      <c r="I170" s="8"/>
      <c r="J170" s="8"/>
      <c r="K170" s="8"/>
      <c r="L170" s="8"/>
      <c r="M170" s="8"/>
      <c r="N170" s="8"/>
      <c r="O170" s="8"/>
      <c r="P170" s="8"/>
      <c r="Q170" s="8"/>
      <c r="R170" s="8"/>
      <c r="S170" s="8"/>
      <c r="T170" s="52"/>
      <c r="U170" s="8"/>
      <c r="V170" s="5"/>
    </row>
    <row r="171" spans="1:22" ht="15.6" x14ac:dyDescent="0.3">
      <c r="A171" s="24"/>
      <c r="B171" s="25" t="s">
        <v>61</v>
      </c>
      <c r="C171" s="25"/>
      <c r="D171" s="25"/>
      <c r="E171" s="25"/>
      <c r="F171" s="25"/>
      <c r="G171" s="25"/>
      <c r="H171" s="25"/>
      <c r="I171" s="25"/>
      <c r="J171" s="25"/>
      <c r="K171" s="25"/>
      <c r="L171" s="25"/>
      <c r="M171" s="25"/>
      <c r="N171" s="25"/>
      <c r="O171" s="25"/>
      <c r="P171" s="25"/>
      <c r="Q171" s="25"/>
      <c r="R171" s="25"/>
      <c r="S171" s="25"/>
      <c r="T171" s="53">
        <f>T69</f>
        <v>566839</v>
      </c>
      <c r="U171" s="25"/>
      <c r="V171" s="5"/>
    </row>
    <row r="172" spans="1:22" ht="15.6" x14ac:dyDescent="0.3">
      <c r="A172" s="24"/>
      <c r="B172" s="25" t="s">
        <v>62</v>
      </c>
      <c r="C172" s="25"/>
      <c r="D172" s="25"/>
      <c r="E172" s="25"/>
      <c r="F172" s="25"/>
      <c r="G172" s="25"/>
      <c r="H172" s="25"/>
      <c r="I172" s="25"/>
      <c r="J172" s="25"/>
      <c r="K172" s="25"/>
      <c r="L172" s="25"/>
      <c r="M172" s="25"/>
      <c r="N172" s="25"/>
      <c r="O172" s="25"/>
      <c r="P172" s="25"/>
      <c r="Q172" s="25"/>
      <c r="R172" s="25"/>
      <c r="S172" s="25"/>
      <c r="T172" s="53">
        <f>T82</f>
        <v>566839</v>
      </c>
      <c r="U172" s="25"/>
      <c r="V172" s="5"/>
    </row>
    <row r="173" spans="1:22" ht="16.2" thickBot="1" x14ac:dyDescent="0.35">
      <c r="A173" s="24"/>
      <c r="B173" s="25"/>
      <c r="C173" s="25"/>
      <c r="D173" s="25"/>
      <c r="E173" s="25"/>
      <c r="F173" s="25"/>
      <c r="G173" s="25"/>
      <c r="H173" s="25"/>
      <c r="I173" s="25"/>
      <c r="J173" s="25"/>
      <c r="K173" s="25"/>
      <c r="L173" s="25"/>
      <c r="M173" s="25"/>
      <c r="N173" s="25"/>
      <c r="O173" s="25"/>
      <c r="P173" s="25"/>
      <c r="Q173" s="25"/>
      <c r="R173" s="25"/>
      <c r="S173" s="25"/>
      <c r="T173" s="61"/>
      <c r="U173" s="25"/>
      <c r="V173" s="5"/>
    </row>
    <row r="174" spans="1:22" ht="15.6" x14ac:dyDescent="0.3">
      <c r="A174" s="2"/>
      <c r="B174" s="4"/>
      <c r="C174" s="4"/>
      <c r="D174" s="4"/>
      <c r="E174" s="4"/>
      <c r="F174" s="4"/>
      <c r="G174" s="4"/>
      <c r="H174" s="4"/>
      <c r="I174" s="4"/>
      <c r="J174" s="4"/>
      <c r="K174" s="4"/>
      <c r="L174" s="4"/>
      <c r="M174" s="4"/>
      <c r="N174" s="4"/>
      <c r="O174" s="4"/>
      <c r="P174" s="4"/>
      <c r="Q174" s="4"/>
      <c r="R174" s="4"/>
      <c r="S174" s="4"/>
      <c r="T174" s="50"/>
      <c r="U174" s="4"/>
      <c r="V174" s="5"/>
    </row>
    <row r="175" spans="1:22" ht="15.6" x14ac:dyDescent="0.3">
      <c r="A175" s="6"/>
      <c r="B175" s="120" t="s">
        <v>63</v>
      </c>
      <c r="C175" s="118"/>
      <c r="D175" s="118"/>
      <c r="E175" s="118"/>
      <c r="F175" s="118"/>
      <c r="G175" s="118"/>
      <c r="H175" s="121"/>
      <c r="I175" s="121"/>
      <c r="J175" s="121"/>
      <c r="K175" s="121"/>
      <c r="L175" s="121"/>
      <c r="M175" s="121"/>
      <c r="N175" s="121"/>
      <c r="O175" s="121"/>
      <c r="P175" s="121"/>
      <c r="Q175" s="121" t="s">
        <v>107</v>
      </c>
      <c r="R175" s="121" t="s">
        <v>234</v>
      </c>
      <c r="S175" s="112"/>
      <c r="T175" s="122" t="s">
        <v>123</v>
      </c>
      <c r="U175" s="10"/>
      <c r="V175" s="5"/>
    </row>
    <row r="176" spans="1:22" ht="15.6" x14ac:dyDescent="0.3">
      <c r="A176" s="24"/>
      <c r="B176" s="25" t="s">
        <v>64</v>
      </c>
      <c r="C176" s="25"/>
      <c r="D176" s="25"/>
      <c r="E176" s="25"/>
      <c r="F176" s="25"/>
      <c r="G176" s="25"/>
      <c r="H176" s="25"/>
      <c r="I176" s="25"/>
      <c r="J176" s="25"/>
      <c r="K176" s="25"/>
      <c r="L176" s="25"/>
      <c r="M176" s="25"/>
      <c r="N176" s="25"/>
      <c r="O176" s="25"/>
      <c r="P176" s="25"/>
      <c r="Q176" s="53">
        <v>112000</v>
      </c>
      <c r="R176" s="40"/>
      <c r="S176" s="25"/>
      <c r="T176" s="53"/>
      <c r="U176" s="25"/>
      <c r="V176" s="5"/>
    </row>
    <row r="177" spans="1:22" ht="15.6" x14ac:dyDescent="0.3">
      <c r="A177" s="24"/>
      <c r="B177" s="25" t="s">
        <v>65</v>
      </c>
      <c r="C177" s="25"/>
      <c r="D177" s="25"/>
      <c r="E177" s="25"/>
      <c r="F177" s="25"/>
      <c r="G177" s="25"/>
      <c r="H177" s="25"/>
      <c r="I177" s="25"/>
      <c r="J177" s="25"/>
      <c r="K177" s="25"/>
      <c r="L177" s="25"/>
      <c r="M177" s="25"/>
      <c r="N177" s="25"/>
      <c r="O177" s="25"/>
      <c r="P177" s="25"/>
      <c r="Q177" s="53">
        <f>'Jan 07'!Q179</f>
        <v>24745</v>
      </c>
      <c r="R177" s="53">
        <f>'Jan 07'!R179</f>
        <v>2094</v>
      </c>
      <c r="S177" s="25"/>
      <c r="T177" s="53">
        <f>Q177+R177</f>
        <v>26839</v>
      </c>
      <c r="U177" s="25"/>
      <c r="V177" s="5"/>
    </row>
    <row r="178" spans="1:22" ht="15.6" x14ac:dyDescent="0.3">
      <c r="A178" s="24"/>
      <c r="B178" s="25" t="s">
        <v>66</v>
      </c>
      <c r="C178" s="25"/>
      <c r="D178" s="25"/>
      <c r="E178" s="25"/>
      <c r="F178" s="25"/>
      <c r="G178" s="25"/>
      <c r="H178" s="25"/>
      <c r="I178" s="25"/>
      <c r="J178" s="25"/>
      <c r="K178" s="25"/>
      <c r="L178" s="25"/>
      <c r="M178" s="25"/>
      <c r="N178" s="25"/>
      <c r="O178" s="25"/>
      <c r="P178" s="25"/>
      <c r="Q178" s="34">
        <v>2992</v>
      </c>
      <c r="R178" s="34">
        <v>39</v>
      </c>
      <c r="S178" s="25"/>
      <c r="T178" s="53">
        <f>Q178+R178</f>
        <v>3031</v>
      </c>
      <c r="U178" s="25"/>
      <c r="V178" s="5"/>
    </row>
    <row r="179" spans="1:22" ht="15.6" x14ac:dyDescent="0.3">
      <c r="A179" s="24"/>
      <c r="B179" s="25" t="s">
        <v>67</v>
      </c>
      <c r="C179" s="25"/>
      <c r="D179" s="25"/>
      <c r="E179" s="25"/>
      <c r="F179" s="25"/>
      <c r="G179" s="25"/>
      <c r="H179" s="25"/>
      <c r="I179" s="25"/>
      <c r="J179" s="25"/>
      <c r="K179" s="25"/>
      <c r="L179" s="25"/>
      <c r="M179" s="25"/>
      <c r="N179" s="25"/>
      <c r="O179" s="25"/>
      <c r="P179" s="25"/>
      <c r="Q179" s="53">
        <f>Q177+Q178</f>
        <v>27737</v>
      </c>
      <c r="R179" s="53">
        <f>R178+R177</f>
        <v>2133</v>
      </c>
      <c r="S179" s="25"/>
      <c r="T179" s="53">
        <f>Q179+R179</f>
        <v>29870</v>
      </c>
      <c r="U179" s="25"/>
      <c r="V179" s="5"/>
    </row>
    <row r="180" spans="1:22" ht="15.6" x14ac:dyDescent="0.3">
      <c r="A180" s="24"/>
      <c r="B180" s="25" t="s">
        <v>68</v>
      </c>
      <c r="C180" s="25"/>
      <c r="D180" s="25"/>
      <c r="E180" s="25"/>
      <c r="F180" s="25"/>
      <c r="G180" s="25"/>
      <c r="H180" s="25"/>
      <c r="I180" s="25"/>
      <c r="J180" s="25"/>
      <c r="K180" s="25"/>
      <c r="L180" s="25"/>
      <c r="M180" s="25"/>
      <c r="N180" s="25"/>
      <c r="O180" s="25"/>
      <c r="P180" s="25"/>
      <c r="Q180" s="53">
        <f>Q176-Q179-R179</f>
        <v>82130</v>
      </c>
      <c r="R180" s="40"/>
      <c r="S180" s="25"/>
      <c r="T180" s="53"/>
      <c r="U180" s="25"/>
      <c r="V180" s="5"/>
    </row>
    <row r="181" spans="1:22" ht="16.2" thickBot="1" x14ac:dyDescent="0.35">
      <c r="A181" s="24"/>
      <c r="B181" s="25"/>
      <c r="C181" s="25"/>
      <c r="D181" s="25"/>
      <c r="E181" s="25"/>
      <c r="F181" s="25"/>
      <c r="G181" s="25"/>
      <c r="H181" s="25"/>
      <c r="I181" s="25"/>
      <c r="J181" s="25"/>
      <c r="K181" s="25"/>
      <c r="L181" s="25"/>
      <c r="M181" s="25"/>
      <c r="N181" s="25"/>
      <c r="O181" s="25"/>
      <c r="P181" s="25"/>
      <c r="Q181" s="25"/>
      <c r="R181" s="25"/>
      <c r="S181" s="25"/>
      <c r="T181" s="61"/>
      <c r="U181" s="25"/>
      <c r="V181" s="5"/>
    </row>
    <row r="182" spans="1:22" ht="15.6" x14ac:dyDescent="0.3">
      <c r="A182" s="2"/>
      <c r="B182" s="4"/>
      <c r="C182" s="4"/>
      <c r="D182" s="4"/>
      <c r="E182" s="4"/>
      <c r="F182" s="4"/>
      <c r="G182" s="4"/>
      <c r="H182" s="4"/>
      <c r="I182" s="4"/>
      <c r="J182" s="4"/>
      <c r="K182" s="4"/>
      <c r="L182" s="4"/>
      <c r="M182" s="4"/>
      <c r="N182" s="4"/>
      <c r="O182" s="4"/>
      <c r="P182" s="4"/>
      <c r="Q182" s="4"/>
      <c r="R182" s="4"/>
      <c r="S182" s="4"/>
      <c r="T182" s="50"/>
      <c r="U182" s="4"/>
      <c r="V182" s="5"/>
    </row>
    <row r="183" spans="1:22" ht="15.6" x14ac:dyDescent="0.3">
      <c r="A183" s="6"/>
      <c r="B183" s="120" t="s">
        <v>69</v>
      </c>
      <c r="C183" s="8"/>
      <c r="D183" s="8"/>
      <c r="E183" s="8"/>
      <c r="F183" s="8"/>
      <c r="G183" s="8"/>
      <c r="H183" s="8"/>
      <c r="I183" s="8"/>
      <c r="J183" s="8"/>
      <c r="K183" s="8"/>
      <c r="L183" s="8"/>
      <c r="M183" s="8"/>
      <c r="N183" s="8"/>
      <c r="O183" s="8"/>
      <c r="P183" s="8"/>
      <c r="Q183" s="8"/>
      <c r="R183" s="8"/>
      <c r="S183" s="8"/>
      <c r="T183" s="65"/>
      <c r="U183" s="8"/>
      <c r="V183" s="5"/>
    </row>
    <row r="184" spans="1:22" ht="15.6" x14ac:dyDescent="0.3">
      <c r="A184" s="24"/>
      <c r="B184" s="25" t="s">
        <v>70</v>
      </c>
      <c r="C184" s="25"/>
      <c r="D184" s="25"/>
      <c r="E184" s="25"/>
      <c r="F184" s="25"/>
      <c r="G184" s="25"/>
      <c r="H184" s="25"/>
      <c r="I184" s="25"/>
      <c r="J184" s="25"/>
      <c r="K184" s="25"/>
      <c r="L184" s="25"/>
      <c r="M184" s="25"/>
      <c r="N184" s="25"/>
      <c r="O184" s="25"/>
      <c r="P184" s="25"/>
      <c r="Q184" s="25"/>
      <c r="R184" s="25"/>
      <c r="S184" s="25"/>
      <c r="T184" s="59">
        <f>(T97+T99+T100+T101+T102+T103)/-(T104+T105+T106)</f>
        <v>1.3971670601305375</v>
      </c>
      <c r="U184" s="25" t="s">
        <v>124</v>
      </c>
      <c r="V184" s="5"/>
    </row>
    <row r="185" spans="1:22" ht="15.6" x14ac:dyDescent="0.3">
      <c r="A185" s="24"/>
      <c r="B185" s="25" t="s">
        <v>71</v>
      </c>
      <c r="C185" s="25"/>
      <c r="D185" s="25"/>
      <c r="E185" s="25"/>
      <c r="F185" s="25"/>
      <c r="G185" s="25"/>
      <c r="H185" s="25"/>
      <c r="I185" s="25"/>
      <c r="J185" s="25"/>
      <c r="K185" s="25"/>
      <c r="L185" s="25"/>
      <c r="M185" s="25"/>
      <c r="N185" s="25"/>
      <c r="O185" s="25"/>
      <c r="P185" s="25"/>
      <c r="Q185" s="25"/>
      <c r="R185" s="25"/>
      <c r="S185" s="25"/>
      <c r="T185" s="66">
        <v>1.36</v>
      </c>
      <c r="U185" s="25" t="s">
        <v>124</v>
      </c>
      <c r="V185" s="5"/>
    </row>
    <row r="186" spans="1:22" ht="15.6" x14ac:dyDescent="0.3">
      <c r="A186" s="24"/>
      <c r="B186" s="25" t="s">
        <v>72</v>
      </c>
      <c r="C186" s="25"/>
      <c r="D186" s="25"/>
      <c r="E186" s="25"/>
      <c r="F186" s="25"/>
      <c r="G186" s="25"/>
      <c r="H186" s="25"/>
      <c r="I186" s="25"/>
      <c r="J186" s="25"/>
      <c r="K186" s="25"/>
      <c r="L186" s="25"/>
      <c r="M186" s="25"/>
      <c r="N186" s="25"/>
      <c r="O186" s="25"/>
      <c r="P186" s="25"/>
      <c r="Q186" s="25"/>
      <c r="R186" s="25"/>
      <c r="S186" s="25"/>
      <c r="T186" s="59">
        <f>(T97+T99+T100+T101+T102+T103+T104+T105+T106)/-(T107+T108)</f>
        <v>7.3521850899742933</v>
      </c>
      <c r="U186" s="25" t="s">
        <v>124</v>
      </c>
      <c r="V186" s="5"/>
    </row>
    <row r="187" spans="1:22" ht="15.6" x14ac:dyDescent="0.3">
      <c r="A187" s="24"/>
      <c r="B187" s="25" t="s">
        <v>73</v>
      </c>
      <c r="C187" s="25"/>
      <c r="D187" s="25"/>
      <c r="E187" s="25"/>
      <c r="F187" s="25"/>
      <c r="G187" s="25"/>
      <c r="H187" s="25"/>
      <c r="I187" s="25"/>
      <c r="J187" s="25"/>
      <c r="K187" s="25"/>
      <c r="L187" s="25"/>
      <c r="M187" s="25"/>
      <c r="N187" s="25"/>
      <c r="O187" s="25"/>
      <c r="P187" s="25"/>
      <c r="Q187" s="25"/>
      <c r="R187" s="25"/>
      <c r="S187" s="25"/>
      <c r="T187" s="67">
        <v>7.44</v>
      </c>
      <c r="U187" s="25" t="s">
        <v>124</v>
      </c>
      <c r="V187" s="5"/>
    </row>
    <row r="188" spans="1:22" ht="15.6" x14ac:dyDescent="0.3">
      <c r="A188" s="24"/>
      <c r="B188" s="25" t="s">
        <v>243</v>
      </c>
      <c r="C188" s="25"/>
      <c r="D188" s="25"/>
      <c r="E188" s="25"/>
      <c r="F188" s="25"/>
      <c r="G188" s="25"/>
      <c r="H188" s="25"/>
      <c r="I188" s="25"/>
      <c r="J188" s="25"/>
      <c r="K188" s="25"/>
      <c r="L188" s="25"/>
      <c r="M188" s="25"/>
      <c r="N188" s="25"/>
      <c r="O188" s="25"/>
      <c r="P188" s="25"/>
      <c r="Q188" s="25"/>
      <c r="R188" s="25"/>
      <c r="S188" s="25"/>
      <c r="T188" s="59">
        <f>(T97+T99+T100+T101+T102+T103+T104+T105+T106+T107+T108)/-(T109+T110)</f>
        <v>3.4415041782729805</v>
      </c>
      <c r="U188" s="25" t="s">
        <v>124</v>
      </c>
      <c r="V188" s="5"/>
    </row>
    <row r="189" spans="1:22" ht="15.6" x14ac:dyDescent="0.3">
      <c r="A189" s="24"/>
      <c r="B189" s="25" t="s">
        <v>244</v>
      </c>
      <c r="C189" s="25"/>
      <c r="D189" s="25"/>
      <c r="E189" s="25"/>
      <c r="F189" s="25"/>
      <c r="G189" s="25"/>
      <c r="H189" s="25"/>
      <c r="I189" s="25"/>
      <c r="J189" s="25"/>
      <c r="K189" s="25"/>
      <c r="L189" s="25"/>
      <c r="M189" s="25"/>
      <c r="N189" s="25"/>
      <c r="O189" s="25"/>
      <c r="P189" s="25"/>
      <c r="Q189" s="25"/>
      <c r="R189" s="25"/>
      <c r="S189" s="25"/>
      <c r="T189" s="67">
        <v>3.47</v>
      </c>
      <c r="U189" s="25" t="s">
        <v>124</v>
      </c>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ht="15.6" x14ac:dyDescent="0.3">
      <c r="A192" s="6"/>
      <c r="B192" s="8"/>
      <c r="C192" s="8"/>
      <c r="D192" s="8"/>
      <c r="E192" s="8"/>
      <c r="F192" s="8"/>
      <c r="G192" s="8"/>
      <c r="H192" s="8"/>
      <c r="I192" s="8"/>
      <c r="J192" s="8"/>
      <c r="K192" s="8"/>
      <c r="L192" s="8"/>
      <c r="M192" s="8"/>
      <c r="N192" s="8"/>
      <c r="O192" s="8"/>
      <c r="P192" s="8"/>
      <c r="Q192" s="8"/>
      <c r="R192" s="8"/>
      <c r="S192" s="8"/>
      <c r="T192" s="8"/>
      <c r="U192" s="8"/>
      <c r="V192" s="5"/>
    </row>
    <row r="193" spans="1:22" ht="18" thickBot="1" x14ac:dyDescent="0.35">
      <c r="A193" s="102"/>
      <c r="B193" s="103" t="str">
        <f>B133</f>
        <v>PM9 INVESTOR REPORT QUARTER ENDING APRIL 2007</v>
      </c>
      <c r="C193" s="162"/>
      <c r="D193" s="162"/>
      <c r="E193" s="162"/>
      <c r="F193" s="162"/>
      <c r="G193" s="162"/>
      <c r="H193" s="162"/>
      <c r="I193" s="162"/>
      <c r="J193" s="162"/>
      <c r="K193" s="162"/>
      <c r="L193" s="162"/>
      <c r="M193" s="162"/>
      <c r="N193" s="162"/>
      <c r="O193" s="162"/>
      <c r="P193" s="162"/>
      <c r="Q193" s="162"/>
      <c r="R193" s="162"/>
      <c r="S193" s="162"/>
      <c r="T193" s="162"/>
      <c r="U193" s="163"/>
      <c r="V193" s="5"/>
    </row>
    <row r="194" spans="1:22" ht="15.6" x14ac:dyDescent="0.3">
      <c r="A194" s="68"/>
      <c r="B194" s="60" t="s">
        <v>74</v>
      </c>
      <c r="C194" s="69"/>
      <c r="D194" s="69"/>
      <c r="E194" s="69"/>
      <c r="F194" s="69"/>
      <c r="G194" s="70"/>
      <c r="H194" s="70"/>
      <c r="I194" s="70"/>
      <c r="J194" s="70"/>
      <c r="K194" s="70"/>
      <c r="L194" s="70"/>
      <c r="M194" s="70"/>
      <c r="N194" s="70"/>
      <c r="O194" s="70"/>
      <c r="P194" s="70"/>
      <c r="Q194" s="70"/>
      <c r="R194" s="71">
        <v>39202</v>
      </c>
      <c r="S194" s="4"/>
      <c r="T194" s="4"/>
      <c r="U194" s="4"/>
      <c r="V194" s="5"/>
    </row>
    <row r="195" spans="1:22" ht="15.6" x14ac:dyDescent="0.3">
      <c r="A195" s="72"/>
      <c r="B195" s="73"/>
      <c r="C195" s="74"/>
      <c r="D195" s="74"/>
      <c r="E195" s="74"/>
      <c r="F195" s="74"/>
      <c r="G195" s="75"/>
      <c r="H195" s="75"/>
      <c r="I195" s="75"/>
      <c r="J195" s="75"/>
      <c r="K195" s="75"/>
      <c r="L195" s="75"/>
      <c r="M195" s="75"/>
      <c r="N195" s="75"/>
      <c r="O195" s="75"/>
      <c r="P195" s="75"/>
      <c r="Q195" s="75"/>
      <c r="R195" s="75"/>
      <c r="S195" s="8"/>
      <c r="T195" s="8"/>
      <c r="U195" s="8"/>
      <c r="V195" s="5"/>
    </row>
    <row r="196" spans="1:22" ht="15.6" x14ac:dyDescent="0.3">
      <c r="A196" s="76"/>
      <c r="B196" s="77" t="s">
        <v>75</v>
      </c>
      <c r="C196" s="78"/>
      <c r="D196" s="78"/>
      <c r="E196" s="78"/>
      <c r="F196" s="78"/>
      <c r="G196" s="64"/>
      <c r="H196" s="64"/>
      <c r="I196" s="64"/>
      <c r="J196" s="64"/>
      <c r="K196" s="64"/>
      <c r="L196" s="64"/>
      <c r="M196" s="64"/>
      <c r="N196" s="64"/>
      <c r="O196" s="64"/>
      <c r="P196" s="64"/>
      <c r="Q196" s="64"/>
      <c r="R196" s="79">
        <v>5.8209999999999998E-2</v>
      </c>
      <c r="S196" s="25"/>
      <c r="T196" s="25"/>
      <c r="U196" s="25"/>
      <c r="V196" s="5"/>
    </row>
    <row r="197" spans="1:22" ht="15.6" x14ac:dyDescent="0.3">
      <c r="A197" s="76"/>
      <c r="B197" s="77" t="s">
        <v>164</v>
      </c>
      <c r="C197" s="78"/>
      <c r="D197" s="78"/>
      <c r="E197" s="78"/>
      <c r="F197" s="78"/>
      <c r="G197" s="64"/>
      <c r="H197" s="64"/>
      <c r="I197" s="64"/>
      <c r="J197" s="64"/>
      <c r="K197" s="64"/>
      <c r="L197" s="64"/>
      <c r="M197" s="64"/>
      <c r="N197" s="64"/>
      <c r="O197" s="64"/>
      <c r="P197" s="64"/>
      <c r="Q197" s="64"/>
      <c r="R197" s="39">
        <f>'Oct 05'!R193</f>
        <v>4.8438496428571419E-2</v>
      </c>
      <c r="S197" s="25"/>
      <c r="T197" s="25"/>
      <c r="U197" s="25"/>
      <c r="V197" s="5"/>
    </row>
    <row r="198" spans="1:22" ht="15.6" x14ac:dyDescent="0.3">
      <c r="A198" s="76"/>
      <c r="B198" s="77" t="s">
        <v>76</v>
      </c>
      <c r="C198" s="78"/>
      <c r="D198" s="78"/>
      <c r="E198" s="78"/>
      <c r="F198" s="78"/>
      <c r="G198" s="64"/>
      <c r="H198" s="64"/>
      <c r="I198" s="64"/>
      <c r="J198" s="64"/>
      <c r="K198" s="64"/>
      <c r="L198" s="64"/>
      <c r="M198" s="64"/>
      <c r="N198" s="64"/>
      <c r="O198" s="64"/>
      <c r="P198" s="64"/>
      <c r="Q198" s="64"/>
      <c r="R198" s="79">
        <f>R196-R197</f>
        <v>9.7715035714285789E-3</v>
      </c>
      <c r="S198" s="25"/>
      <c r="T198" s="25"/>
      <c r="U198" s="25"/>
      <c r="V198" s="5"/>
    </row>
    <row r="199" spans="1:22" ht="15.6" x14ac:dyDescent="0.3">
      <c r="A199" s="76"/>
      <c r="B199" s="77" t="s">
        <v>77</v>
      </c>
      <c r="C199" s="78"/>
      <c r="D199" s="78"/>
      <c r="E199" s="78"/>
      <c r="F199" s="78"/>
      <c r="G199" s="64"/>
      <c r="H199" s="64"/>
      <c r="I199" s="64"/>
      <c r="J199" s="64"/>
      <c r="K199" s="64"/>
      <c r="L199" s="64"/>
      <c r="M199" s="64"/>
      <c r="N199" s="64"/>
      <c r="O199" s="64"/>
      <c r="P199" s="64"/>
      <c r="Q199" s="64"/>
      <c r="R199" s="79">
        <v>6.0979999999999999E-2</v>
      </c>
      <c r="S199" s="25"/>
      <c r="T199" s="25"/>
      <c r="U199" s="25"/>
      <c r="V199" s="5"/>
    </row>
    <row r="200" spans="1:22" ht="15.6" x14ac:dyDescent="0.3">
      <c r="A200" s="76"/>
      <c r="B200" s="77" t="s">
        <v>257</v>
      </c>
      <c r="C200" s="78"/>
      <c r="D200" s="78"/>
      <c r="E200" s="78"/>
      <c r="F200" s="78"/>
      <c r="G200" s="64"/>
      <c r="H200" s="64"/>
      <c r="I200" s="64"/>
      <c r="J200" s="64"/>
      <c r="K200" s="64"/>
      <c r="L200" s="64"/>
      <c r="M200" s="64"/>
      <c r="N200" s="64"/>
      <c r="O200" s="64"/>
      <c r="P200" s="64"/>
      <c r="Q200" s="64"/>
      <c r="R200" s="79">
        <f>+T41</f>
        <v>5.7573350166565181E-2</v>
      </c>
      <c r="S200" s="25"/>
      <c r="T200" s="25"/>
      <c r="U200" s="25"/>
      <c r="V200" s="5"/>
    </row>
    <row r="201" spans="1:22" ht="15.6" x14ac:dyDescent="0.3">
      <c r="A201" s="76"/>
      <c r="B201" s="77" t="s">
        <v>78</v>
      </c>
      <c r="C201" s="78"/>
      <c r="D201" s="78"/>
      <c r="E201" s="78"/>
      <c r="F201" s="78"/>
      <c r="G201" s="64"/>
      <c r="H201" s="64"/>
      <c r="I201" s="64"/>
      <c r="J201" s="64"/>
      <c r="K201" s="64"/>
      <c r="L201" s="64"/>
      <c r="M201" s="64"/>
      <c r="N201" s="64"/>
      <c r="O201" s="64"/>
      <c r="P201" s="64"/>
      <c r="Q201" s="64"/>
      <c r="R201" s="79">
        <f>R199-R200</f>
        <v>3.4066498334348189E-3</v>
      </c>
      <c r="S201" s="25"/>
      <c r="T201" s="25"/>
      <c r="U201" s="25"/>
      <c r="V201" s="5"/>
    </row>
    <row r="202" spans="1:22" ht="15.6" x14ac:dyDescent="0.3">
      <c r="A202" s="76"/>
      <c r="B202" s="77" t="s">
        <v>268</v>
      </c>
      <c r="C202" s="78"/>
      <c r="D202" s="78"/>
      <c r="E202" s="78"/>
      <c r="F202" s="78"/>
      <c r="G202" s="64"/>
      <c r="H202" s="64"/>
      <c r="I202" s="64"/>
      <c r="J202" s="64"/>
      <c r="K202" s="64"/>
      <c r="L202" s="64"/>
      <c r="M202" s="64"/>
      <c r="N202" s="64"/>
      <c r="O202" s="64"/>
      <c r="P202" s="64"/>
      <c r="Q202" s="64"/>
      <c r="R202" s="79">
        <f>+T97/L69</f>
        <v>1.7399590776763826E-2</v>
      </c>
      <c r="S202" s="25"/>
      <c r="T202" s="25"/>
      <c r="U202" s="25"/>
      <c r="V202" s="5"/>
    </row>
    <row r="203" spans="1:22" ht="15.6" x14ac:dyDescent="0.3">
      <c r="A203" s="76"/>
      <c r="B203" s="77" t="s">
        <v>249</v>
      </c>
      <c r="C203" s="78"/>
      <c r="D203" s="78"/>
      <c r="E203" s="78"/>
      <c r="F203" s="78"/>
      <c r="G203" s="64"/>
      <c r="H203" s="64"/>
      <c r="I203" s="64"/>
      <c r="J203" s="64"/>
      <c r="K203" s="64"/>
      <c r="L203" s="64"/>
      <c r="M203" s="64"/>
      <c r="N203" s="64"/>
      <c r="O203" s="64"/>
      <c r="P203" s="64"/>
      <c r="Q203" s="64"/>
      <c r="R203" s="132">
        <v>51622</v>
      </c>
      <c r="S203" s="25"/>
      <c r="T203" s="25"/>
      <c r="U203" s="25"/>
      <c r="V203" s="5"/>
    </row>
    <row r="204" spans="1:22" ht="15.6" x14ac:dyDescent="0.3">
      <c r="A204" s="76"/>
      <c r="B204" s="77" t="s">
        <v>250</v>
      </c>
      <c r="C204" s="78"/>
      <c r="D204" s="78"/>
      <c r="E204" s="78"/>
      <c r="F204" s="78"/>
      <c r="G204" s="64"/>
      <c r="H204" s="64"/>
      <c r="I204" s="64"/>
      <c r="J204" s="64"/>
      <c r="K204" s="64"/>
      <c r="L204" s="64"/>
      <c r="M204" s="64"/>
      <c r="N204" s="64"/>
      <c r="O204" s="64"/>
      <c r="P204" s="64"/>
      <c r="Q204" s="64"/>
      <c r="R204" s="132">
        <v>51622</v>
      </c>
      <c r="S204" s="25"/>
      <c r="T204" s="25"/>
      <c r="U204" s="25"/>
      <c r="V204" s="5"/>
    </row>
    <row r="205" spans="1:22" ht="15.6" x14ac:dyDescent="0.3">
      <c r="A205" s="76"/>
      <c r="B205" s="77" t="s">
        <v>251</v>
      </c>
      <c r="C205" s="78"/>
      <c r="D205" s="78"/>
      <c r="E205" s="78"/>
      <c r="F205" s="78"/>
      <c r="G205" s="64"/>
      <c r="H205" s="64"/>
      <c r="I205" s="64"/>
      <c r="J205" s="64"/>
      <c r="K205" s="64"/>
      <c r="L205" s="64"/>
      <c r="M205" s="64"/>
      <c r="N205" s="64"/>
      <c r="O205" s="64"/>
      <c r="P205" s="64"/>
      <c r="Q205" s="64"/>
      <c r="R205" s="132">
        <v>51622</v>
      </c>
      <c r="S205" s="25"/>
      <c r="T205" s="25"/>
      <c r="U205" s="25"/>
      <c r="V205" s="5"/>
    </row>
    <row r="206" spans="1:22" ht="15.6" x14ac:dyDescent="0.3">
      <c r="A206" s="76"/>
      <c r="B206" s="77" t="s">
        <v>79</v>
      </c>
      <c r="C206" s="78"/>
      <c r="D206" s="78"/>
      <c r="E206" s="78"/>
      <c r="F206" s="78"/>
      <c r="G206" s="64"/>
      <c r="H206" s="64"/>
      <c r="I206" s="64"/>
      <c r="J206" s="64"/>
      <c r="K206" s="64"/>
      <c r="L206" s="64"/>
      <c r="M206" s="64"/>
      <c r="N206" s="64"/>
      <c r="O206" s="64"/>
      <c r="P206" s="64"/>
      <c r="Q206" s="64"/>
      <c r="R206" s="136">
        <v>20.95</v>
      </c>
      <c r="S206" s="25" t="s">
        <v>119</v>
      </c>
      <c r="T206" s="25"/>
      <c r="U206" s="25"/>
      <c r="V206" s="5"/>
    </row>
    <row r="207" spans="1:22" ht="15.6" x14ac:dyDescent="0.3">
      <c r="A207" s="76"/>
      <c r="B207" s="77" t="s">
        <v>80</v>
      </c>
      <c r="C207" s="78"/>
      <c r="D207" s="78"/>
      <c r="E207" s="78"/>
      <c r="F207" s="78"/>
      <c r="G207" s="64"/>
      <c r="H207" s="64"/>
      <c r="I207" s="64"/>
      <c r="J207" s="64"/>
      <c r="K207" s="64"/>
      <c r="L207" s="64"/>
      <c r="M207" s="64"/>
      <c r="N207" s="64"/>
      <c r="O207" s="64"/>
      <c r="P207" s="64"/>
      <c r="Q207" s="64"/>
      <c r="R207" s="136">
        <v>19.329999999999998</v>
      </c>
      <c r="S207" s="25" t="s">
        <v>119</v>
      </c>
      <c r="T207" s="25"/>
      <c r="U207" s="25"/>
      <c r="V207" s="5"/>
    </row>
    <row r="208" spans="1:22" ht="15.6" x14ac:dyDescent="0.3">
      <c r="A208" s="76"/>
      <c r="B208" s="77" t="s">
        <v>81</v>
      </c>
      <c r="C208" s="78"/>
      <c r="D208" s="78"/>
      <c r="E208" s="78"/>
      <c r="F208" s="78"/>
      <c r="G208" s="64"/>
      <c r="H208" s="64"/>
      <c r="I208" s="64"/>
      <c r="J208" s="64"/>
      <c r="K208" s="64"/>
      <c r="L208" s="64"/>
      <c r="M208" s="64"/>
      <c r="N208" s="64"/>
      <c r="O208" s="64"/>
      <c r="P208" s="64"/>
      <c r="Q208" s="64"/>
      <c r="R208" s="79">
        <f>+N66/L66</f>
        <v>4.775848056865472E-2</v>
      </c>
      <c r="S208" s="25"/>
      <c r="T208" s="25"/>
      <c r="U208" s="25"/>
      <c r="V208" s="5"/>
    </row>
    <row r="209" spans="1:22" ht="15.6" x14ac:dyDescent="0.3">
      <c r="A209" s="76"/>
      <c r="B209" s="77" t="s">
        <v>82</v>
      </c>
      <c r="C209" s="78"/>
      <c r="D209" s="78"/>
      <c r="E209" s="78"/>
      <c r="F209" s="78"/>
      <c r="G209" s="64"/>
      <c r="H209" s="64"/>
      <c r="I209" s="64"/>
      <c r="J209" s="64"/>
      <c r="K209" s="64"/>
      <c r="L209" s="64"/>
      <c r="M209" s="64"/>
      <c r="N209" s="64"/>
      <c r="O209" s="64"/>
      <c r="P209" s="64"/>
      <c r="Q209" s="64"/>
      <c r="R209" s="79">
        <v>0.1343</v>
      </c>
      <c r="S209" s="25"/>
      <c r="T209" s="25"/>
      <c r="U209" s="25"/>
      <c r="V209" s="5"/>
    </row>
    <row r="210" spans="1:22" ht="15.6" x14ac:dyDescent="0.3">
      <c r="A210" s="76"/>
      <c r="B210" s="77"/>
      <c r="C210" s="77"/>
      <c r="D210" s="77"/>
      <c r="E210" s="77"/>
      <c r="F210" s="77"/>
      <c r="G210" s="25"/>
      <c r="H210" s="25"/>
      <c r="I210" s="25"/>
      <c r="J210" s="25"/>
      <c r="K210" s="25"/>
      <c r="L210" s="25"/>
      <c r="M210" s="25"/>
      <c r="N210" s="25"/>
      <c r="O210" s="25"/>
      <c r="P210" s="25"/>
      <c r="Q210" s="25"/>
      <c r="R210" s="61"/>
      <c r="S210" s="25"/>
      <c r="T210" s="80"/>
      <c r="U210" s="25"/>
      <c r="V210" s="5"/>
    </row>
    <row r="211" spans="1:22" ht="15.6" x14ac:dyDescent="0.3">
      <c r="A211" s="81"/>
      <c r="B211" s="14" t="s">
        <v>83</v>
      </c>
      <c r="C211" s="82"/>
      <c r="D211" s="82"/>
      <c r="E211" s="82"/>
      <c r="F211" s="83"/>
      <c r="G211" s="82"/>
      <c r="H211" s="17"/>
      <c r="I211" s="17"/>
      <c r="J211" s="17"/>
      <c r="K211" s="17"/>
      <c r="L211" s="17"/>
      <c r="M211" s="17"/>
      <c r="N211" s="17"/>
      <c r="O211" s="17"/>
      <c r="P211" s="17"/>
      <c r="Q211" s="17" t="s">
        <v>108</v>
      </c>
      <c r="R211" s="84" t="s">
        <v>115</v>
      </c>
      <c r="S211" s="8"/>
      <c r="T211" s="8"/>
      <c r="U211" s="8"/>
      <c r="V211" s="5"/>
    </row>
    <row r="212" spans="1:22" ht="15.6" x14ac:dyDescent="0.3">
      <c r="A212" s="85"/>
      <c r="B212" s="77" t="s">
        <v>84</v>
      </c>
      <c r="C212" s="54"/>
      <c r="D212" s="54"/>
      <c r="E212" s="54"/>
      <c r="F212" s="25"/>
      <c r="G212" s="25"/>
      <c r="H212" s="30"/>
      <c r="I212" s="30"/>
      <c r="J212" s="30"/>
      <c r="K212" s="30"/>
      <c r="L212" s="30"/>
      <c r="M212" s="30"/>
      <c r="N212" s="30"/>
      <c r="O212" s="30"/>
      <c r="P212" s="30"/>
      <c r="Q212" s="30">
        <v>0</v>
      </c>
      <c r="R212" s="86">
        <v>0</v>
      </c>
      <c r="S212" s="25"/>
      <c r="T212" s="80"/>
      <c r="U212" s="87"/>
      <c r="V212" s="5"/>
    </row>
    <row r="213" spans="1:22" ht="15.6" x14ac:dyDescent="0.3">
      <c r="A213" s="85"/>
      <c r="B213" s="77" t="s">
        <v>156</v>
      </c>
      <c r="C213" s="54"/>
      <c r="D213" s="54"/>
      <c r="E213" s="54"/>
      <c r="F213" s="25"/>
      <c r="G213" s="25"/>
      <c r="H213" s="30"/>
      <c r="I213" s="30"/>
      <c r="J213" s="30"/>
      <c r="K213" s="30"/>
      <c r="L213" s="30"/>
      <c r="M213" s="30"/>
      <c r="N213" s="30"/>
      <c r="O213" s="30"/>
      <c r="P213" s="30"/>
      <c r="Q213" s="156">
        <f>+P252</f>
        <v>29</v>
      </c>
      <c r="R213" s="86">
        <f>+R252</f>
        <v>3661</v>
      </c>
      <c r="S213" s="25"/>
      <c r="T213" s="80"/>
      <c r="U213" s="87"/>
      <c r="V213" s="5"/>
    </row>
    <row r="214" spans="1:22" ht="15.6" x14ac:dyDescent="0.3">
      <c r="A214" s="85"/>
      <c r="B214" s="77" t="s">
        <v>85</v>
      </c>
      <c r="C214" s="54"/>
      <c r="D214" s="54"/>
      <c r="E214" s="54"/>
      <c r="F214" s="25"/>
      <c r="G214" s="25"/>
      <c r="H214" s="30"/>
      <c r="I214" s="30"/>
      <c r="J214" s="30"/>
      <c r="K214" s="30"/>
      <c r="L214" s="30"/>
      <c r="M214" s="30"/>
      <c r="N214" s="30"/>
      <c r="O214" s="30"/>
      <c r="P214" s="30"/>
      <c r="Q214" s="30">
        <v>0</v>
      </c>
      <c r="R214" s="86">
        <v>0</v>
      </c>
      <c r="S214" s="25"/>
      <c r="T214" s="80"/>
      <c r="U214" s="87"/>
      <c r="V214" s="5"/>
    </row>
    <row r="215" spans="1:22" ht="15.6" x14ac:dyDescent="0.3">
      <c r="A215" s="85"/>
      <c r="B215" s="123" t="s">
        <v>86</v>
      </c>
      <c r="C215" s="54"/>
      <c r="D215" s="54"/>
      <c r="E215" s="54"/>
      <c r="F215" s="25"/>
      <c r="G215" s="25"/>
      <c r="H215" s="25"/>
      <c r="I215" s="25"/>
      <c r="J215" s="25"/>
      <c r="K215" s="25"/>
      <c r="L215" s="25"/>
      <c r="M215" s="25"/>
      <c r="N215" s="25"/>
      <c r="O215" s="25"/>
      <c r="P215" s="25"/>
      <c r="Q215" s="25"/>
      <c r="R215" s="86">
        <v>0</v>
      </c>
      <c r="S215" s="25"/>
      <c r="T215" s="80"/>
      <c r="U215" s="87"/>
      <c r="V215" s="5"/>
    </row>
    <row r="216" spans="1:22" ht="15.6" x14ac:dyDescent="0.3">
      <c r="A216" s="85"/>
      <c r="B216" s="123" t="s">
        <v>87</v>
      </c>
      <c r="C216" s="54"/>
      <c r="D216" s="54"/>
      <c r="E216" s="54"/>
      <c r="F216" s="25"/>
      <c r="G216" s="25"/>
      <c r="H216" s="25"/>
      <c r="I216" s="25"/>
      <c r="J216" s="25"/>
      <c r="K216" s="25"/>
      <c r="L216" s="25"/>
      <c r="M216" s="25"/>
      <c r="N216" s="25"/>
      <c r="O216" s="25"/>
      <c r="P216" s="25"/>
      <c r="Q216" s="25"/>
      <c r="R216" s="62" t="s">
        <v>116</v>
      </c>
      <c r="S216" s="25"/>
      <c r="T216" s="80"/>
      <c r="U216" s="87"/>
      <c r="V216" s="5"/>
    </row>
    <row r="217" spans="1:22" ht="15.6" x14ac:dyDescent="0.3">
      <c r="A217" s="88"/>
      <c r="B217" s="123" t="s">
        <v>88</v>
      </c>
      <c r="C217" s="77"/>
      <c r="D217" s="77"/>
      <c r="E217" s="77"/>
      <c r="F217" s="77"/>
      <c r="G217" s="25"/>
      <c r="H217" s="25"/>
      <c r="I217" s="25"/>
      <c r="J217" s="25"/>
      <c r="K217" s="25"/>
      <c r="L217" s="25"/>
      <c r="M217" s="25"/>
      <c r="N217" s="25"/>
      <c r="O217" s="25"/>
      <c r="P217" s="25"/>
      <c r="Q217" s="25"/>
      <c r="R217" s="86"/>
      <c r="S217" s="25"/>
      <c r="T217" s="80"/>
      <c r="U217" s="89"/>
      <c r="V217" s="5"/>
    </row>
    <row r="218" spans="1:22" ht="15.6" x14ac:dyDescent="0.3">
      <c r="A218" s="88"/>
      <c r="B218" s="134" t="s">
        <v>89</v>
      </c>
      <c r="C218" s="77"/>
      <c r="D218" s="77"/>
      <c r="E218" s="77"/>
      <c r="F218" s="77"/>
      <c r="G218" s="25"/>
      <c r="H218" s="25"/>
      <c r="I218" s="25"/>
      <c r="J218" s="25"/>
      <c r="K218" s="25"/>
      <c r="L218" s="25"/>
      <c r="M218" s="25"/>
      <c r="N218" s="25"/>
      <c r="O218" s="25"/>
      <c r="P218" s="25"/>
      <c r="Q218" s="30"/>
      <c r="R218" s="86">
        <f>T163</f>
        <v>0</v>
      </c>
      <c r="S218" s="25"/>
      <c r="T218" s="80"/>
      <c r="U218" s="89"/>
      <c r="V218" s="5"/>
    </row>
    <row r="219" spans="1:22" ht="15.6" x14ac:dyDescent="0.3">
      <c r="A219" s="85"/>
      <c r="B219" s="77" t="s">
        <v>90</v>
      </c>
      <c r="C219" s="54"/>
      <c r="D219" s="54"/>
      <c r="E219" s="54"/>
      <c r="F219" s="54"/>
      <c r="G219" s="25"/>
      <c r="H219" s="25"/>
      <c r="I219" s="25"/>
      <c r="J219" s="25"/>
      <c r="K219" s="25"/>
      <c r="L219" s="25"/>
      <c r="M219" s="25"/>
      <c r="N219" s="25"/>
      <c r="O219" s="25"/>
      <c r="P219" s="25"/>
      <c r="Q219" s="30"/>
      <c r="R219" s="86">
        <f>'Jan 07'!R219+'April 07'!R218</f>
        <v>70</v>
      </c>
      <c r="S219" s="25"/>
      <c r="T219" s="80"/>
      <c r="U219" s="89"/>
      <c r="V219" s="5"/>
    </row>
    <row r="220" spans="1:22" ht="15.6" x14ac:dyDescent="0.3">
      <c r="A220" s="88"/>
      <c r="B220" s="123" t="s">
        <v>288</v>
      </c>
      <c r="C220" s="77"/>
      <c r="D220" s="77"/>
      <c r="E220" s="77"/>
      <c r="F220" s="77"/>
      <c r="G220" s="25"/>
      <c r="H220" s="25"/>
      <c r="I220" s="25"/>
      <c r="J220" s="25"/>
      <c r="K220" s="25"/>
      <c r="L220" s="25"/>
      <c r="M220" s="25"/>
      <c r="N220" s="25"/>
      <c r="O220" s="25"/>
      <c r="P220" s="25"/>
      <c r="Q220" s="30"/>
      <c r="R220" s="86"/>
      <c r="S220" s="25"/>
      <c r="T220" s="80"/>
      <c r="U220" s="89"/>
      <c r="V220" s="5"/>
    </row>
    <row r="221" spans="1:22" ht="15.6" x14ac:dyDescent="0.3">
      <c r="A221" s="88"/>
      <c r="B221" s="77" t="s">
        <v>286</v>
      </c>
      <c r="C221" s="77"/>
      <c r="D221" s="77"/>
      <c r="E221" s="77"/>
      <c r="F221" s="77"/>
      <c r="G221" s="25"/>
      <c r="H221" s="25"/>
      <c r="I221" s="25"/>
      <c r="J221" s="25"/>
      <c r="K221" s="25"/>
      <c r="L221" s="25"/>
      <c r="M221" s="25"/>
      <c r="N221" s="25"/>
      <c r="O221" s="25"/>
      <c r="P221" s="25"/>
      <c r="Q221" s="30">
        <v>0</v>
      </c>
      <c r="R221" s="86">
        <v>0</v>
      </c>
      <c r="S221" s="25"/>
      <c r="T221" s="80"/>
      <c r="U221" s="89"/>
      <c r="V221" s="5"/>
    </row>
    <row r="222" spans="1:22" ht="15.6" x14ac:dyDescent="0.3">
      <c r="A222" s="85"/>
      <c r="B222" s="77" t="s">
        <v>92</v>
      </c>
      <c r="C222" s="90"/>
      <c r="D222" s="90"/>
      <c r="E222" s="90"/>
      <c r="F222" s="91"/>
      <c r="G222" s="25"/>
      <c r="H222" s="25"/>
      <c r="I222" s="25"/>
      <c r="J222" s="25"/>
      <c r="K222" s="25"/>
      <c r="L222" s="25"/>
      <c r="M222" s="25"/>
      <c r="N222" s="25"/>
      <c r="O222" s="25"/>
      <c r="P222" s="25"/>
      <c r="Q222" s="30"/>
      <c r="R222" s="62">
        <v>0</v>
      </c>
      <c r="S222" s="25"/>
      <c r="T222" s="80"/>
      <c r="U222" s="89"/>
      <c r="V222" s="5"/>
    </row>
    <row r="223" spans="1:22" ht="15.6" x14ac:dyDescent="0.3">
      <c r="A223" s="85"/>
      <c r="B223" s="77" t="s">
        <v>93</v>
      </c>
      <c r="C223" s="90"/>
      <c r="D223" s="90"/>
      <c r="E223" s="90"/>
      <c r="F223" s="91"/>
      <c r="G223" s="25"/>
      <c r="H223" s="25"/>
      <c r="I223" s="25"/>
      <c r="J223" s="25"/>
      <c r="K223" s="25"/>
      <c r="L223" s="25"/>
      <c r="M223" s="25"/>
      <c r="N223" s="25"/>
      <c r="O223" s="25"/>
      <c r="P223" s="25"/>
      <c r="Q223" s="30"/>
      <c r="R223" s="62">
        <v>0</v>
      </c>
      <c r="S223" s="25"/>
      <c r="T223" s="80"/>
      <c r="U223" s="89"/>
      <c r="V223" s="5"/>
    </row>
    <row r="224" spans="1:22" ht="15.6" x14ac:dyDescent="0.3">
      <c r="A224" s="85"/>
      <c r="B224" s="123" t="s">
        <v>258</v>
      </c>
      <c r="C224" s="90"/>
      <c r="D224" s="90"/>
      <c r="E224" s="90"/>
      <c r="F224" s="91"/>
      <c r="G224" s="25"/>
      <c r="H224" s="25"/>
      <c r="I224" s="25"/>
      <c r="J224" s="25"/>
      <c r="K224" s="25"/>
      <c r="L224" s="25"/>
      <c r="M224" s="25"/>
      <c r="N224" s="25"/>
      <c r="O224" s="25"/>
      <c r="P224" s="25"/>
      <c r="Q224" s="30"/>
      <c r="R224" s="92"/>
      <c r="S224" s="25"/>
      <c r="T224" s="80"/>
      <c r="U224" s="89"/>
      <c r="V224" s="5"/>
    </row>
    <row r="225" spans="1:23" ht="15.6" x14ac:dyDescent="0.3">
      <c r="A225" s="85"/>
      <c r="B225" s="77" t="s">
        <v>286</v>
      </c>
      <c r="C225" s="90"/>
      <c r="D225" s="90"/>
      <c r="E225" s="90"/>
      <c r="F225" s="91"/>
      <c r="G225" s="25"/>
      <c r="H225" s="25"/>
      <c r="I225" s="25"/>
      <c r="J225" s="25"/>
      <c r="K225" s="25"/>
      <c r="L225" s="25"/>
      <c r="M225" s="25"/>
      <c r="N225" s="25"/>
      <c r="O225" s="25"/>
      <c r="P225" s="25"/>
      <c r="Q225" s="30">
        <v>0</v>
      </c>
      <c r="R225" s="86">
        <v>0</v>
      </c>
      <c r="S225" s="25"/>
      <c r="T225" s="80"/>
      <c r="U225" s="89"/>
      <c r="V225" s="5"/>
    </row>
    <row r="226" spans="1:23" ht="15.6" x14ac:dyDescent="0.3">
      <c r="A226" s="85"/>
      <c r="B226" s="77" t="s">
        <v>259</v>
      </c>
      <c r="C226" s="90"/>
      <c r="D226" s="90"/>
      <c r="E226" s="90"/>
      <c r="F226" s="91"/>
      <c r="G226" s="25"/>
      <c r="H226" s="25"/>
      <c r="I226" s="25"/>
      <c r="J226" s="25"/>
      <c r="K226" s="25"/>
      <c r="L226" s="25"/>
      <c r="M226" s="25"/>
      <c r="N226" s="25"/>
      <c r="O226" s="25"/>
      <c r="P226" s="25"/>
      <c r="Q226" s="25"/>
      <c r="R226" s="62">
        <v>0</v>
      </c>
      <c r="S226" s="25"/>
      <c r="T226" s="80"/>
      <c r="U226" s="89"/>
      <c r="V226" s="5"/>
    </row>
    <row r="227" spans="1:23" ht="15.6" x14ac:dyDescent="0.3">
      <c r="A227" s="85"/>
      <c r="B227" s="77"/>
      <c r="C227" s="90"/>
      <c r="D227" s="90"/>
      <c r="E227" s="90"/>
      <c r="F227" s="91"/>
      <c r="G227" s="25"/>
      <c r="H227" s="25"/>
      <c r="I227" s="25"/>
      <c r="J227" s="25"/>
      <c r="K227" s="25"/>
      <c r="L227" s="25"/>
      <c r="M227" s="25"/>
      <c r="N227" s="25"/>
      <c r="O227" s="25"/>
      <c r="P227" s="25"/>
      <c r="Q227" s="25"/>
      <c r="R227" s="92"/>
      <c r="S227" s="25"/>
      <c r="T227" s="80"/>
      <c r="U227" s="89"/>
      <c r="V227" s="5"/>
    </row>
    <row r="228" spans="1:23" ht="17.399999999999999" x14ac:dyDescent="0.3">
      <c r="A228" s="85"/>
      <c r="B228" s="153" t="s">
        <v>208</v>
      </c>
      <c r="C228" s="90"/>
      <c r="D228" s="90"/>
      <c r="E228" s="90"/>
      <c r="F228" s="91"/>
      <c r="G228" s="25"/>
      <c r="H228" s="25"/>
      <c r="I228" s="25"/>
      <c r="J228" s="25"/>
      <c r="K228" s="25"/>
      <c r="L228" s="25"/>
      <c r="M228" s="25"/>
      <c r="N228" s="154" t="s">
        <v>207</v>
      </c>
      <c r="O228" s="25"/>
      <c r="P228" s="25"/>
      <c r="Q228" s="25"/>
      <c r="R228" s="92"/>
      <c r="S228" s="25"/>
      <c r="T228" s="80"/>
      <c r="U228" s="89"/>
      <c r="V228" s="5"/>
    </row>
    <row r="229" spans="1:23" ht="15.6" x14ac:dyDescent="0.3">
      <c r="A229" s="85"/>
      <c r="B229" s="77"/>
      <c r="C229" s="90"/>
      <c r="D229" s="90"/>
      <c r="E229" s="90"/>
      <c r="F229" s="91"/>
      <c r="G229" s="25"/>
      <c r="H229" s="25"/>
      <c r="I229" s="25"/>
      <c r="J229" s="25"/>
      <c r="K229" s="25"/>
      <c r="L229" s="25"/>
      <c r="M229" s="25"/>
      <c r="N229" s="25"/>
      <c r="O229" s="25"/>
      <c r="P229" s="25"/>
      <c r="Q229" s="25"/>
      <c r="R229" s="92"/>
      <c r="S229" s="25"/>
      <c r="T229" s="80"/>
      <c r="U229" s="89"/>
      <c r="V229" s="5"/>
    </row>
    <row r="230" spans="1:23" ht="15.6" x14ac:dyDescent="0.3">
      <c r="A230" s="6"/>
      <c r="B230" s="14" t="s">
        <v>177</v>
      </c>
      <c r="C230" s="82"/>
      <c r="D230" s="82"/>
      <c r="E230" s="82"/>
      <c r="F230" s="83"/>
      <c r="G230" s="82"/>
      <c r="H230" s="17"/>
      <c r="I230" s="17"/>
      <c r="J230" s="17"/>
      <c r="K230" s="17"/>
      <c r="L230" s="17"/>
      <c r="M230" s="17"/>
      <c r="N230" s="17"/>
      <c r="O230" s="17"/>
      <c r="P230" s="84" t="s">
        <v>108</v>
      </c>
      <c r="Q230" s="17" t="s">
        <v>109</v>
      </c>
      <c r="R230" s="84" t="s">
        <v>117</v>
      </c>
      <c r="S230" s="17" t="s">
        <v>109</v>
      </c>
      <c r="T230" s="8"/>
      <c r="U230" s="93"/>
      <c r="V230" s="5"/>
    </row>
    <row r="231" spans="1:23" ht="15.6" x14ac:dyDescent="0.3">
      <c r="A231" s="24"/>
      <c r="B231" s="54" t="s">
        <v>94</v>
      </c>
      <c r="C231" s="94"/>
      <c r="D231" s="94"/>
      <c r="E231" s="94"/>
      <c r="F231" s="25"/>
      <c r="G231" s="94"/>
      <c r="H231" s="94"/>
      <c r="I231" s="94"/>
      <c r="J231" s="94"/>
      <c r="K231" s="94"/>
      <c r="L231" s="94"/>
      <c r="M231" s="94"/>
      <c r="N231" s="94"/>
      <c r="O231" s="94"/>
      <c r="P231" s="54">
        <v>4954</v>
      </c>
      <c r="Q231" s="95">
        <f t="shared" ref="Q231:Q238" si="1">P231/$P$240</f>
        <v>0.99238782051282048</v>
      </c>
      <c r="R231" s="53">
        <v>559033</v>
      </c>
      <c r="S231" s="135">
        <f t="shared" ref="S231:S238" si="2">R231/$R$240</f>
        <v>0.99263998238567552</v>
      </c>
      <c r="T231" s="80"/>
      <c r="U231" s="89"/>
      <c r="V231" s="5"/>
    </row>
    <row r="232" spans="1:23" ht="15.6" x14ac:dyDescent="0.3">
      <c r="A232" s="24"/>
      <c r="B232" s="54" t="s">
        <v>95</v>
      </c>
      <c r="C232" s="94"/>
      <c r="D232" s="94"/>
      <c r="E232" s="94"/>
      <c r="F232" s="25"/>
      <c r="G232" s="95"/>
      <c r="H232" s="94"/>
      <c r="I232" s="94"/>
      <c r="J232" s="94"/>
      <c r="K232" s="94"/>
      <c r="L232" s="94"/>
      <c r="M232" s="94"/>
      <c r="N232" s="94"/>
      <c r="O232" s="94"/>
      <c r="P232" s="54">
        <v>23</v>
      </c>
      <c r="Q232" s="95">
        <f t="shared" si="1"/>
        <v>4.607371794871795E-3</v>
      </c>
      <c r="R232" s="53">
        <v>2981</v>
      </c>
      <c r="S232" s="135">
        <f t="shared" si="2"/>
        <v>5.2931755146685419E-3</v>
      </c>
      <c r="T232" s="80"/>
      <c r="U232" s="89"/>
      <c r="V232" s="5"/>
      <c r="W232" s="110"/>
    </row>
    <row r="233" spans="1:23" ht="15.6" x14ac:dyDescent="0.3">
      <c r="A233" s="24"/>
      <c r="B233" s="54" t="s">
        <v>96</v>
      </c>
      <c r="C233" s="94"/>
      <c r="D233" s="94"/>
      <c r="E233" s="94"/>
      <c r="F233" s="25"/>
      <c r="G233" s="95"/>
      <c r="H233" s="94"/>
      <c r="I233" s="94"/>
      <c r="J233" s="94"/>
      <c r="K233" s="94"/>
      <c r="L233" s="94"/>
      <c r="M233" s="94"/>
      <c r="N233" s="94"/>
      <c r="O233" s="94"/>
      <c r="P233" s="54">
        <v>8</v>
      </c>
      <c r="Q233" s="95">
        <f t="shared" si="1"/>
        <v>1.6025641025641025E-3</v>
      </c>
      <c r="R233" s="53">
        <v>931</v>
      </c>
      <c r="S233" s="135">
        <f t="shared" si="2"/>
        <v>1.6531185522161733E-3</v>
      </c>
      <c r="T233" s="80"/>
      <c r="U233" s="89"/>
      <c r="V233" s="5"/>
    </row>
    <row r="234" spans="1:23" ht="15.6" x14ac:dyDescent="0.3">
      <c r="A234" s="24"/>
      <c r="B234" s="54" t="s">
        <v>171</v>
      </c>
      <c r="C234" s="94"/>
      <c r="D234" s="94"/>
      <c r="E234" s="94"/>
      <c r="F234" s="25"/>
      <c r="G234" s="95"/>
      <c r="H234" s="94"/>
      <c r="I234" s="94"/>
      <c r="J234" s="94"/>
      <c r="K234" s="94"/>
      <c r="L234" s="94"/>
      <c r="M234" s="94"/>
      <c r="N234" s="94"/>
      <c r="O234" s="94"/>
      <c r="P234" s="54">
        <v>3</v>
      </c>
      <c r="Q234" s="95">
        <f t="shared" si="1"/>
        <v>6.0096153846153849E-4</v>
      </c>
      <c r="R234" s="53">
        <v>124</v>
      </c>
      <c r="S234" s="135">
        <f t="shared" si="2"/>
        <v>2.201790552898018E-4</v>
      </c>
      <c r="T234" s="80"/>
      <c r="U234" s="89"/>
      <c r="V234" s="5"/>
      <c r="W234" s="110"/>
    </row>
    <row r="235" spans="1:23" ht="15.6" x14ac:dyDescent="0.3">
      <c r="A235" s="24"/>
      <c r="B235" s="54" t="s">
        <v>172</v>
      </c>
      <c r="C235" s="94"/>
      <c r="D235" s="94"/>
      <c r="E235" s="94"/>
      <c r="F235" s="25"/>
      <c r="G235" s="95"/>
      <c r="H235" s="94"/>
      <c r="I235" s="94"/>
      <c r="J235" s="94"/>
      <c r="K235" s="94"/>
      <c r="L235" s="94"/>
      <c r="M235" s="94"/>
      <c r="N235" s="94"/>
      <c r="O235" s="94"/>
      <c r="P235" s="54">
        <v>2</v>
      </c>
      <c r="Q235" s="95">
        <f t="shared" si="1"/>
        <v>4.0064102564102563E-4</v>
      </c>
      <c r="R235" s="53">
        <v>94</v>
      </c>
      <c r="S235" s="135">
        <f t="shared" si="2"/>
        <v>1.6690992901001103E-4</v>
      </c>
      <c r="T235" s="80"/>
      <c r="U235" s="89"/>
      <c r="V235" s="5"/>
    </row>
    <row r="236" spans="1:23" ht="15.6" x14ac:dyDescent="0.3">
      <c r="A236" s="24"/>
      <c r="B236" s="54" t="s">
        <v>173</v>
      </c>
      <c r="C236" s="94"/>
      <c r="D236" s="94"/>
      <c r="E236" s="94"/>
      <c r="F236" s="25"/>
      <c r="G236" s="95"/>
      <c r="H236" s="94"/>
      <c r="I236" s="94"/>
      <c r="J236" s="94"/>
      <c r="K236" s="94"/>
      <c r="L236" s="94"/>
      <c r="M236" s="94"/>
      <c r="N236" s="94"/>
      <c r="O236" s="94"/>
      <c r="P236" s="54">
        <v>0</v>
      </c>
      <c r="Q236" s="95">
        <f t="shared" si="1"/>
        <v>0</v>
      </c>
      <c r="R236" s="53">
        <v>0</v>
      </c>
      <c r="S236" s="135">
        <f t="shared" si="2"/>
        <v>0</v>
      </c>
      <c r="T236" s="80"/>
      <c r="U236" s="89"/>
      <c r="V236" s="5"/>
      <c r="W236" s="110"/>
    </row>
    <row r="237" spans="1:23" ht="15.6" x14ac:dyDescent="0.3">
      <c r="A237" s="24"/>
      <c r="B237" s="54" t="s">
        <v>174</v>
      </c>
      <c r="C237" s="94"/>
      <c r="D237" s="94"/>
      <c r="E237" s="94"/>
      <c r="F237" s="25"/>
      <c r="G237" s="95"/>
      <c r="H237" s="94"/>
      <c r="I237" s="94"/>
      <c r="J237" s="94"/>
      <c r="K237" s="94"/>
      <c r="L237" s="94"/>
      <c r="M237" s="94"/>
      <c r="N237" s="94"/>
      <c r="O237" s="94"/>
      <c r="P237" s="54">
        <v>1</v>
      </c>
      <c r="Q237" s="95">
        <f t="shared" si="1"/>
        <v>2.0032051282051281E-4</v>
      </c>
      <c r="R237" s="53">
        <v>2</v>
      </c>
      <c r="S237" s="135">
        <f t="shared" si="2"/>
        <v>3.5512750853193839E-6</v>
      </c>
      <c r="T237" s="80"/>
      <c r="U237" s="89"/>
      <c r="V237" s="5"/>
    </row>
    <row r="238" spans="1:23" ht="15.6" x14ac:dyDescent="0.3">
      <c r="A238" s="24"/>
      <c r="B238" s="54" t="s">
        <v>175</v>
      </c>
      <c r="C238" s="94"/>
      <c r="D238" s="94"/>
      <c r="E238" s="94"/>
      <c r="F238" s="25"/>
      <c r="G238" s="95"/>
      <c r="H238" s="94"/>
      <c r="I238" s="94"/>
      <c r="J238" s="94"/>
      <c r="K238" s="94"/>
      <c r="L238" s="94"/>
      <c r="M238" s="94"/>
      <c r="N238" s="94"/>
      <c r="O238" s="94"/>
      <c r="P238" s="54">
        <v>1</v>
      </c>
      <c r="Q238" s="95">
        <f t="shared" si="1"/>
        <v>2.0032051282051281E-4</v>
      </c>
      <c r="R238" s="53">
        <v>13</v>
      </c>
      <c r="S238" s="135">
        <f t="shared" si="2"/>
        <v>2.3083288054575997E-5</v>
      </c>
      <c r="T238" s="80"/>
      <c r="U238" s="89"/>
      <c r="V238" s="5"/>
      <c r="W238" s="110"/>
    </row>
    <row r="239" spans="1:23" ht="15.6" x14ac:dyDescent="0.3">
      <c r="A239" s="24"/>
      <c r="B239" s="54"/>
      <c r="C239" s="94"/>
      <c r="D239" s="94"/>
      <c r="E239" s="94"/>
      <c r="F239" s="25"/>
      <c r="G239" s="95"/>
      <c r="H239" s="94"/>
      <c r="I239" s="94"/>
      <c r="J239" s="94"/>
      <c r="K239" s="94"/>
      <c r="L239" s="94"/>
      <c r="M239" s="94"/>
      <c r="N239" s="94"/>
      <c r="O239" s="94"/>
      <c r="P239" s="54"/>
      <c r="Q239" s="95"/>
      <c r="R239" s="53"/>
      <c r="S239" s="135"/>
      <c r="T239" s="80"/>
      <c r="U239" s="89"/>
      <c r="V239" s="5"/>
    </row>
    <row r="240" spans="1:23" ht="15.6" x14ac:dyDescent="0.3">
      <c r="A240" s="24"/>
      <c r="B240" s="25"/>
      <c r="C240" s="25"/>
      <c r="D240" s="25"/>
      <c r="E240" s="25"/>
      <c r="F240" s="25"/>
      <c r="G240" s="25"/>
      <c r="H240" s="96"/>
      <c r="I240" s="96"/>
      <c r="J240" s="96"/>
      <c r="K240" s="96"/>
      <c r="L240" s="96"/>
      <c r="M240" s="96"/>
      <c r="N240" s="96"/>
      <c r="O240" s="96"/>
      <c r="P240" s="34">
        <f>SUM(P231:P239)</f>
        <v>4992</v>
      </c>
      <c r="Q240" s="135">
        <f>SUM(Q231:Q239)</f>
        <v>1</v>
      </c>
      <c r="R240" s="53">
        <f>SUM(R231:R239)</f>
        <v>563178</v>
      </c>
      <c r="S240" s="135">
        <f>SUM(S231:S239)</f>
        <v>1</v>
      </c>
      <c r="T240" s="25"/>
      <c r="U240" s="25"/>
      <c r="V240" s="5"/>
    </row>
    <row r="241" spans="1:22" ht="15.6" x14ac:dyDescent="0.3">
      <c r="A241" s="24"/>
      <c r="B241" s="25"/>
      <c r="C241" s="25"/>
      <c r="D241" s="25"/>
      <c r="E241" s="25"/>
      <c r="F241" s="25"/>
      <c r="G241" s="25"/>
      <c r="H241" s="96"/>
      <c r="I241" s="96"/>
      <c r="J241" s="96"/>
      <c r="K241" s="96"/>
      <c r="L241" s="96"/>
      <c r="M241" s="96"/>
      <c r="N241" s="96"/>
      <c r="O241" s="96"/>
      <c r="P241" s="34"/>
      <c r="Q241" s="135"/>
      <c r="R241" s="53"/>
      <c r="S241" s="135"/>
      <c r="T241" s="25"/>
      <c r="U241" s="25"/>
      <c r="V241" s="5"/>
    </row>
    <row r="242" spans="1:22" ht="15.6" x14ac:dyDescent="0.3">
      <c r="A242" s="144"/>
      <c r="B242" s="14" t="s">
        <v>178</v>
      </c>
      <c r="C242" s="82"/>
      <c r="D242" s="82"/>
      <c r="E242" s="82"/>
      <c r="F242" s="83"/>
      <c r="G242" s="82"/>
      <c r="H242" s="17"/>
      <c r="I242" s="17"/>
      <c r="J242" s="17"/>
      <c r="K242" s="17"/>
      <c r="L242" s="17"/>
      <c r="M242" s="17"/>
      <c r="N242" s="17"/>
      <c r="O242" s="17"/>
      <c r="P242" s="84" t="s">
        <v>108</v>
      </c>
      <c r="Q242" s="17" t="s">
        <v>109</v>
      </c>
      <c r="R242" s="84" t="s">
        <v>117</v>
      </c>
      <c r="S242" s="17" t="s">
        <v>109</v>
      </c>
      <c r="T242" s="142"/>
      <c r="U242" s="143"/>
      <c r="V242" s="5"/>
    </row>
    <row r="243" spans="1:22" ht="15.6" x14ac:dyDescent="0.3">
      <c r="A243" s="24"/>
      <c r="B243" s="54" t="s">
        <v>94</v>
      </c>
      <c r="C243" s="94"/>
      <c r="D243" s="94"/>
      <c r="E243" s="94"/>
      <c r="F243" s="25"/>
      <c r="G243" s="94"/>
      <c r="H243" s="94"/>
      <c r="I243" s="94"/>
      <c r="J243" s="94"/>
      <c r="K243" s="94"/>
      <c r="L243" s="94"/>
      <c r="M243" s="94"/>
      <c r="N243" s="94"/>
      <c r="O243" s="94"/>
      <c r="P243" s="54">
        <v>6</v>
      </c>
      <c r="Q243" s="95">
        <f t="shared" ref="Q243:Q250" si="3">P243/$P$252</f>
        <v>0.20689655172413793</v>
      </c>
      <c r="R243" s="53">
        <v>420</v>
      </c>
      <c r="S243" s="135">
        <f t="shared" ref="S243:S250" si="4">R243/$R$252</f>
        <v>0.1147227533460803</v>
      </c>
      <c r="T243" s="25"/>
      <c r="U243" s="25"/>
      <c r="V243" s="5"/>
    </row>
    <row r="244" spans="1:22" ht="15.6" x14ac:dyDescent="0.3">
      <c r="A244" s="24"/>
      <c r="B244" s="54" t="s">
        <v>95</v>
      </c>
      <c r="C244" s="94"/>
      <c r="D244" s="94"/>
      <c r="E244" s="94"/>
      <c r="F244" s="25"/>
      <c r="G244" s="95"/>
      <c r="H244" s="94"/>
      <c r="I244" s="94"/>
      <c r="J244" s="94"/>
      <c r="K244" s="94"/>
      <c r="L244" s="94"/>
      <c r="M244" s="94"/>
      <c r="N244" s="94"/>
      <c r="O244" s="94"/>
      <c r="P244" s="54">
        <v>0</v>
      </c>
      <c r="Q244" s="95">
        <f t="shared" si="3"/>
        <v>0</v>
      </c>
      <c r="R244" s="53">
        <v>0</v>
      </c>
      <c r="S244" s="135">
        <f t="shared" si="4"/>
        <v>0</v>
      </c>
      <c r="T244" s="25"/>
      <c r="U244" s="25"/>
      <c r="V244" s="5"/>
    </row>
    <row r="245" spans="1:22" ht="15.6" x14ac:dyDescent="0.3">
      <c r="A245" s="24"/>
      <c r="B245" s="54" t="s">
        <v>96</v>
      </c>
      <c r="C245" s="94"/>
      <c r="D245" s="94"/>
      <c r="E245" s="94"/>
      <c r="F245" s="25"/>
      <c r="G245" s="95"/>
      <c r="H245" s="94"/>
      <c r="I245" s="94"/>
      <c r="J245" s="94"/>
      <c r="K245" s="94"/>
      <c r="L245" s="94"/>
      <c r="M245" s="94"/>
      <c r="N245" s="94"/>
      <c r="O245" s="94"/>
      <c r="P245" s="54">
        <v>3</v>
      </c>
      <c r="Q245" s="95">
        <f t="shared" si="3"/>
        <v>0.10344827586206896</v>
      </c>
      <c r="R245" s="53">
        <v>320</v>
      </c>
      <c r="S245" s="135">
        <f t="shared" si="4"/>
        <v>8.7407812073204041E-2</v>
      </c>
      <c r="T245" s="25"/>
      <c r="U245" s="25"/>
      <c r="V245" s="5"/>
    </row>
    <row r="246" spans="1:22" ht="15.6" x14ac:dyDescent="0.3">
      <c r="A246" s="24"/>
      <c r="B246" s="54" t="s">
        <v>171</v>
      </c>
      <c r="C246" s="94"/>
      <c r="D246" s="94"/>
      <c r="E246" s="94"/>
      <c r="F246" s="25"/>
      <c r="G246" s="95"/>
      <c r="H246" s="94"/>
      <c r="I246" s="94"/>
      <c r="J246" s="94"/>
      <c r="K246" s="94"/>
      <c r="L246" s="94"/>
      <c r="M246" s="94"/>
      <c r="N246" s="94"/>
      <c r="O246" s="94"/>
      <c r="P246" s="54">
        <v>5</v>
      </c>
      <c r="Q246" s="95">
        <f t="shared" si="3"/>
        <v>0.17241379310344829</v>
      </c>
      <c r="R246" s="53">
        <v>734</v>
      </c>
      <c r="S246" s="135">
        <f t="shared" si="4"/>
        <v>0.20049166894291176</v>
      </c>
      <c r="T246" s="25"/>
      <c r="U246" s="25"/>
      <c r="V246" s="5"/>
    </row>
    <row r="247" spans="1:22" ht="15.6" x14ac:dyDescent="0.3">
      <c r="A247" s="24"/>
      <c r="B247" s="54" t="s">
        <v>172</v>
      </c>
      <c r="C247" s="94"/>
      <c r="D247" s="94"/>
      <c r="E247" s="94"/>
      <c r="F247" s="25"/>
      <c r="G247" s="95"/>
      <c r="H247" s="94"/>
      <c r="I247" s="94"/>
      <c r="J247" s="94"/>
      <c r="K247" s="94"/>
      <c r="L247" s="94"/>
      <c r="M247" s="94"/>
      <c r="N247" s="94"/>
      <c r="O247" s="94"/>
      <c r="P247" s="54">
        <v>4</v>
      </c>
      <c r="Q247" s="95">
        <f t="shared" si="3"/>
        <v>0.13793103448275862</v>
      </c>
      <c r="R247" s="53">
        <v>559</v>
      </c>
      <c r="S247" s="135">
        <f t="shared" si="4"/>
        <v>0.15269052171537831</v>
      </c>
      <c r="T247" s="25"/>
      <c r="U247" s="25"/>
      <c r="V247" s="5"/>
    </row>
    <row r="248" spans="1:22" ht="15.6" x14ac:dyDescent="0.3">
      <c r="A248" s="24"/>
      <c r="B248" s="54" t="s">
        <v>173</v>
      </c>
      <c r="C248" s="94"/>
      <c r="D248" s="94"/>
      <c r="E248" s="94"/>
      <c r="F248" s="25"/>
      <c r="G248" s="95"/>
      <c r="H248" s="94"/>
      <c r="I248" s="94"/>
      <c r="J248" s="94"/>
      <c r="K248" s="94"/>
      <c r="L248" s="94"/>
      <c r="M248" s="94"/>
      <c r="N248" s="94"/>
      <c r="O248" s="94"/>
      <c r="P248" s="54">
        <v>1</v>
      </c>
      <c r="Q248" s="95">
        <f t="shared" si="3"/>
        <v>3.4482758620689655E-2</v>
      </c>
      <c r="R248" s="53">
        <v>213</v>
      </c>
      <c r="S248" s="135">
        <f t="shared" si="4"/>
        <v>5.8180824911226441E-2</v>
      </c>
      <c r="T248" s="25"/>
      <c r="U248" s="25"/>
      <c r="V248" s="5"/>
    </row>
    <row r="249" spans="1:22" ht="15.6" x14ac:dyDescent="0.3">
      <c r="A249" s="24"/>
      <c r="B249" s="54" t="s">
        <v>174</v>
      </c>
      <c r="C249" s="94"/>
      <c r="D249" s="94"/>
      <c r="E249" s="94"/>
      <c r="F249" s="25"/>
      <c r="G249" s="95"/>
      <c r="H249" s="94"/>
      <c r="I249" s="94"/>
      <c r="J249" s="94"/>
      <c r="K249" s="94"/>
      <c r="L249" s="94"/>
      <c r="M249" s="94"/>
      <c r="N249" s="94"/>
      <c r="O249" s="94"/>
      <c r="P249" s="54">
        <v>4</v>
      </c>
      <c r="Q249" s="95">
        <f t="shared" si="3"/>
        <v>0.13793103448275862</v>
      </c>
      <c r="R249" s="53">
        <v>495</v>
      </c>
      <c r="S249" s="135">
        <f t="shared" si="4"/>
        <v>0.13520895930073751</v>
      </c>
      <c r="T249" s="25"/>
      <c r="U249" s="25"/>
      <c r="V249" s="5"/>
    </row>
    <row r="250" spans="1:22" ht="15.6" x14ac:dyDescent="0.3">
      <c r="A250" s="24"/>
      <c r="B250" s="54" t="s">
        <v>175</v>
      </c>
      <c r="C250" s="94"/>
      <c r="D250" s="94"/>
      <c r="E250" s="94"/>
      <c r="F250" s="25"/>
      <c r="G250" s="95"/>
      <c r="H250" s="94"/>
      <c r="I250" s="94"/>
      <c r="J250" s="94"/>
      <c r="K250" s="94"/>
      <c r="L250" s="94"/>
      <c r="M250" s="94"/>
      <c r="N250" s="94"/>
      <c r="O250" s="94"/>
      <c r="P250" s="54">
        <v>6</v>
      </c>
      <c r="Q250" s="95">
        <f t="shared" si="3"/>
        <v>0.20689655172413793</v>
      </c>
      <c r="R250" s="53">
        <v>920</v>
      </c>
      <c r="S250" s="135">
        <f t="shared" si="4"/>
        <v>0.25129745971046163</v>
      </c>
      <c r="T250" s="25"/>
      <c r="U250" s="25"/>
      <c r="V250" s="5"/>
    </row>
    <row r="251" spans="1:22" ht="15.6" x14ac:dyDescent="0.3">
      <c r="A251" s="24"/>
      <c r="B251" s="54"/>
      <c r="C251" s="94"/>
      <c r="D251" s="94"/>
      <c r="E251" s="94"/>
      <c r="F251" s="25"/>
      <c r="G251" s="95"/>
      <c r="H251" s="94"/>
      <c r="I251" s="94"/>
      <c r="J251" s="94"/>
      <c r="K251" s="94"/>
      <c r="L251" s="94"/>
      <c r="M251" s="94"/>
      <c r="N251" s="94"/>
      <c r="O251" s="94"/>
      <c r="P251" s="54"/>
      <c r="Q251" s="95"/>
      <c r="R251" s="53"/>
      <c r="S251" s="135"/>
      <c r="T251" s="25"/>
      <c r="U251" s="25"/>
      <c r="V251" s="5"/>
    </row>
    <row r="252" spans="1:22" ht="15.6" x14ac:dyDescent="0.3">
      <c r="A252" s="24"/>
      <c r="B252" s="25"/>
      <c r="C252" s="25"/>
      <c r="D252" s="25"/>
      <c r="E252" s="25"/>
      <c r="F252" s="25"/>
      <c r="G252" s="25"/>
      <c r="H252" s="96"/>
      <c r="I252" s="96"/>
      <c r="J252" s="96"/>
      <c r="K252" s="96"/>
      <c r="L252" s="96"/>
      <c r="M252" s="96"/>
      <c r="N252" s="96"/>
      <c r="O252" s="96"/>
      <c r="P252" s="34">
        <f>SUM(P243:P251)</f>
        <v>29</v>
      </c>
      <c r="Q252" s="135">
        <f>SUM(Q243:Q251)</f>
        <v>1</v>
      </c>
      <c r="R252" s="53">
        <f>SUM(R243:R251)</f>
        <v>3661</v>
      </c>
      <c r="S252" s="135">
        <f>SUM(S243:S251)</f>
        <v>1</v>
      </c>
      <c r="T252" s="25"/>
      <c r="U252" s="25"/>
      <c r="V252" s="5"/>
    </row>
    <row r="253" spans="1:22" ht="15.6" x14ac:dyDescent="0.3">
      <c r="A253" s="24"/>
      <c r="B253" s="25"/>
      <c r="C253" s="25"/>
      <c r="D253" s="25"/>
      <c r="E253" s="25"/>
      <c r="F253" s="25"/>
      <c r="G253" s="25"/>
      <c r="H253" s="96"/>
      <c r="I253" s="96"/>
      <c r="J253" s="96"/>
      <c r="K253" s="96"/>
      <c r="L253" s="96"/>
      <c r="M253" s="96"/>
      <c r="N253" s="96"/>
      <c r="O253" s="96"/>
      <c r="P253" s="34"/>
      <c r="Q253" s="135"/>
      <c r="R253" s="53"/>
      <c r="S253" s="135"/>
      <c r="T253" s="25"/>
      <c r="U253" s="25"/>
      <c r="V253" s="5"/>
    </row>
    <row r="254" spans="1:22" ht="15.6" x14ac:dyDescent="0.3">
      <c r="A254" s="144"/>
      <c r="B254" s="14" t="s">
        <v>179</v>
      </c>
      <c r="C254" s="142"/>
      <c r="D254" s="142"/>
      <c r="E254" s="142"/>
      <c r="F254" s="142"/>
      <c r="G254" s="142"/>
      <c r="H254" s="149"/>
      <c r="I254" s="149"/>
      <c r="J254" s="149"/>
      <c r="K254" s="149"/>
      <c r="L254" s="149"/>
      <c r="M254" s="149"/>
      <c r="N254" s="149"/>
      <c r="O254" s="149"/>
      <c r="P254" s="84" t="s">
        <v>108</v>
      </c>
      <c r="Q254" s="17" t="s">
        <v>109</v>
      </c>
      <c r="R254" s="84" t="s">
        <v>117</v>
      </c>
      <c r="S254" s="17" t="s">
        <v>109</v>
      </c>
      <c r="T254" s="142"/>
      <c r="U254" s="143"/>
      <c r="V254" s="5"/>
    </row>
    <row r="255" spans="1:22" ht="15.6" x14ac:dyDescent="0.3">
      <c r="A255" s="24"/>
      <c r="B255" s="54" t="s">
        <v>94</v>
      </c>
      <c r="C255" s="25"/>
      <c r="D255" s="25"/>
      <c r="E255" s="25"/>
      <c r="F255" s="25"/>
      <c r="G255" s="25"/>
      <c r="H255" s="96"/>
      <c r="I255" s="96"/>
      <c r="J255" s="96"/>
      <c r="K255" s="96"/>
      <c r="L255" s="96"/>
      <c r="M255" s="96"/>
      <c r="N255" s="96"/>
      <c r="O255" s="96"/>
      <c r="P255" s="54">
        <v>0</v>
      </c>
      <c r="Q255" s="95">
        <v>0</v>
      </c>
      <c r="R255" s="53">
        <v>0</v>
      </c>
      <c r="S255" s="135">
        <v>0</v>
      </c>
      <c r="T255" s="25"/>
      <c r="U255" s="25"/>
      <c r="V255" s="5"/>
    </row>
    <row r="256" spans="1:22" ht="15.6" x14ac:dyDescent="0.3">
      <c r="A256" s="24"/>
      <c r="B256" s="54" t="s">
        <v>95</v>
      </c>
      <c r="C256" s="25"/>
      <c r="D256" s="25"/>
      <c r="E256" s="25"/>
      <c r="F256" s="25"/>
      <c r="G256" s="25"/>
      <c r="H256" s="96"/>
      <c r="I256" s="96"/>
      <c r="J256" s="96"/>
      <c r="K256" s="96"/>
      <c r="L256" s="96"/>
      <c r="M256" s="96"/>
      <c r="N256" s="96"/>
      <c r="O256" s="96"/>
      <c r="P256" s="54">
        <v>0</v>
      </c>
      <c r="Q256" s="95">
        <v>0</v>
      </c>
      <c r="R256" s="53">
        <v>0</v>
      </c>
      <c r="S256" s="135">
        <v>0</v>
      </c>
      <c r="T256" s="25"/>
      <c r="U256" s="25"/>
      <c r="V256" s="5"/>
    </row>
    <row r="257" spans="1:22" ht="15.6" x14ac:dyDescent="0.3">
      <c r="A257" s="24"/>
      <c r="B257" s="54" t="s">
        <v>96</v>
      </c>
      <c r="C257" s="25"/>
      <c r="D257" s="25"/>
      <c r="E257" s="25"/>
      <c r="F257" s="25"/>
      <c r="G257" s="25"/>
      <c r="H257" s="96"/>
      <c r="I257" s="96"/>
      <c r="J257" s="96"/>
      <c r="K257" s="96"/>
      <c r="L257" s="96"/>
      <c r="M257" s="96"/>
      <c r="N257" s="96"/>
      <c r="O257" s="96"/>
      <c r="P257" s="54">
        <v>0</v>
      </c>
      <c r="Q257" s="95">
        <v>0</v>
      </c>
      <c r="R257" s="53">
        <v>0</v>
      </c>
      <c r="S257" s="135">
        <v>0</v>
      </c>
      <c r="T257" s="25"/>
      <c r="U257" s="25"/>
      <c r="V257" s="5"/>
    </row>
    <row r="258" spans="1:22" ht="15.6" x14ac:dyDescent="0.3">
      <c r="A258" s="24"/>
      <c r="B258" s="54" t="s">
        <v>171</v>
      </c>
      <c r="C258" s="25"/>
      <c r="D258" s="25"/>
      <c r="E258" s="25"/>
      <c r="F258" s="25"/>
      <c r="G258" s="25"/>
      <c r="H258" s="96"/>
      <c r="I258" s="96"/>
      <c r="J258" s="96"/>
      <c r="K258" s="96"/>
      <c r="L258" s="96"/>
      <c r="M258" s="96"/>
      <c r="N258" s="96"/>
      <c r="O258" s="96"/>
      <c r="P258" s="54">
        <v>0</v>
      </c>
      <c r="Q258" s="95">
        <v>0</v>
      </c>
      <c r="R258" s="53">
        <v>0</v>
      </c>
      <c r="S258" s="135">
        <v>0</v>
      </c>
      <c r="T258" s="25"/>
      <c r="U258" s="25"/>
      <c r="V258" s="5"/>
    </row>
    <row r="259" spans="1:22" ht="15.6" x14ac:dyDescent="0.3">
      <c r="A259" s="24"/>
      <c r="B259" s="54" t="s">
        <v>172</v>
      </c>
      <c r="C259" s="25"/>
      <c r="D259" s="25"/>
      <c r="E259" s="25"/>
      <c r="F259" s="25"/>
      <c r="G259" s="25"/>
      <c r="H259" s="96"/>
      <c r="I259" s="96"/>
      <c r="J259" s="96"/>
      <c r="K259" s="96"/>
      <c r="L259" s="96"/>
      <c r="M259" s="96"/>
      <c r="N259" s="96"/>
      <c r="O259" s="96"/>
      <c r="P259" s="54">
        <v>0</v>
      </c>
      <c r="Q259" s="95">
        <v>0</v>
      </c>
      <c r="R259" s="53">
        <v>0</v>
      </c>
      <c r="S259" s="135">
        <v>0</v>
      </c>
      <c r="T259" s="25"/>
      <c r="U259" s="25"/>
      <c r="V259" s="5"/>
    </row>
    <row r="260" spans="1:22" ht="15.6" x14ac:dyDescent="0.3">
      <c r="A260" s="24"/>
      <c r="B260" s="54" t="s">
        <v>173</v>
      </c>
      <c r="C260" s="25"/>
      <c r="D260" s="25"/>
      <c r="E260" s="25"/>
      <c r="F260" s="25"/>
      <c r="G260" s="25"/>
      <c r="H260" s="96"/>
      <c r="I260" s="96"/>
      <c r="J260" s="96"/>
      <c r="K260" s="96"/>
      <c r="L260" s="96"/>
      <c r="M260" s="96"/>
      <c r="N260" s="96"/>
      <c r="O260" s="96"/>
      <c r="P260" s="54">
        <v>0</v>
      </c>
      <c r="Q260" s="95">
        <v>0</v>
      </c>
      <c r="R260" s="53">
        <v>0</v>
      </c>
      <c r="S260" s="135">
        <v>0</v>
      </c>
      <c r="T260" s="25"/>
      <c r="U260" s="25"/>
      <c r="V260" s="5"/>
    </row>
    <row r="261" spans="1:22" ht="15.6" x14ac:dyDescent="0.3">
      <c r="A261" s="24"/>
      <c r="B261" s="54" t="s">
        <v>174</v>
      </c>
      <c r="C261" s="25"/>
      <c r="D261" s="25"/>
      <c r="E261" s="25"/>
      <c r="F261" s="25"/>
      <c r="G261" s="25"/>
      <c r="H261" s="96"/>
      <c r="I261" s="96"/>
      <c r="J261" s="96"/>
      <c r="K261" s="96"/>
      <c r="L261" s="96"/>
      <c r="M261" s="96"/>
      <c r="N261" s="96"/>
      <c r="O261" s="96"/>
      <c r="P261" s="54">
        <v>0</v>
      </c>
      <c r="Q261" s="95">
        <v>0</v>
      </c>
      <c r="R261" s="53">
        <v>0</v>
      </c>
      <c r="S261" s="135">
        <v>0</v>
      </c>
      <c r="T261" s="25"/>
      <c r="U261" s="25"/>
      <c r="V261" s="5"/>
    </row>
    <row r="262" spans="1:22" ht="15.6" x14ac:dyDescent="0.3">
      <c r="A262" s="24"/>
      <c r="B262" s="54" t="s">
        <v>175</v>
      </c>
      <c r="C262" s="25"/>
      <c r="D262" s="25"/>
      <c r="E262" s="25"/>
      <c r="F262" s="25"/>
      <c r="G262" s="25"/>
      <c r="H262" s="96"/>
      <c r="I262" s="96"/>
      <c r="J262" s="96"/>
      <c r="K262" s="96"/>
      <c r="L262" s="96"/>
      <c r="M262" s="96"/>
      <c r="N262" s="96"/>
      <c r="O262" s="96"/>
      <c r="P262" s="54">
        <v>0</v>
      </c>
      <c r="Q262" s="95">
        <v>0</v>
      </c>
      <c r="R262" s="53">
        <v>0</v>
      </c>
      <c r="S262" s="135">
        <v>0</v>
      </c>
      <c r="T262" s="25"/>
      <c r="U262" s="25"/>
      <c r="V262" s="5"/>
    </row>
    <row r="263" spans="1:22" ht="15.6" x14ac:dyDescent="0.3">
      <c r="A263" s="24"/>
      <c r="B263" s="54"/>
      <c r="C263" s="25"/>
      <c r="D263" s="25"/>
      <c r="E263" s="25"/>
      <c r="F263" s="25"/>
      <c r="G263" s="25"/>
      <c r="H263" s="96"/>
      <c r="I263" s="96"/>
      <c r="J263" s="96"/>
      <c r="K263" s="96"/>
      <c r="L263" s="96"/>
      <c r="M263" s="96"/>
      <c r="N263" s="96"/>
      <c r="O263" s="96"/>
      <c r="P263" s="54"/>
      <c r="Q263" s="95"/>
      <c r="R263" s="53"/>
      <c r="S263" s="135"/>
      <c r="T263" s="25"/>
      <c r="U263" s="25"/>
      <c r="V263" s="5"/>
    </row>
    <row r="264" spans="1:22" ht="15.6" x14ac:dyDescent="0.3">
      <c r="A264" s="24"/>
      <c r="B264" s="25" t="s">
        <v>123</v>
      </c>
      <c r="C264" s="25"/>
      <c r="D264" s="25"/>
      <c r="E264" s="25"/>
      <c r="F264" s="25"/>
      <c r="G264" s="25"/>
      <c r="H264" s="96"/>
      <c r="I264" s="96"/>
      <c r="J264" s="96"/>
      <c r="K264" s="96"/>
      <c r="L264" s="96"/>
      <c r="M264" s="96"/>
      <c r="N264" s="96"/>
      <c r="O264" s="96"/>
      <c r="P264" s="34">
        <f>SUM(P255:P262)</f>
        <v>0</v>
      </c>
      <c r="Q264" s="95">
        <f>SUM(Q255:Q262)</f>
        <v>0</v>
      </c>
      <c r="R264" s="53">
        <f>SUM(R255:R262)</f>
        <v>0</v>
      </c>
      <c r="S264" s="135">
        <f>SUM(S255:S262)</f>
        <v>0</v>
      </c>
      <c r="T264" s="25"/>
      <c r="U264" s="25"/>
      <c r="V264" s="5"/>
    </row>
    <row r="265" spans="1:22" ht="15.6" x14ac:dyDescent="0.3">
      <c r="A265" s="24"/>
      <c r="B265" s="25"/>
      <c r="C265" s="25"/>
      <c r="D265" s="25"/>
      <c r="E265" s="25"/>
      <c r="F265" s="25"/>
      <c r="G265" s="25"/>
      <c r="H265" s="96"/>
      <c r="I265" s="96"/>
      <c r="J265" s="96"/>
      <c r="K265" s="96"/>
      <c r="L265" s="96"/>
      <c r="M265" s="96"/>
      <c r="N265" s="96"/>
      <c r="O265" s="96"/>
      <c r="P265" s="34"/>
      <c r="Q265" s="135"/>
      <c r="R265" s="53"/>
      <c r="S265" s="135"/>
      <c r="T265" s="25"/>
      <c r="U265" s="25"/>
      <c r="V265" s="5"/>
    </row>
    <row r="266" spans="1:22" ht="15.6" x14ac:dyDescent="0.3">
      <c r="A266" s="24"/>
      <c r="B266" s="145" t="s">
        <v>180</v>
      </c>
      <c r="C266" s="25"/>
      <c r="D266" s="25"/>
      <c r="E266" s="25"/>
      <c r="F266" s="25"/>
      <c r="G266" s="25"/>
      <c r="H266" s="96"/>
      <c r="I266" s="96"/>
      <c r="J266" s="96"/>
      <c r="K266" s="96"/>
      <c r="L266" s="96"/>
      <c r="M266" s="96"/>
      <c r="N266" s="96"/>
      <c r="O266" s="96"/>
      <c r="P266" s="165">
        <f>+P240+P252+P264</f>
        <v>5021</v>
      </c>
      <c r="Q266" s="147"/>
      <c r="R266" s="148">
        <f>+R264+R252+R240</f>
        <v>566839</v>
      </c>
      <c r="S266" s="147"/>
      <c r="T266" s="25"/>
      <c r="U266" s="25"/>
      <c r="V266" s="5"/>
    </row>
    <row r="267" spans="1:22" ht="15.6" x14ac:dyDescent="0.3">
      <c r="A267" s="24"/>
      <c r="B267" s="25"/>
      <c r="C267" s="25"/>
      <c r="D267" s="25"/>
      <c r="E267" s="25"/>
      <c r="F267" s="25"/>
      <c r="G267" s="25"/>
      <c r="H267" s="96"/>
      <c r="I267" s="96"/>
      <c r="J267" s="96"/>
      <c r="K267" s="96"/>
      <c r="L267" s="96"/>
      <c r="M267" s="96"/>
      <c r="N267" s="96"/>
      <c r="O267" s="96"/>
      <c r="P267" s="96"/>
      <c r="Q267" s="96"/>
      <c r="R267" s="53"/>
      <c r="S267" s="96"/>
      <c r="T267" s="25"/>
      <c r="U267" s="25"/>
      <c r="V267" s="5"/>
    </row>
    <row r="268" spans="1:22" ht="15.6" x14ac:dyDescent="0.3">
      <c r="A268" s="6"/>
      <c r="B268" s="8"/>
      <c r="C268" s="8"/>
      <c r="D268" s="8"/>
      <c r="E268" s="8"/>
      <c r="F268" s="8"/>
      <c r="G268" s="8"/>
      <c r="H268" s="97"/>
      <c r="I268" s="97"/>
      <c r="J268" s="97"/>
      <c r="K268" s="97"/>
      <c r="L268" s="97"/>
      <c r="M268" s="97"/>
      <c r="N268" s="97"/>
      <c r="O268" s="97"/>
      <c r="P268" s="97"/>
      <c r="Q268" s="97"/>
      <c r="R268" s="98"/>
      <c r="S268" s="97"/>
      <c r="T268" s="8"/>
      <c r="U268" s="8"/>
      <c r="V268" s="5"/>
    </row>
    <row r="269" spans="1:22" ht="15.6" x14ac:dyDescent="0.3">
      <c r="A269" s="164"/>
      <c r="B269" s="14" t="s">
        <v>97</v>
      </c>
      <c r="C269" s="15"/>
      <c r="D269" s="15"/>
      <c r="E269" s="15"/>
      <c r="F269" s="17" t="s">
        <v>103</v>
      </c>
      <c r="G269" s="15"/>
      <c r="H269" s="14" t="s">
        <v>105</v>
      </c>
      <c r="I269" s="159"/>
      <c r="J269" s="159"/>
      <c r="K269" s="159"/>
      <c r="L269" s="159"/>
      <c r="M269" s="159"/>
      <c r="N269" s="159"/>
      <c r="O269" s="159"/>
      <c r="P269" s="159"/>
      <c r="Q269" s="159"/>
      <c r="R269" s="159"/>
      <c r="S269" s="159"/>
      <c r="T269" s="159"/>
      <c r="U269" s="159"/>
      <c r="V269" s="5"/>
    </row>
    <row r="270" spans="1:22" ht="15.6" x14ac:dyDescent="0.3">
      <c r="A270" s="164"/>
      <c r="B270" s="159"/>
      <c r="C270" s="8"/>
      <c r="D270" s="8"/>
      <c r="E270" s="8"/>
      <c r="F270" s="8"/>
      <c r="G270" s="8"/>
      <c r="H270" s="8"/>
      <c r="I270" s="159"/>
      <c r="J270" s="159"/>
      <c r="K270" s="159"/>
      <c r="L270" s="159"/>
      <c r="M270" s="159"/>
      <c r="N270" s="159"/>
      <c r="O270" s="159"/>
      <c r="P270" s="159"/>
      <c r="Q270" s="159"/>
      <c r="R270" s="159"/>
      <c r="S270" s="159"/>
      <c r="T270" s="159"/>
      <c r="U270" s="159"/>
      <c r="V270" s="5"/>
    </row>
    <row r="271" spans="1:22" ht="15.6" x14ac:dyDescent="0.3">
      <c r="A271" s="164"/>
      <c r="B271" s="13" t="s">
        <v>98</v>
      </c>
      <c r="C271" s="13"/>
      <c r="D271" s="13"/>
      <c r="E271" s="13"/>
      <c r="F271" s="133" t="s">
        <v>159</v>
      </c>
      <c r="G271" s="13"/>
      <c r="H271" s="13" t="s">
        <v>167</v>
      </c>
      <c r="I271" s="159"/>
      <c r="J271" s="159"/>
      <c r="K271" s="159"/>
      <c r="L271" s="159"/>
      <c r="M271" s="159"/>
      <c r="N271" s="159"/>
      <c r="O271" s="159"/>
      <c r="P271" s="159"/>
      <c r="Q271" s="159"/>
      <c r="R271" s="159"/>
      <c r="S271" s="159"/>
      <c r="T271" s="159"/>
      <c r="U271" s="159"/>
      <c r="V271" s="5"/>
    </row>
    <row r="272" spans="1:22" ht="15.6" x14ac:dyDescent="0.3">
      <c r="A272" s="164"/>
      <c r="B272" s="13" t="s">
        <v>273</v>
      </c>
      <c r="C272" s="13"/>
      <c r="D272" s="13"/>
      <c r="E272" s="13"/>
      <c r="F272" s="133" t="s">
        <v>274</v>
      </c>
      <c r="G272" s="13"/>
      <c r="H272" s="13" t="s">
        <v>275</v>
      </c>
      <c r="I272" s="159"/>
      <c r="J272" s="159"/>
      <c r="K272" s="159"/>
      <c r="L272" s="159"/>
      <c r="M272" s="159"/>
      <c r="N272" s="159"/>
      <c r="O272" s="159"/>
      <c r="P272" s="159"/>
      <c r="Q272" s="159"/>
      <c r="R272" s="159"/>
      <c r="S272" s="159"/>
      <c r="T272" s="159"/>
      <c r="U272" s="159"/>
      <c r="V272" s="5"/>
    </row>
    <row r="273" spans="1:22" ht="15.6" x14ac:dyDescent="0.3">
      <c r="A273" s="164"/>
      <c r="B273" s="13" t="s">
        <v>99</v>
      </c>
      <c r="C273" s="13"/>
      <c r="D273" s="13"/>
      <c r="E273" s="13"/>
      <c r="F273" s="133" t="s">
        <v>158</v>
      </c>
      <c r="G273" s="13"/>
      <c r="H273" s="13" t="s">
        <v>168</v>
      </c>
      <c r="I273" s="159"/>
      <c r="J273" s="159"/>
      <c r="K273" s="159"/>
      <c r="L273" s="159"/>
      <c r="M273" s="159"/>
      <c r="N273" s="159"/>
      <c r="O273" s="159"/>
      <c r="P273" s="159"/>
      <c r="Q273" s="159"/>
      <c r="R273" s="159"/>
      <c r="S273" s="159"/>
      <c r="T273" s="159"/>
      <c r="U273" s="159"/>
      <c r="V273" s="5"/>
    </row>
    <row r="274" spans="1:22" ht="15.6" x14ac:dyDescent="0.3">
      <c r="A274" s="164"/>
      <c r="B274" s="13"/>
      <c r="C274" s="13"/>
      <c r="D274" s="13"/>
      <c r="E274" s="13"/>
      <c r="F274" s="13"/>
      <c r="G274" s="100"/>
      <c r="H274" s="159"/>
      <c r="I274" s="159"/>
      <c r="J274" s="159"/>
      <c r="K274" s="159"/>
      <c r="L274" s="159"/>
      <c r="M274" s="159"/>
      <c r="N274" s="159"/>
      <c r="O274" s="159"/>
      <c r="P274" s="159"/>
      <c r="Q274" s="159"/>
      <c r="R274" s="159"/>
      <c r="S274" s="159"/>
      <c r="T274" s="159"/>
      <c r="U274" s="159"/>
      <c r="V274" s="5"/>
    </row>
    <row r="275" spans="1:22" ht="18" thickBot="1" x14ac:dyDescent="0.35">
      <c r="A275" s="164"/>
      <c r="B275" s="49" t="str">
        <f>B193</f>
        <v>PM9 INVESTOR REPORT QUARTER ENDING APRIL 2007</v>
      </c>
      <c r="C275" s="13"/>
      <c r="D275" s="13"/>
      <c r="E275" s="13"/>
      <c r="F275" s="13"/>
      <c r="G275" s="100"/>
      <c r="H275" s="159"/>
      <c r="I275" s="159"/>
      <c r="J275" s="159"/>
      <c r="K275" s="159"/>
      <c r="L275" s="159"/>
      <c r="M275" s="159"/>
      <c r="N275" s="159"/>
      <c r="O275" s="159"/>
      <c r="P275" s="159"/>
      <c r="Q275" s="159"/>
      <c r="R275" s="159"/>
      <c r="S275" s="159"/>
      <c r="T275" s="159"/>
      <c r="U275" s="159"/>
      <c r="V275" s="5"/>
    </row>
    <row r="276" spans="1:22" x14ac:dyDescent="0.25">
      <c r="A276" s="101"/>
      <c r="B276" s="101"/>
      <c r="C276" s="101"/>
      <c r="D276" s="101"/>
      <c r="E276" s="101"/>
      <c r="F276" s="101"/>
      <c r="G276" s="101"/>
      <c r="H276" s="101"/>
      <c r="I276" s="101"/>
      <c r="J276" s="101"/>
      <c r="K276" s="101"/>
      <c r="L276" s="101"/>
      <c r="M276" s="101"/>
      <c r="N276" s="101"/>
      <c r="O276" s="101"/>
      <c r="P276" s="101"/>
      <c r="Q276" s="101"/>
      <c r="R276" s="101"/>
      <c r="S276" s="101"/>
      <c r="T276" s="101"/>
      <c r="U276" s="101"/>
    </row>
  </sheetData>
  <phoneticPr fontId="0" type="noConversion"/>
  <hyperlinks>
    <hyperlink ref="J9" r:id="rId1" xr:uid="{00000000-0004-0000-0600-000000000000}"/>
    <hyperlink ref="N228" r:id="rId2" xr:uid="{00000000-0004-0000-06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3" max="14" man="1"/>
    <brk id="193" max="14"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D2926"/>
  </sheetPr>
  <dimension ref="A1:W277"/>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t="s">
        <v>263</v>
      </c>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0.63519999999999999</v>
      </c>
      <c r="R16" s="17" t="s">
        <v>149</v>
      </c>
      <c r="S16" s="140">
        <v>0.36480000000000001</v>
      </c>
      <c r="T16" s="16"/>
      <c r="U16" s="15"/>
      <c r="V16" s="5"/>
    </row>
    <row r="17" spans="1:22" ht="15.6" x14ac:dyDescent="0.3">
      <c r="A17" s="6"/>
      <c r="B17" s="14" t="s">
        <v>4</v>
      </c>
      <c r="C17" s="15"/>
      <c r="D17" s="15"/>
      <c r="E17" s="15"/>
      <c r="F17" s="15"/>
      <c r="G17" s="15"/>
      <c r="H17" s="15"/>
      <c r="I17" s="15"/>
      <c r="J17" s="15"/>
      <c r="K17" s="15"/>
      <c r="L17" s="15"/>
      <c r="M17" s="15"/>
      <c r="N17" s="15"/>
      <c r="O17" s="15"/>
      <c r="P17" s="15"/>
      <c r="Q17" s="169"/>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39311</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272211.00199999998</v>
      </c>
      <c r="E30" s="32"/>
      <c r="F30" s="125">
        <f>F29*F36</f>
        <v>279291.63500000001</v>
      </c>
      <c r="G30" s="31"/>
      <c r="H30" s="150">
        <f>H29*H36</f>
        <v>47204.22</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231361.96520000001</v>
      </c>
      <c r="E31" s="36"/>
      <c r="F31" s="126">
        <f>F35*F29</f>
        <v>237380.05100000001</v>
      </c>
      <c r="G31" s="35"/>
      <c r="H31" s="155">
        <f>H35*H29</f>
        <v>40120.565999999999</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272211.00199999998</v>
      </c>
      <c r="E33" s="32"/>
      <c r="F33" s="31">
        <f>F32*F36</f>
        <v>192357.19649999999</v>
      </c>
      <c r="G33" s="31"/>
      <c r="H33" s="31">
        <f>H32*H36</f>
        <v>26670.384300000002</v>
      </c>
      <c r="I33" s="31"/>
      <c r="J33" s="31">
        <f>J32*J36</f>
        <v>7000</v>
      </c>
      <c r="K33" s="31"/>
      <c r="L33" s="31">
        <f>L32*L36</f>
        <v>20300</v>
      </c>
      <c r="M33" s="31"/>
      <c r="N33" s="31">
        <f>N32*N36</f>
        <v>3000</v>
      </c>
      <c r="O33" s="31"/>
      <c r="P33" s="31">
        <f>P32*P36</f>
        <v>45300</v>
      </c>
      <c r="Q33" s="31"/>
      <c r="R33" s="31"/>
      <c r="S33" s="161"/>
      <c r="T33" s="31">
        <f>SUM(C33:P33)</f>
        <v>566838.58279999997</v>
      </c>
      <c r="U33" s="34"/>
      <c r="V33" s="5"/>
    </row>
    <row r="34" spans="1:22" ht="15.6" x14ac:dyDescent="0.3">
      <c r="A34" s="28"/>
      <c r="B34" s="29" t="s">
        <v>291</v>
      </c>
      <c r="C34" s="36"/>
      <c r="D34" s="35">
        <f>D35*D32</f>
        <v>231361.96520000001</v>
      </c>
      <c r="E34" s="36"/>
      <c r="F34" s="35">
        <f>F35*F32</f>
        <v>163491.3309</v>
      </c>
      <c r="G34" s="35"/>
      <c r="H34" s="35">
        <f>H35*H32</f>
        <v>22668.119790000001</v>
      </c>
      <c r="I34" s="35"/>
      <c r="J34" s="35">
        <f>J35*J32</f>
        <v>7000</v>
      </c>
      <c r="K34" s="35"/>
      <c r="L34" s="35">
        <f>L35*L32</f>
        <v>20300</v>
      </c>
      <c r="M34" s="35"/>
      <c r="N34" s="35">
        <f>N35*N32</f>
        <v>3000</v>
      </c>
      <c r="O34" s="35"/>
      <c r="P34" s="35">
        <f>P35*P32</f>
        <v>45300</v>
      </c>
      <c r="Q34" s="35"/>
      <c r="R34" s="35"/>
      <c r="S34" s="37"/>
      <c r="T34" s="35">
        <f>SUM(C34:P34)</f>
        <v>493121.41589000006</v>
      </c>
      <c r="U34" s="34"/>
      <c r="V34" s="5"/>
    </row>
    <row r="35" spans="1:22" ht="15.6" x14ac:dyDescent="0.3">
      <c r="A35" s="28"/>
      <c r="B35" s="123" t="s">
        <v>139</v>
      </c>
      <c r="C35" s="127"/>
      <c r="D35" s="167">
        <v>0.66867620000000005</v>
      </c>
      <c r="E35" s="168"/>
      <c r="F35" s="167">
        <v>0.66867620000000005</v>
      </c>
      <c r="G35" s="167"/>
      <c r="H35" s="167">
        <v>0.6686761</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38">
        <v>0.78673700000000002</v>
      </c>
      <c r="E36" s="139"/>
      <c r="F36" s="138">
        <v>0.78673700000000002</v>
      </c>
      <c r="G36" s="138"/>
      <c r="H36" s="138">
        <v>0.78673700000000002</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5.9339999999999997E-2</v>
      </c>
      <c r="E38" s="25"/>
      <c r="F38" s="38">
        <v>4.2410000000000003E-2</v>
      </c>
      <c r="G38" s="39"/>
      <c r="H38" s="38">
        <v>5.5399999999999998E-2</v>
      </c>
      <c r="I38" s="39"/>
      <c r="J38" s="38">
        <v>6.0440000000000001E-2</v>
      </c>
      <c r="K38" s="39"/>
      <c r="L38" s="38">
        <v>4.351E-2</v>
      </c>
      <c r="M38" s="39"/>
      <c r="N38" s="38">
        <v>6.2740000000000004E-2</v>
      </c>
      <c r="O38" s="39"/>
      <c r="P38" s="38">
        <v>4.5809999999999997E-2</v>
      </c>
      <c r="Q38" s="39"/>
      <c r="R38" s="38"/>
      <c r="S38" s="160"/>
      <c r="T38" s="39"/>
      <c r="U38" s="25"/>
      <c r="V38" s="5"/>
    </row>
    <row r="39" spans="1:22" ht="15.6" x14ac:dyDescent="0.3">
      <c r="A39" s="24"/>
      <c r="B39" s="25" t="s">
        <v>14</v>
      </c>
      <c r="C39" s="25"/>
      <c r="D39" s="38">
        <v>5.71563E-2</v>
      </c>
      <c r="E39" s="25"/>
      <c r="F39" s="38">
        <v>3.9940000000000003E-2</v>
      </c>
      <c r="G39" s="39"/>
      <c r="H39" s="38">
        <v>5.5399999999999998E-2</v>
      </c>
      <c r="I39" s="39"/>
      <c r="J39" s="38">
        <v>5.8256299999999997E-2</v>
      </c>
      <c r="K39" s="39"/>
      <c r="L39" s="38">
        <v>4.104E-2</v>
      </c>
      <c r="M39" s="39"/>
      <c r="N39" s="38">
        <v>6.05563E-2</v>
      </c>
      <c r="O39" s="39"/>
      <c r="P39" s="38">
        <v>4.3339999999999997E-2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5.9339999999999997E-2</v>
      </c>
      <c r="E41" s="25"/>
      <c r="F41" s="38">
        <v>5.944E-2</v>
      </c>
      <c r="G41" s="39"/>
      <c r="H41" s="38">
        <v>5.9569999999999998E-2</v>
      </c>
      <c r="I41" s="39"/>
      <c r="J41" s="38">
        <f>+J38</f>
        <v>6.0440000000000001E-2</v>
      </c>
      <c r="K41" s="39"/>
      <c r="L41" s="38">
        <v>6.0734999999999997E-2</v>
      </c>
      <c r="M41" s="39"/>
      <c r="N41" s="38">
        <f>+N38</f>
        <v>6.2740000000000004E-2</v>
      </c>
      <c r="O41" s="39"/>
      <c r="P41" s="38">
        <v>6.318E-2</v>
      </c>
      <c r="Q41" s="39"/>
      <c r="R41" s="38"/>
      <c r="S41" s="160"/>
      <c r="T41" s="39">
        <f>SUMPRODUCT(D41:P41,D33:P33)/T33</f>
        <v>5.9773175185122561E-2</v>
      </c>
      <c r="U41" s="25"/>
      <c r="V41" s="5"/>
    </row>
    <row r="42" spans="1:22" ht="15.6" x14ac:dyDescent="0.3">
      <c r="A42" s="24"/>
      <c r="B42" s="25" t="s">
        <v>294</v>
      </c>
      <c r="C42" s="25"/>
      <c r="D42" s="38">
        <f>+D39</f>
        <v>5.71563E-2</v>
      </c>
      <c r="E42" s="25"/>
      <c r="F42" s="38">
        <v>5.7256300000000003E-2</v>
      </c>
      <c r="G42" s="39"/>
      <c r="H42" s="38">
        <v>5.7386300000000001E-2</v>
      </c>
      <c r="I42" s="39"/>
      <c r="J42" s="38">
        <f>+J39</f>
        <v>5.8256299999999997E-2</v>
      </c>
      <c r="K42" s="39"/>
      <c r="L42" s="38">
        <v>5.8551300000000001E-2</v>
      </c>
      <c r="M42" s="39"/>
      <c r="N42" s="38">
        <f>+N39</f>
        <v>6.05563E-2</v>
      </c>
      <c r="O42" s="39"/>
      <c r="P42" s="38">
        <v>6.0996300000000003E-2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0.18106855630111565</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39309</v>
      </c>
      <c r="U53" s="25"/>
      <c r="V53" s="5"/>
    </row>
    <row r="54" spans="1:23" ht="15.6" x14ac:dyDescent="0.3">
      <c r="A54" s="24"/>
      <c r="B54" s="25" t="s">
        <v>130</v>
      </c>
      <c r="C54" s="25"/>
      <c r="D54" s="25"/>
      <c r="E54" s="25"/>
      <c r="F54" s="25"/>
      <c r="G54" s="25"/>
      <c r="H54" s="58"/>
      <c r="I54" s="58"/>
      <c r="J54" s="58"/>
      <c r="K54" s="58"/>
      <c r="L54" s="58"/>
      <c r="M54" s="58"/>
      <c r="N54" s="58"/>
      <c r="O54" s="58"/>
      <c r="P54" s="25">
        <f>+T54-R54+1</f>
        <v>89</v>
      </c>
      <c r="Q54" s="25"/>
      <c r="R54" s="45">
        <v>39128</v>
      </c>
      <c r="S54" s="46"/>
      <c r="T54" s="45">
        <v>39216</v>
      </c>
      <c r="U54" s="25"/>
      <c r="V54" s="5"/>
    </row>
    <row r="55" spans="1:23" ht="15.6" x14ac:dyDescent="0.3">
      <c r="A55" s="24"/>
      <c r="B55" s="25" t="s">
        <v>131</v>
      </c>
      <c r="C55" s="25"/>
      <c r="D55" s="25"/>
      <c r="E55" s="25"/>
      <c r="F55" s="25"/>
      <c r="G55" s="25"/>
      <c r="H55" s="25"/>
      <c r="I55" s="25"/>
      <c r="J55" s="25"/>
      <c r="K55" s="25"/>
      <c r="L55" s="25"/>
      <c r="M55" s="25"/>
      <c r="N55" s="25"/>
      <c r="O55" s="25"/>
      <c r="P55" s="25">
        <f>+T55-R55+1</f>
        <v>92</v>
      </c>
      <c r="Q55" s="25"/>
      <c r="R55" s="45">
        <v>39217</v>
      </c>
      <c r="S55" s="46"/>
      <c r="T55" s="45">
        <v>39308</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39295</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272</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566839</v>
      </c>
      <c r="M66" s="34"/>
      <c r="N66" s="34">
        <f>73717+2389+744</f>
        <v>76850</v>
      </c>
      <c r="O66" s="34"/>
      <c r="P66" s="34">
        <f>2389+744</f>
        <v>3133</v>
      </c>
      <c r="Q66" s="34"/>
      <c r="R66" s="34">
        <v>0</v>
      </c>
      <c r="S66" s="34"/>
      <c r="T66" s="53">
        <f>+L66-N66+P66-R66</f>
        <v>493122</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566839</v>
      </c>
      <c r="M69" s="34"/>
      <c r="N69" s="34">
        <f>SUM(N66:N68)</f>
        <v>76850</v>
      </c>
      <c r="O69" s="34"/>
      <c r="P69" s="34">
        <f>SUM(P66:P68)</f>
        <v>3133</v>
      </c>
      <c r="Q69" s="34"/>
      <c r="R69" s="34">
        <f>SUM(R66:R68)</f>
        <v>0</v>
      </c>
      <c r="S69" s="34"/>
      <c r="T69" s="54">
        <f>SUM(T66:T68)</f>
        <v>493122</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2"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2" ht="15.6" x14ac:dyDescent="0.3">
      <c r="A82" s="24"/>
      <c r="B82" s="25" t="s">
        <v>27</v>
      </c>
      <c r="C82" s="34"/>
      <c r="D82" s="34"/>
      <c r="E82" s="34"/>
      <c r="F82" s="54"/>
      <c r="G82" s="34"/>
      <c r="H82" s="54"/>
      <c r="I82" s="54"/>
      <c r="J82" s="54">
        <f>SUM(J69:J81)</f>
        <v>700000</v>
      </c>
      <c r="K82" s="34"/>
      <c r="L82" s="54">
        <f>SUM(L69:L81)</f>
        <v>566839</v>
      </c>
      <c r="M82" s="34"/>
      <c r="N82" s="34"/>
      <c r="O82" s="34"/>
      <c r="P82" s="34"/>
      <c r="Q82" s="34"/>
      <c r="R82" s="54"/>
      <c r="S82" s="34"/>
      <c r="T82" s="54">
        <f>SUM(T69:T81)</f>
        <v>493122</v>
      </c>
      <c r="U82" s="25"/>
      <c r="V82" s="5"/>
    </row>
    <row r="83" spans="1:22"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2" ht="15.6" x14ac:dyDescent="0.3">
      <c r="A84" s="6"/>
      <c r="B84" s="8"/>
      <c r="C84" s="8"/>
      <c r="D84" s="8"/>
      <c r="E84" s="8"/>
      <c r="F84" s="8"/>
      <c r="G84" s="8"/>
      <c r="H84" s="8"/>
      <c r="I84" s="8"/>
      <c r="J84" s="8"/>
      <c r="K84" s="8"/>
      <c r="L84" s="8"/>
      <c r="M84" s="8"/>
      <c r="N84" s="8"/>
      <c r="O84" s="8"/>
      <c r="P84" s="8"/>
      <c r="Q84" s="8"/>
      <c r="R84" s="8"/>
      <c r="S84" s="8"/>
      <c r="T84" s="8"/>
      <c r="U84" s="8"/>
      <c r="V84" s="5"/>
    </row>
    <row r="85" spans="1:22" ht="15.6" x14ac:dyDescent="0.3">
      <c r="A85" s="6"/>
      <c r="B85" s="51" t="s">
        <v>28</v>
      </c>
      <c r="C85" s="14"/>
      <c r="D85" s="14"/>
      <c r="E85" s="14"/>
      <c r="F85" s="14"/>
      <c r="G85" s="14"/>
      <c r="H85" s="17"/>
      <c r="I85" s="17"/>
      <c r="J85" s="158" t="s">
        <v>101</v>
      </c>
      <c r="K85" s="17"/>
      <c r="L85" s="157">
        <f>+R194</f>
        <v>39294</v>
      </c>
      <c r="M85" s="17"/>
      <c r="N85" s="17"/>
      <c r="O85" s="17"/>
      <c r="P85" s="17"/>
      <c r="Q85" s="17"/>
      <c r="R85" s="17" t="s">
        <v>114</v>
      </c>
      <c r="S85" s="17"/>
      <c r="T85" s="17" t="s">
        <v>122</v>
      </c>
      <c r="U85" s="8"/>
      <c r="V85" s="5"/>
    </row>
    <row r="86" spans="1:22"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2" ht="15.6" x14ac:dyDescent="0.3">
      <c r="A87" s="24"/>
      <c r="B87" s="25" t="s">
        <v>30</v>
      </c>
      <c r="C87" s="25"/>
      <c r="D87" s="25"/>
      <c r="E87" s="25"/>
      <c r="F87" s="25"/>
      <c r="G87" s="25"/>
      <c r="H87" s="40"/>
      <c r="I87" s="57"/>
      <c r="J87" s="40"/>
      <c r="K87" s="25"/>
      <c r="L87" s="128"/>
      <c r="M87" s="25"/>
      <c r="N87" s="25"/>
      <c r="O87" s="25"/>
      <c r="P87" s="25"/>
      <c r="Q87" s="25"/>
      <c r="R87" s="34">
        <v>76707</v>
      </c>
      <c r="S87" s="25"/>
      <c r="T87" s="53"/>
      <c r="U87" s="25"/>
      <c r="V87" s="5"/>
    </row>
    <row r="88" spans="1:22" ht="15.6" x14ac:dyDescent="0.3">
      <c r="A88" s="24"/>
      <c r="B88" s="25" t="s">
        <v>254</v>
      </c>
      <c r="C88" s="25"/>
      <c r="D88" s="25"/>
      <c r="E88" s="25"/>
      <c r="F88" s="25"/>
      <c r="G88" s="25"/>
      <c r="H88" s="40"/>
      <c r="I88" s="57"/>
      <c r="J88" s="40"/>
      <c r="K88" s="25"/>
      <c r="L88" s="128"/>
      <c r="M88" s="25"/>
      <c r="N88" s="25"/>
      <c r="O88" s="25"/>
      <c r="P88" s="25"/>
      <c r="Q88" s="25"/>
      <c r="R88" s="34"/>
      <c r="S88" s="25"/>
      <c r="T88" s="53">
        <f>6018+3970+1-833-815</f>
        <v>8341</v>
      </c>
      <c r="U88" s="25"/>
      <c r="V88" s="5"/>
    </row>
    <row r="89" spans="1:22" ht="15.6" x14ac:dyDescent="0.3">
      <c r="A89" s="24"/>
      <c r="B89" s="25" t="s">
        <v>255</v>
      </c>
      <c r="C89" s="25"/>
      <c r="D89" s="25"/>
      <c r="E89" s="25"/>
      <c r="F89" s="25"/>
      <c r="G89" s="25"/>
      <c r="H89" s="40"/>
      <c r="I89" s="57"/>
      <c r="J89" s="40"/>
      <c r="K89" s="25"/>
      <c r="L89" s="128"/>
      <c r="M89" s="25"/>
      <c r="N89" s="25"/>
      <c r="O89" s="25"/>
      <c r="P89" s="25"/>
      <c r="Q89" s="25"/>
      <c r="R89" s="34"/>
      <c r="S89" s="25"/>
      <c r="T89" s="53">
        <f>225+808</f>
        <v>1033</v>
      </c>
      <c r="U89" s="25"/>
      <c r="V89" s="5"/>
    </row>
    <row r="90" spans="1:22" ht="15.6" x14ac:dyDescent="0.3">
      <c r="A90" s="24"/>
      <c r="B90" s="25" t="s">
        <v>256</v>
      </c>
      <c r="C90" s="25"/>
      <c r="D90" s="25"/>
      <c r="E90" s="25"/>
      <c r="F90" s="25"/>
      <c r="G90" s="25"/>
      <c r="H90" s="40"/>
      <c r="I90" s="57"/>
      <c r="J90" s="40"/>
      <c r="K90" s="25"/>
      <c r="L90" s="128"/>
      <c r="M90" s="25"/>
      <c r="N90" s="25"/>
      <c r="O90" s="25"/>
      <c r="P90" s="25"/>
      <c r="Q90" s="25"/>
      <c r="R90" s="34"/>
      <c r="S90" s="25"/>
      <c r="T90" s="53">
        <v>777</v>
      </c>
      <c r="U90" s="25"/>
      <c r="V90" s="5"/>
    </row>
    <row r="91" spans="1:22" ht="15.6" x14ac:dyDescent="0.3">
      <c r="A91" s="24"/>
      <c r="B91" s="25" t="s">
        <v>270</v>
      </c>
      <c r="C91" s="25"/>
      <c r="D91" s="25"/>
      <c r="E91" s="25"/>
      <c r="F91" s="25"/>
      <c r="G91" s="25"/>
      <c r="H91" s="40"/>
      <c r="I91" s="57"/>
      <c r="J91" s="40"/>
      <c r="K91" s="25"/>
      <c r="L91" s="128"/>
      <c r="M91" s="25"/>
      <c r="N91" s="25"/>
      <c r="O91" s="25"/>
      <c r="P91" s="25"/>
      <c r="Q91" s="25"/>
      <c r="R91" s="34"/>
      <c r="S91" s="25"/>
      <c r="T91" s="53">
        <v>366</v>
      </c>
      <c r="U91" s="25"/>
      <c r="V91" s="5"/>
    </row>
    <row r="92" spans="1:22" ht="15.6" x14ac:dyDescent="0.3">
      <c r="A92" s="24"/>
      <c r="B92" s="25" t="s">
        <v>144</v>
      </c>
      <c r="C92" s="25"/>
      <c r="D92" s="25"/>
      <c r="E92" s="25"/>
      <c r="F92" s="25"/>
      <c r="G92" s="25"/>
      <c r="H92" s="25"/>
      <c r="I92" s="25"/>
      <c r="J92" s="25"/>
      <c r="K92" s="25"/>
      <c r="L92" s="25"/>
      <c r="M92" s="25"/>
      <c r="N92" s="25"/>
      <c r="O92" s="25"/>
      <c r="P92" s="25"/>
      <c r="Q92" s="25"/>
      <c r="R92" s="34"/>
      <c r="S92" s="25"/>
      <c r="T92" s="53">
        <v>0</v>
      </c>
      <c r="U92" s="25"/>
      <c r="V92" s="5"/>
    </row>
    <row r="93" spans="1:22" ht="15.6" x14ac:dyDescent="0.3">
      <c r="A93" s="24"/>
      <c r="B93" s="25" t="s">
        <v>233</v>
      </c>
      <c r="C93" s="25"/>
      <c r="D93" s="25"/>
      <c r="E93" s="25"/>
      <c r="F93" s="25"/>
      <c r="G93" s="25"/>
      <c r="H93" s="25"/>
      <c r="I93" s="25"/>
      <c r="J93" s="25"/>
      <c r="K93" s="25"/>
      <c r="L93" s="25"/>
      <c r="M93" s="25"/>
      <c r="N93" s="25"/>
      <c r="O93" s="25"/>
      <c r="P93" s="25"/>
      <c r="Q93" s="25"/>
      <c r="R93" s="34"/>
      <c r="S93" s="25"/>
      <c r="T93" s="53">
        <v>258</v>
      </c>
      <c r="U93" s="25"/>
      <c r="V93" s="5"/>
    </row>
    <row r="94" spans="1:22" ht="15.6" x14ac:dyDescent="0.3">
      <c r="A94" s="24"/>
      <c r="B94" s="25" t="s">
        <v>32</v>
      </c>
      <c r="C94" s="25"/>
      <c r="D94" s="25"/>
      <c r="E94" s="25"/>
      <c r="F94" s="25"/>
      <c r="G94" s="25"/>
      <c r="H94" s="25"/>
      <c r="I94" s="25"/>
      <c r="J94" s="25"/>
      <c r="K94" s="25"/>
      <c r="L94" s="25"/>
      <c r="M94" s="25"/>
      <c r="N94" s="25"/>
      <c r="O94" s="25"/>
      <c r="P94" s="25"/>
      <c r="Q94" s="25"/>
      <c r="R94" s="34">
        <f>SUM(R86:R93)</f>
        <v>76707</v>
      </c>
      <c r="S94" s="25"/>
      <c r="T94" s="54">
        <f>SUM(T86:T93)</f>
        <v>10775</v>
      </c>
      <c r="U94" s="25"/>
      <c r="V94" s="5"/>
    </row>
    <row r="95" spans="1:22" ht="15.6" x14ac:dyDescent="0.3">
      <c r="A95" s="24"/>
      <c r="B95" s="25" t="s">
        <v>176</v>
      </c>
      <c r="C95" s="25"/>
      <c r="D95" s="25"/>
      <c r="E95" s="25"/>
      <c r="F95" s="25"/>
      <c r="G95" s="25"/>
      <c r="H95" s="25"/>
      <c r="I95" s="25"/>
      <c r="J95" s="25"/>
      <c r="K95" s="25"/>
      <c r="L95" s="25"/>
      <c r="M95" s="25"/>
      <c r="N95" s="25"/>
      <c r="O95" s="25"/>
      <c r="P95" s="25"/>
      <c r="Q95" s="25"/>
      <c r="R95" s="34">
        <v>-152</v>
      </c>
      <c r="S95" s="25"/>
      <c r="T95" s="54">
        <f>-R95</f>
        <v>152</v>
      </c>
      <c r="U95" s="25"/>
      <c r="V95" s="5"/>
    </row>
    <row r="96" spans="1:22" ht="15.6" x14ac:dyDescent="0.3">
      <c r="A96" s="24"/>
      <c r="B96" s="25" t="s">
        <v>33</v>
      </c>
      <c r="C96" s="25"/>
      <c r="D96" s="25"/>
      <c r="E96" s="25"/>
      <c r="F96" s="25"/>
      <c r="G96" s="25"/>
      <c r="H96" s="25"/>
      <c r="I96" s="25"/>
      <c r="J96" s="25"/>
      <c r="K96" s="25"/>
      <c r="L96" s="25"/>
      <c r="M96" s="25"/>
      <c r="N96" s="25"/>
      <c r="O96" s="25"/>
      <c r="P96" s="25"/>
      <c r="Q96" s="25"/>
      <c r="R96" s="34">
        <f>-T96</f>
        <v>0</v>
      </c>
      <c r="S96" s="25"/>
      <c r="T96" s="53">
        <v>0</v>
      </c>
      <c r="U96" s="25"/>
      <c r="V96" s="5"/>
    </row>
    <row r="97" spans="1:23" ht="15.6" x14ac:dyDescent="0.3">
      <c r="A97" s="24"/>
      <c r="B97" s="25" t="s">
        <v>34</v>
      </c>
      <c r="C97" s="25"/>
      <c r="D97" s="25"/>
      <c r="E97" s="25"/>
      <c r="F97" s="25"/>
      <c r="G97" s="25"/>
      <c r="H97" s="25"/>
      <c r="I97" s="25"/>
      <c r="J97" s="25"/>
      <c r="K97" s="25"/>
      <c r="L97" s="25"/>
      <c r="M97" s="25"/>
      <c r="N97" s="25"/>
      <c r="O97" s="25"/>
      <c r="P97" s="25"/>
      <c r="Q97" s="25"/>
      <c r="R97" s="34">
        <f>R94+R96+R95</f>
        <v>76555</v>
      </c>
      <c r="S97" s="25"/>
      <c r="T97" s="54">
        <f>T94+T96+T95</f>
        <v>10927</v>
      </c>
      <c r="U97" s="25"/>
      <c r="V97" s="5"/>
      <c r="W97" s="166"/>
    </row>
    <row r="98" spans="1:23" ht="15.6" x14ac:dyDescent="0.3">
      <c r="A98" s="24"/>
      <c r="B98" s="119" t="s">
        <v>35</v>
      </c>
      <c r="C98" s="25"/>
      <c r="D98" s="25"/>
      <c r="E98" s="25"/>
      <c r="F98" s="25"/>
      <c r="G98" s="25"/>
      <c r="H98" s="25"/>
      <c r="I98" s="25"/>
      <c r="J98" s="25"/>
      <c r="K98" s="25"/>
      <c r="L98" s="25"/>
      <c r="M98" s="25"/>
      <c r="N98" s="25"/>
      <c r="O98" s="25"/>
      <c r="P98" s="25"/>
      <c r="Q98" s="25"/>
      <c r="R98" s="34"/>
      <c r="S98" s="25"/>
      <c r="T98" s="53"/>
      <c r="U98" s="25"/>
      <c r="V98" s="5"/>
    </row>
    <row r="99" spans="1:23" ht="15.6" x14ac:dyDescent="0.3">
      <c r="A99" s="24">
        <v>1</v>
      </c>
      <c r="B99" s="25" t="s">
        <v>36</v>
      </c>
      <c r="C99" s="25"/>
      <c r="D99" s="25"/>
      <c r="E99" s="25"/>
      <c r="F99" s="25"/>
      <c r="G99" s="25"/>
      <c r="H99" s="25"/>
      <c r="I99" s="25"/>
      <c r="J99" s="25"/>
      <c r="K99" s="25"/>
      <c r="L99" s="25"/>
      <c r="M99" s="25"/>
      <c r="N99" s="25"/>
      <c r="O99" s="25"/>
      <c r="P99" s="25"/>
      <c r="Q99" s="25"/>
      <c r="R99" s="25"/>
      <c r="S99" s="25"/>
      <c r="T99" s="53">
        <v>0</v>
      </c>
      <c r="U99" s="25"/>
      <c r="V99" s="5"/>
    </row>
    <row r="100" spans="1:23" ht="15.6" x14ac:dyDescent="0.3">
      <c r="A100" s="24">
        <f>+A99+1</f>
        <v>2</v>
      </c>
      <c r="B100" s="25" t="s">
        <v>37</v>
      </c>
      <c r="C100" s="25"/>
      <c r="D100" s="25"/>
      <c r="E100" s="25"/>
      <c r="F100" s="25"/>
      <c r="G100" s="25"/>
      <c r="H100" s="25"/>
      <c r="I100" s="25"/>
      <c r="J100" s="25"/>
      <c r="K100" s="25"/>
      <c r="L100" s="25"/>
      <c r="M100" s="25"/>
      <c r="N100" s="25"/>
      <c r="O100" s="25"/>
      <c r="P100" s="25"/>
      <c r="Q100" s="25"/>
      <c r="R100" s="25"/>
      <c r="S100" s="25"/>
      <c r="T100" s="53">
        <v>-2</v>
      </c>
      <c r="U100" s="25"/>
      <c r="V100" s="5"/>
    </row>
    <row r="101" spans="1:23" ht="15.6" x14ac:dyDescent="0.3">
      <c r="A101" s="24">
        <f>+A100+1</f>
        <v>3</v>
      </c>
      <c r="B101" s="25" t="s">
        <v>160</v>
      </c>
      <c r="C101" s="25"/>
      <c r="D101" s="25"/>
      <c r="E101" s="25"/>
      <c r="F101" s="25"/>
      <c r="G101" s="25"/>
      <c r="H101" s="25"/>
      <c r="I101" s="25"/>
      <c r="J101" s="25"/>
      <c r="K101" s="25"/>
      <c r="L101" s="25"/>
      <c r="M101" s="25"/>
      <c r="N101" s="25"/>
      <c r="O101" s="25"/>
      <c r="P101" s="25"/>
      <c r="Q101" s="25"/>
      <c r="R101" s="25"/>
      <c r="S101" s="25"/>
      <c r="T101" s="53">
        <f>-215-28-7</f>
        <v>-250</v>
      </c>
      <c r="U101" s="25"/>
      <c r="V101" s="5"/>
    </row>
    <row r="102" spans="1:23" ht="15.6" x14ac:dyDescent="0.3">
      <c r="A102" s="24" t="s">
        <v>136</v>
      </c>
      <c r="B102" s="25" t="s">
        <v>125</v>
      </c>
      <c r="C102" s="25"/>
      <c r="D102" s="25"/>
      <c r="E102" s="25"/>
      <c r="F102" s="25"/>
      <c r="G102" s="25"/>
      <c r="H102" s="25"/>
      <c r="I102" s="25"/>
      <c r="J102" s="25"/>
      <c r="K102" s="25"/>
      <c r="L102" s="25"/>
      <c r="M102" s="25"/>
      <c r="N102" s="25"/>
      <c r="O102" s="25"/>
      <c r="P102" s="25"/>
      <c r="Q102" s="25"/>
      <c r="R102" s="25"/>
      <c r="S102" s="25"/>
      <c r="T102" s="53">
        <v>0</v>
      </c>
      <c r="U102" s="25"/>
      <c r="V102" s="5"/>
    </row>
    <row r="103" spans="1:23" ht="15.6" x14ac:dyDescent="0.3">
      <c r="A103" s="24" t="s">
        <v>137</v>
      </c>
      <c r="B103" s="25" t="s">
        <v>267</v>
      </c>
      <c r="C103" s="25"/>
      <c r="D103" s="25"/>
      <c r="E103" s="25"/>
      <c r="F103" s="25"/>
      <c r="G103" s="25"/>
      <c r="H103" s="25"/>
      <c r="I103" s="25"/>
      <c r="J103" s="25"/>
      <c r="K103" s="25"/>
      <c r="L103" s="25"/>
      <c r="M103" s="25"/>
      <c r="N103" s="25"/>
      <c r="O103" s="25"/>
      <c r="P103" s="25"/>
      <c r="Q103" s="25"/>
      <c r="R103" s="25"/>
      <c r="S103" s="25"/>
      <c r="T103" s="53">
        <v>-2</v>
      </c>
      <c r="U103" s="25"/>
      <c r="V103" s="5"/>
    </row>
    <row r="104" spans="1:23" ht="15.6" x14ac:dyDescent="0.3">
      <c r="A104" s="24" t="s">
        <v>162</v>
      </c>
      <c r="B104" s="25" t="s">
        <v>218</v>
      </c>
      <c r="C104" s="25"/>
      <c r="D104" s="25"/>
      <c r="E104" s="25"/>
      <c r="F104" s="25"/>
      <c r="G104" s="25"/>
      <c r="H104" s="25"/>
      <c r="I104" s="25"/>
      <c r="J104" s="25"/>
      <c r="K104" s="25"/>
      <c r="L104" s="25"/>
      <c r="M104" s="25"/>
      <c r="N104" s="25"/>
      <c r="O104" s="25"/>
      <c r="P104" s="25"/>
      <c r="Q104" s="25"/>
      <c r="R104" s="25"/>
      <c r="S104" s="25"/>
      <c r="T104" s="53">
        <v>-4071</v>
      </c>
      <c r="U104" s="25"/>
      <c r="V104" s="5"/>
      <c r="W104" s="110"/>
    </row>
    <row r="105" spans="1:23" ht="15.6" x14ac:dyDescent="0.3">
      <c r="A105" s="24" t="s">
        <v>163</v>
      </c>
      <c r="B105" s="25" t="s">
        <v>219</v>
      </c>
      <c r="C105" s="25"/>
      <c r="D105" s="25"/>
      <c r="E105" s="25"/>
      <c r="F105" s="25"/>
      <c r="G105" s="25"/>
      <c r="H105" s="25"/>
      <c r="I105" s="25"/>
      <c r="J105" s="25"/>
      <c r="K105" s="25"/>
      <c r="L105" s="25"/>
      <c r="M105" s="25"/>
      <c r="N105" s="25"/>
      <c r="O105" s="25"/>
      <c r="P105" s="25"/>
      <c r="Q105" s="25"/>
      <c r="R105" s="25"/>
      <c r="S105" s="25"/>
      <c r="T105" s="53">
        <v>-2882</v>
      </c>
      <c r="U105" s="25"/>
      <c r="V105" s="5"/>
      <c r="W105" s="110"/>
    </row>
    <row r="106" spans="1:23" ht="15.6" x14ac:dyDescent="0.3">
      <c r="A106" s="24" t="s">
        <v>252</v>
      </c>
      <c r="B106" s="25" t="s">
        <v>242</v>
      </c>
      <c r="C106" s="25"/>
      <c r="D106" s="25"/>
      <c r="E106" s="25"/>
      <c r="F106" s="25"/>
      <c r="G106" s="25"/>
      <c r="H106" s="25"/>
      <c r="I106" s="25"/>
      <c r="J106" s="25"/>
      <c r="K106" s="25"/>
      <c r="L106" s="25"/>
      <c r="M106" s="25"/>
      <c r="N106" s="25"/>
      <c r="O106" s="25"/>
      <c r="P106" s="25"/>
      <c r="Q106" s="25"/>
      <c r="R106" s="25"/>
      <c r="S106" s="25"/>
      <c r="T106" s="53">
        <v>-400</v>
      </c>
      <c r="U106" s="25"/>
      <c r="V106" s="5"/>
      <c r="W106" s="110"/>
    </row>
    <row r="107" spans="1:23" ht="15.6" x14ac:dyDescent="0.3">
      <c r="A107" s="24" t="s">
        <v>245</v>
      </c>
      <c r="B107" s="25" t="s">
        <v>220</v>
      </c>
      <c r="C107" s="25"/>
      <c r="D107" s="25"/>
      <c r="E107" s="25"/>
      <c r="F107" s="25"/>
      <c r="G107" s="25"/>
      <c r="H107" s="25"/>
      <c r="I107" s="25"/>
      <c r="J107" s="25"/>
      <c r="K107" s="25"/>
      <c r="L107" s="25"/>
      <c r="M107" s="25"/>
      <c r="N107" s="25"/>
      <c r="O107" s="25"/>
      <c r="P107" s="25"/>
      <c r="Q107" s="25"/>
      <c r="R107" s="25"/>
      <c r="S107" s="25"/>
      <c r="T107" s="53">
        <v>-106</v>
      </c>
      <c r="U107" s="25"/>
      <c r="V107" s="5"/>
      <c r="W107" s="110"/>
    </row>
    <row r="108" spans="1:23" ht="15.6" x14ac:dyDescent="0.3">
      <c r="A108" s="24" t="s">
        <v>246</v>
      </c>
      <c r="B108" s="25" t="s">
        <v>221</v>
      </c>
      <c r="C108" s="25"/>
      <c r="D108" s="25"/>
      <c r="E108" s="25"/>
      <c r="F108" s="25"/>
      <c r="G108" s="25"/>
      <c r="H108" s="25"/>
      <c r="I108" s="25"/>
      <c r="J108" s="25"/>
      <c r="K108" s="25"/>
      <c r="L108" s="25"/>
      <c r="M108" s="25"/>
      <c r="N108" s="25"/>
      <c r="O108" s="25"/>
      <c r="P108" s="25"/>
      <c r="Q108" s="25"/>
      <c r="R108" s="25"/>
      <c r="S108" s="25"/>
      <c r="T108" s="53">
        <v>-311</v>
      </c>
      <c r="U108" s="25"/>
      <c r="V108" s="5"/>
      <c r="W108" s="110"/>
    </row>
    <row r="109" spans="1:23" ht="15.6" x14ac:dyDescent="0.3">
      <c r="A109" s="24" t="s">
        <v>247</v>
      </c>
      <c r="B109" s="25" t="s">
        <v>222</v>
      </c>
      <c r="C109" s="25"/>
      <c r="D109" s="25"/>
      <c r="E109" s="25"/>
      <c r="F109" s="25"/>
      <c r="G109" s="25"/>
      <c r="H109" s="25"/>
      <c r="I109" s="25"/>
      <c r="J109" s="25"/>
      <c r="K109" s="25"/>
      <c r="L109" s="25"/>
      <c r="M109" s="25"/>
      <c r="N109" s="25"/>
      <c r="O109" s="25"/>
      <c r="P109" s="25"/>
      <c r="Q109" s="25"/>
      <c r="R109" s="25"/>
      <c r="S109" s="25"/>
      <c r="T109" s="53">
        <v>-48</v>
      </c>
      <c r="U109" s="25"/>
      <c r="V109" s="5"/>
      <c r="W109" s="110"/>
    </row>
    <row r="110" spans="1:23" ht="15.6" x14ac:dyDescent="0.3">
      <c r="A110" s="24" t="s">
        <v>248</v>
      </c>
      <c r="B110" s="25" t="s">
        <v>223</v>
      </c>
      <c r="C110" s="25"/>
      <c r="D110" s="25"/>
      <c r="E110" s="25"/>
      <c r="F110" s="25"/>
      <c r="G110" s="25"/>
      <c r="H110" s="25"/>
      <c r="I110" s="25"/>
      <c r="J110" s="25"/>
      <c r="K110" s="25"/>
      <c r="L110" s="25"/>
      <c r="M110" s="25"/>
      <c r="N110" s="25"/>
      <c r="O110" s="25"/>
      <c r="P110" s="25"/>
      <c r="Q110" s="25"/>
      <c r="R110" s="25"/>
      <c r="S110" s="25"/>
      <c r="T110" s="53">
        <v>-721</v>
      </c>
      <c r="U110" s="25"/>
      <c r="V110" s="5"/>
      <c r="W110" s="110"/>
    </row>
    <row r="111" spans="1:23" ht="15.6" x14ac:dyDescent="0.3">
      <c r="A111" s="24">
        <v>7</v>
      </c>
      <c r="B111" s="25" t="s">
        <v>38</v>
      </c>
      <c r="C111" s="25"/>
      <c r="D111" s="25"/>
      <c r="E111" s="25"/>
      <c r="F111" s="25"/>
      <c r="G111" s="25"/>
      <c r="H111" s="25"/>
      <c r="I111" s="25"/>
      <c r="J111" s="25"/>
      <c r="K111" s="25"/>
      <c r="L111" s="25"/>
      <c r="M111" s="25"/>
      <c r="N111" s="25"/>
      <c r="O111" s="25"/>
      <c r="P111" s="25"/>
      <c r="Q111" s="25"/>
      <c r="R111" s="25"/>
      <c r="S111" s="25"/>
      <c r="T111" s="53">
        <v>-8</v>
      </c>
      <c r="U111" s="25"/>
      <c r="V111" s="5"/>
    </row>
    <row r="112" spans="1:23" ht="15.6" x14ac:dyDescent="0.3">
      <c r="A112" s="24">
        <f t="shared" ref="A112:A117" si="0">+A111+1</f>
        <v>8</v>
      </c>
      <c r="B112" s="25" t="s">
        <v>49</v>
      </c>
      <c r="C112" s="25"/>
      <c r="D112" s="25"/>
      <c r="E112" s="25"/>
      <c r="F112" s="25"/>
      <c r="G112" s="25"/>
      <c r="H112" s="25"/>
      <c r="I112" s="25"/>
      <c r="J112" s="25"/>
      <c r="K112" s="25"/>
      <c r="L112" s="25"/>
      <c r="M112" s="25"/>
      <c r="N112" s="25"/>
      <c r="O112" s="25"/>
      <c r="P112" s="25"/>
      <c r="Q112" s="25"/>
      <c r="R112" s="34">
        <f>-T112</f>
        <v>143</v>
      </c>
      <c r="S112" s="25"/>
      <c r="T112" s="53">
        <v>-143</v>
      </c>
      <c r="U112" s="25"/>
      <c r="V112" s="5"/>
    </row>
    <row r="113" spans="1:22" ht="15.6" x14ac:dyDescent="0.3">
      <c r="A113" s="24">
        <f t="shared" si="0"/>
        <v>9</v>
      </c>
      <c r="B113" s="25" t="s">
        <v>134</v>
      </c>
      <c r="C113" s="25"/>
      <c r="D113" s="25"/>
      <c r="E113" s="25"/>
      <c r="F113" s="25"/>
      <c r="G113" s="25"/>
      <c r="H113" s="25"/>
      <c r="I113" s="25"/>
      <c r="J113" s="25"/>
      <c r="K113" s="25"/>
      <c r="L113" s="25"/>
      <c r="M113" s="25"/>
      <c r="N113" s="25"/>
      <c r="O113" s="25"/>
      <c r="P113" s="25"/>
      <c r="Q113" s="25"/>
      <c r="R113" s="25"/>
      <c r="S113" s="25"/>
      <c r="T113" s="53">
        <v>0</v>
      </c>
      <c r="U113" s="25"/>
      <c r="V113" s="5"/>
    </row>
    <row r="114" spans="1:22" ht="15.6" x14ac:dyDescent="0.3">
      <c r="A114" s="24">
        <f t="shared" si="0"/>
        <v>10</v>
      </c>
      <c r="B114" s="25" t="s">
        <v>39</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11</v>
      </c>
      <c r="B115" s="25" t="s">
        <v>40</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12</v>
      </c>
      <c r="B116" s="25" t="s">
        <v>161</v>
      </c>
      <c r="C116" s="25"/>
      <c r="D116" s="25"/>
      <c r="E116" s="25"/>
      <c r="F116" s="25"/>
      <c r="G116" s="25"/>
      <c r="H116" s="25"/>
      <c r="I116" s="25"/>
      <c r="J116" s="25"/>
      <c r="K116" s="25"/>
      <c r="L116" s="25"/>
      <c r="M116" s="25"/>
      <c r="N116" s="25"/>
      <c r="O116" s="25"/>
      <c r="P116" s="25"/>
      <c r="Q116" s="25"/>
      <c r="R116" s="25"/>
      <c r="S116" s="25"/>
      <c r="T116" s="53">
        <v>-215</v>
      </c>
      <c r="U116" s="25"/>
      <c r="V116" s="5"/>
    </row>
    <row r="117" spans="1:22" ht="15.6" x14ac:dyDescent="0.3">
      <c r="A117" s="24">
        <f t="shared" si="0"/>
        <v>13</v>
      </c>
      <c r="B117" s="25" t="s">
        <v>135</v>
      </c>
      <c r="C117" s="25"/>
      <c r="D117" s="25"/>
      <c r="E117" s="25"/>
      <c r="F117" s="25"/>
      <c r="G117" s="25"/>
      <c r="H117" s="25"/>
      <c r="I117" s="25"/>
      <c r="J117" s="25"/>
      <c r="K117" s="25"/>
      <c r="L117" s="25"/>
      <c r="M117" s="25"/>
      <c r="N117" s="25"/>
      <c r="O117" s="25"/>
      <c r="P117" s="25"/>
      <c r="Q117" s="25"/>
      <c r="R117" s="25"/>
      <c r="S117" s="25"/>
      <c r="T117" s="53">
        <f>-T97-SUM(T99:T116)</f>
        <v>-1768</v>
      </c>
      <c r="U117" s="25"/>
      <c r="V117" s="5"/>
    </row>
    <row r="118" spans="1:22" ht="15.6" x14ac:dyDescent="0.3">
      <c r="A118" s="24"/>
      <c r="B118" s="119" t="s">
        <v>41</v>
      </c>
      <c r="C118" s="25"/>
      <c r="D118" s="25"/>
      <c r="E118" s="25"/>
      <c r="F118" s="25"/>
      <c r="G118" s="25"/>
      <c r="H118" s="25"/>
      <c r="I118" s="25"/>
      <c r="J118" s="25"/>
      <c r="K118" s="25"/>
      <c r="L118" s="25"/>
      <c r="M118" s="25"/>
      <c r="N118" s="25"/>
      <c r="O118" s="25"/>
      <c r="P118" s="25"/>
      <c r="Q118" s="25"/>
      <c r="R118" s="25"/>
      <c r="S118" s="25"/>
      <c r="T118" s="59"/>
      <c r="U118" s="25"/>
      <c r="V118" s="5"/>
    </row>
    <row r="119" spans="1:22" ht="15.6" x14ac:dyDescent="0.3">
      <c r="A119" s="24"/>
      <c r="B119" s="25" t="s">
        <v>229</v>
      </c>
      <c r="C119" s="25"/>
      <c r="D119" s="25"/>
      <c r="E119" s="25"/>
      <c r="F119" s="25"/>
      <c r="G119" s="25"/>
      <c r="H119" s="25"/>
      <c r="I119" s="25"/>
      <c r="J119" s="25"/>
      <c r="K119" s="25"/>
      <c r="L119" s="25"/>
      <c r="M119" s="25"/>
      <c r="N119" s="25"/>
      <c r="O119" s="25"/>
      <c r="P119" s="25"/>
      <c r="Q119" s="25"/>
      <c r="R119" s="34">
        <f>-R178</f>
        <v>-220</v>
      </c>
      <c r="S119" s="34"/>
      <c r="T119" s="53"/>
      <c r="U119" s="25"/>
      <c r="V119" s="5"/>
    </row>
    <row r="120" spans="1:22" ht="15.6" x14ac:dyDescent="0.3">
      <c r="A120" s="24"/>
      <c r="B120" s="25" t="s">
        <v>230</v>
      </c>
      <c r="C120" s="25"/>
      <c r="D120" s="25"/>
      <c r="E120" s="25"/>
      <c r="F120" s="25"/>
      <c r="G120" s="25"/>
      <c r="H120" s="25"/>
      <c r="I120" s="25"/>
      <c r="J120" s="25"/>
      <c r="K120" s="25"/>
      <c r="L120" s="25"/>
      <c r="M120" s="25"/>
      <c r="N120" s="25"/>
      <c r="O120" s="25"/>
      <c r="P120" s="25"/>
      <c r="Q120" s="25"/>
      <c r="R120" s="34">
        <v>-57</v>
      </c>
      <c r="S120" s="34"/>
      <c r="T120" s="53"/>
      <c r="U120" s="25"/>
      <c r="V120" s="5"/>
    </row>
    <row r="121" spans="1:22" ht="15.6" x14ac:dyDescent="0.3">
      <c r="A121" s="24"/>
      <c r="B121" s="25" t="s">
        <v>42</v>
      </c>
      <c r="C121" s="25"/>
      <c r="D121" s="25"/>
      <c r="E121" s="25"/>
      <c r="F121" s="25"/>
      <c r="G121" s="25"/>
      <c r="H121" s="25"/>
      <c r="I121" s="25"/>
      <c r="J121" s="25"/>
      <c r="K121" s="25"/>
      <c r="L121" s="25"/>
      <c r="M121" s="25"/>
      <c r="N121" s="25"/>
      <c r="O121" s="25"/>
      <c r="P121" s="25"/>
      <c r="Q121" s="25"/>
      <c r="R121" s="34">
        <f>-Q178</f>
        <v>-2704</v>
      </c>
      <c r="S121" s="34"/>
      <c r="T121" s="53"/>
      <c r="U121" s="25"/>
      <c r="V121" s="5"/>
    </row>
    <row r="122" spans="1:22" ht="15.6" x14ac:dyDescent="0.3">
      <c r="A122" s="24"/>
      <c r="B122" s="25" t="s">
        <v>235</v>
      </c>
      <c r="C122" s="25"/>
      <c r="D122" s="25"/>
      <c r="E122" s="25"/>
      <c r="F122" s="25"/>
      <c r="G122" s="25"/>
      <c r="H122" s="25"/>
      <c r="I122" s="25"/>
      <c r="J122" s="25"/>
      <c r="K122" s="25"/>
      <c r="L122" s="25"/>
      <c r="M122" s="25"/>
      <c r="N122" s="25"/>
      <c r="O122" s="25"/>
      <c r="P122" s="25"/>
      <c r="Q122" s="25"/>
      <c r="R122" s="34">
        <v>-40849</v>
      </c>
      <c r="S122" s="34"/>
      <c r="T122" s="53"/>
      <c r="U122" s="25"/>
      <c r="V122" s="5"/>
    </row>
    <row r="123" spans="1:22" ht="15.6" x14ac:dyDescent="0.3">
      <c r="A123" s="24"/>
      <c r="B123" s="25" t="s">
        <v>236</v>
      </c>
      <c r="C123" s="25"/>
      <c r="D123" s="25"/>
      <c r="E123" s="25"/>
      <c r="F123" s="25"/>
      <c r="G123" s="25"/>
      <c r="H123" s="25"/>
      <c r="I123" s="25"/>
      <c r="J123" s="25"/>
      <c r="K123" s="25"/>
      <c r="L123" s="25"/>
      <c r="M123" s="25"/>
      <c r="N123" s="25"/>
      <c r="O123" s="25"/>
      <c r="P123" s="25"/>
      <c r="Q123" s="25"/>
      <c r="R123" s="34">
        <v>-28866</v>
      </c>
      <c r="S123" s="34"/>
      <c r="T123" s="53"/>
      <c r="U123" s="25"/>
      <c r="V123" s="5"/>
    </row>
    <row r="124" spans="1:22" ht="15.6" x14ac:dyDescent="0.3">
      <c r="A124" s="24"/>
      <c r="B124" s="25" t="s">
        <v>241</v>
      </c>
      <c r="C124" s="25"/>
      <c r="D124" s="25"/>
      <c r="E124" s="25"/>
      <c r="F124" s="25"/>
      <c r="G124" s="25"/>
      <c r="H124" s="25"/>
      <c r="I124" s="25"/>
      <c r="J124" s="25"/>
      <c r="K124" s="25"/>
      <c r="L124" s="25"/>
      <c r="M124" s="25"/>
      <c r="N124" s="25"/>
      <c r="O124" s="25"/>
      <c r="P124" s="25"/>
      <c r="Q124" s="25"/>
      <c r="R124" s="34">
        <v>-4002</v>
      </c>
      <c r="S124" s="34"/>
      <c r="T124" s="53"/>
      <c r="U124" s="25"/>
      <c r="V124" s="5"/>
    </row>
    <row r="125" spans="1:22" ht="15.6" x14ac:dyDescent="0.3">
      <c r="A125" s="24"/>
      <c r="B125" s="25" t="s">
        <v>237</v>
      </c>
      <c r="C125" s="25"/>
      <c r="D125" s="25"/>
      <c r="E125" s="25"/>
      <c r="F125" s="25"/>
      <c r="G125" s="25"/>
      <c r="H125" s="25"/>
      <c r="I125" s="25"/>
      <c r="J125" s="25"/>
      <c r="K125" s="25"/>
      <c r="L125" s="25"/>
      <c r="M125" s="25"/>
      <c r="N125" s="25"/>
      <c r="O125" s="25"/>
      <c r="P125" s="25"/>
      <c r="Q125" s="25"/>
      <c r="R125" s="34">
        <v>0</v>
      </c>
      <c r="S125" s="34"/>
      <c r="T125" s="53"/>
      <c r="U125" s="25"/>
      <c r="V125" s="5"/>
    </row>
    <row r="126" spans="1:22" ht="15.6" x14ac:dyDescent="0.3">
      <c r="A126" s="24"/>
      <c r="B126" s="25" t="s">
        <v>238</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239</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240</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43</v>
      </c>
      <c r="C129" s="25"/>
      <c r="D129" s="25"/>
      <c r="E129" s="25"/>
      <c r="F129" s="25"/>
      <c r="G129" s="25"/>
      <c r="H129" s="25"/>
      <c r="I129" s="25"/>
      <c r="J129" s="25"/>
      <c r="K129" s="25"/>
      <c r="L129" s="25"/>
      <c r="M129" s="25"/>
      <c r="N129" s="25"/>
      <c r="O129" s="25"/>
      <c r="P129" s="25"/>
      <c r="Q129" s="25"/>
      <c r="R129" s="34">
        <f>SUM(R119:R128)</f>
        <v>-76698</v>
      </c>
      <c r="S129" s="34"/>
      <c r="T129" s="34">
        <f>SUM(T98:T127)</f>
        <v>-10927</v>
      </c>
      <c r="U129" s="25"/>
      <c r="V129" s="5"/>
    </row>
    <row r="130" spans="1:22" ht="15.6" x14ac:dyDescent="0.3">
      <c r="A130" s="24"/>
      <c r="B130" s="25" t="s">
        <v>44</v>
      </c>
      <c r="C130" s="25"/>
      <c r="D130" s="25"/>
      <c r="E130" s="25"/>
      <c r="F130" s="25"/>
      <c r="G130" s="25"/>
      <c r="H130" s="25"/>
      <c r="I130" s="25"/>
      <c r="J130" s="25"/>
      <c r="K130" s="25"/>
      <c r="L130" s="25"/>
      <c r="M130" s="25"/>
      <c r="N130" s="25"/>
      <c r="O130" s="25"/>
      <c r="P130" s="25"/>
      <c r="Q130" s="25"/>
      <c r="R130" s="34">
        <f>R97+R129+R112</f>
        <v>0</v>
      </c>
      <c r="S130" s="34"/>
      <c r="T130" s="34">
        <f>T97+T129</f>
        <v>0</v>
      </c>
      <c r="U130" s="25"/>
      <c r="V130" s="5"/>
    </row>
    <row r="131" spans="1:22" ht="15.6" x14ac:dyDescent="0.3">
      <c r="A131" s="24"/>
      <c r="B131" s="25"/>
      <c r="C131" s="25"/>
      <c r="D131" s="25"/>
      <c r="E131" s="25"/>
      <c r="F131" s="25"/>
      <c r="G131" s="25"/>
      <c r="H131" s="25"/>
      <c r="I131" s="25"/>
      <c r="J131" s="25"/>
      <c r="K131" s="25"/>
      <c r="L131" s="25"/>
      <c r="M131" s="25"/>
      <c r="N131" s="25"/>
      <c r="O131" s="25"/>
      <c r="P131" s="25"/>
      <c r="Q131" s="25"/>
      <c r="R131" s="34"/>
      <c r="S131" s="34"/>
      <c r="T131" s="34"/>
      <c r="U131" s="25"/>
      <c r="V131" s="5"/>
    </row>
    <row r="132" spans="1:22" ht="15.6" x14ac:dyDescent="0.3">
      <c r="A132" s="6"/>
      <c r="B132" s="8"/>
      <c r="C132" s="8"/>
      <c r="D132" s="8"/>
      <c r="E132" s="8"/>
      <c r="F132" s="8"/>
      <c r="G132" s="8"/>
      <c r="H132" s="8"/>
      <c r="I132" s="8"/>
      <c r="J132" s="8"/>
      <c r="K132" s="8"/>
      <c r="L132" s="8"/>
      <c r="M132" s="8"/>
      <c r="N132" s="8"/>
      <c r="O132" s="8"/>
      <c r="P132" s="8"/>
      <c r="Q132" s="8"/>
      <c r="R132" s="8"/>
      <c r="S132" s="8"/>
      <c r="T132" s="52"/>
      <c r="U132" s="8"/>
      <c r="V132" s="5"/>
    </row>
    <row r="133" spans="1:22" ht="18" thickBot="1" x14ac:dyDescent="0.35">
      <c r="A133" s="102"/>
      <c r="B133" s="103" t="str">
        <f>B61</f>
        <v>PM9 INVESTOR REPORT QUARTER ENDING JULY 2007</v>
      </c>
      <c r="C133" s="104"/>
      <c r="D133" s="104"/>
      <c r="E133" s="104"/>
      <c r="F133" s="104"/>
      <c r="G133" s="104"/>
      <c r="H133" s="104"/>
      <c r="I133" s="104"/>
      <c r="J133" s="104"/>
      <c r="K133" s="104"/>
      <c r="L133" s="104"/>
      <c r="M133" s="104"/>
      <c r="N133" s="104"/>
      <c r="O133" s="104"/>
      <c r="P133" s="104"/>
      <c r="Q133" s="104"/>
      <c r="R133" s="104"/>
      <c r="S133" s="104"/>
      <c r="T133" s="107"/>
      <c r="U133" s="106"/>
      <c r="V133" s="5"/>
    </row>
    <row r="134" spans="1:22" ht="15.6" x14ac:dyDescent="0.3">
      <c r="A134" s="2"/>
      <c r="B134" s="60" t="s">
        <v>45</v>
      </c>
      <c r="C134" s="4"/>
      <c r="D134" s="4"/>
      <c r="E134" s="4"/>
      <c r="F134" s="4"/>
      <c r="G134" s="4"/>
      <c r="H134" s="4"/>
      <c r="I134" s="4"/>
      <c r="J134" s="4"/>
      <c r="K134" s="4"/>
      <c r="L134" s="4"/>
      <c r="M134" s="4"/>
      <c r="N134" s="4"/>
      <c r="O134" s="4"/>
      <c r="P134" s="4"/>
      <c r="Q134" s="4"/>
      <c r="R134" s="4"/>
      <c r="S134" s="4"/>
      <c r="T134" s="50"/>
      <c r="U134" s="4"/>
      <c r="V134" s="5"/>
    </row>
    <row r="135" spans="1:22" ht="15.6" x14ac:dyDescent="0.3">
      <c r="A135" s="6"/>
      <c r="B135" s="21"/>
      <c r="C135" s="8"/>
      <c r="D135" s="8"/>
      <c r="E135" s="8"/>
      <c r="F135" s="8"/>
      <c r="G135" s="8"/>
      <c r="H135" s="8"/>
      <c r="I135" s="8"/>
      <c r="J135" s="8"/>
      <c r="K135" s="8"/>
      <c r="L135" s="8"/>
      <c r="M135" s="8"/>
      <c r="N135" s="8"/>
      <c r="O135" s="8"/>
      <c r="P135" s="8"/>
      <c r="Q135" s="8"/>
      <c r="R135" s="8"/>
      <c r="S135" s="8"/>
      <c r="T135" s="52"/>
      <c r="U135" s="8"/>
      <c r="V135" s="5"/>
    </row>
    <row r="136" spans="1:22" ht="15.6" x14ac:dyDescent="0.3">
      <c r="A136" s="6"/>
      <c r="B136" s="120" t="s">
        <v>46</v>
      </c>
      <c r="C136" s="8"/>
      <c r="D136" s="8"/>
      <c r="E136" s="8"/>
      <c r="F136" s="8"/>
      <c r="G136" s="8"/>
      <c r="H136" s="8"/>
      <c r="I136" s="8"/>
      <c r="J136" s="8"/>
      <c r="K136" s="8"/>
      <c r="L136" s="8"/>
      <c r="M136" s="8"/>
      <c r="N136" s="8"/>
      <c r="O136" s="8"/>
      <c r="P136" s="8"/>
      <c r="Q136" s="8"/>
      <c r="R136" s="8"/>
      <c r="S136" s="8"/>
      <c r="T136" s="52"/>
      <c r="U136" s="8"/>
      <c r="V136" s="5"/>
    </row>
    <row r="137" spans="1:22" ht="15.6" x14ac:dyDescent="0.3">
      <c r="A137" s="24"/>
      <c r="B137" s="25" t="s">
        <v>47</v>
      </c>
      <c r="C137" s="25"/>
      <c r="D137" s="25"/>
      <c r="E137" s="25"/>
      <c r="F137" s="25"/>
      <c r="G137" s="25"/>
      <c r="H137" s="25"/>
      <c r="I137" s="25"/>
      <c r="J137" s="25"/>
      <c r="K137" s="25"/>
      <c r="L137" s="25"/>
      <c r="M137" s="25"/>
      <c r="N137" s="25"/>
      <c r="O137" s="25"/>
      <c r="P137" s="25"/>
      <c r="Q137" s="25"/>
      <c r="R137" s="25"/>
      <c r="S137" s="25"/>
      <c r="T137" s="53">
        <f>+T32*0.0176</f>
        <v>12320</v>
      </c>
      <c r="U137" s="25"/>
      <c r="V137" s="5"/>
    </row>
    <row r="138" spans="1:22" ht="15.6" x14ac:dyDescent="0.3">
      <c r="A138" s="24"/>
      <c r="B138" s="25" t="s">
        <v>48</v>
      </c>
      <c r="C138" s="25"/>
      <c r="D138" s="25"/>
      <c r="E138" s="25"/>
      <c r="F138" s="25"/>
      <c r="G138" s="25"/>
      <c r="H138" s="25"/>
      <c r="I138" s="25"/>
      <c r="J138" s="25"/>
      <c r="K138" s="25"/>
      <c r="L138" s="25"/>
      <c r="M138" s="25"/>
      <c r="N138" s="25"/>
      <c r="O138" s="25"/>
      <c r="P138" s="25"/>
      <c r="Q138" s="25"/>
      <c r="R138" s="25"/>
      <c r="S138" s="25"/>
      <c r="T138" s="53">
        <v>12320</v>
      </c>
      <c r="U138" s="25"/>
      <c r="V138" s="5"/>
    </row>
    <row r="139" spans="1:22" ht="15.6" x14ac:dyDescent="0.3">
      <c r="A139" s="24"/>
      <c r="B139" s="25" t="s">
        <v>145</v>
      </c>
      <c r="C139" s="25"/>
      <c r="D139" s="25"/>
      <c r="E139" s="25"/>
      <c r="F139" s="25"/>
      <c r="G139" s="25"/>
      <c r="H139" s="25"/>
      <c r="I139" s="25"/>
      <c r="J139" s="25"/>
      <c r="K139" s="25"/>
      <c r="L139" s="25"/>
      <c r="M139" s="25"/>
      <c r="N139" s="25"/>
      <c r="O139" s="25"/>
      <c r="P139" s="25"/>
      <c r="Q139" s="25"/>
      <c r="R139" s="25"/>
      <c r="S139" s="25"/>
      <c r="T139" s="53">
        <v>0</v>
      </c>
      <c r="U139" s="25"/>
      <c r="V139" s="5"/>
    </row>
    <row r="140" spans="1:22" ht="15.6" x14ac:dyDescent="0.3">
      <c r="A140" s="24"/>
      <c r="B140" s="25" t="s">
        <v>132</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133</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232</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49</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138</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231</v>
      </c>
      <c r="C145" s="25"/>
      <c r="D145" s="25"/>
      <c r="E145" s="25"/>
      <c r="F145" s="25"/>
      <c r="G145" s="25"/>
      <c r="H145" s="25"/>
      <c r="I145" s="25"/>
      <c r="J145" s="25"/>
      <c r="K145" s="25"/>
      <c r="L145" s="25"/>
      <c r="M145" s="25"/>
      <c r="N145" s="25"/>
      <c r="O145" s="25"/>
      <c r="P145" s="25"/>
      <c r="Q145" s="25"/>
      <c r="R145" s="25"/>
      <c r="S145" s="25"/>
      <c r="T145" s="53">
        <v>0</v>
      </c>
      <c r="U145" s="25"/>
      <c r="V145" s="5"/>
      <c r="W145" s="110"/>
    </row>
    <row r="146" spans="1:23" ht="15.6" x14ac:dyDescent="0.3">
      <c r="A146" s="24"/>
      <c r="B146" s="25" t="s">
        <v>50</v>
      </c>
      <c r="C146" s="25"/>
      <c r="D146" s="25"/>
      <c r="E146" s="25"/>
      <c r="F146" s="25"/>
      <c r="G146" s="25"/>
      <c r="H146" s="25"/>
      <c r="I146" s="25"/>
      <c r="J146" s="25"/>
      <c r="K146" s="25"/>
      <c r="L146" s="25"/>
      <c r="M146" s="25"/>
      <c r="N146" s="25"/>
      <c r="O146" s="25"/>
      <c r="P146" s="25"/>
      <c r="Q146" s="25"/>
      <c r="R146" s="25"/>
      <c r="S146" s="25"/>
      <c r="T146" s="53">
        <f>SUM(T138:T145)</f>
        <v>12320</v>
      </c>
      <c r="U146" s="25"/>
      <c r="V146" s="5"/>
    </row>
    <row r="147" spans="1:23" ht="15.6" x14ac:dyDescent="0.3">
      <c r="A147" s="24"/>
      <c r="B147" s="25"/>
      <c r="C147" s="25"/>
      <c r="D147" s="25"/>
      <c r="E147" s="25"/>
      <c r="F147" s="25"/>
      <c r="G147" s="25"/>
      <c r="H147" s="25"/>
      <c r="I147" s="25"/>
      <c r="J147" s="25"/>
      <c r="K147" s="25"/>
      <c r="L147" s="25"/>
      <c r="M147" s="25"/>
      <c r="N147" s="25"/>
      <c r="O147" s="25"/>
      <c r="P147" s="25"/>
      <c r="Q147" s="25"/>
      <c r="R147" s="25"/>
      <c r="S147" s="25"/>
      <c r="T147" s="53"/>
      <c r="U147" s="25"/>
      <c r="V147" s="5"/>
    </row>
    <row r="148" spans="1:23" ht="15.6" x14ac:dyDescent="0.3">
      <c r="A148" s="24"/>
      <c r="B148" s="141" t="s">
        <v>264</v>
      </c>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25" t="s">
        <v>170</v>
      </c>
      <c r="C149" s="25"/>
      <c r="D149" s="25"/>
      <c r="E149" s="25"/>
      <c r="F149" s="25"/>
      <c r="G149" s="25"/>
      <c r="H149" s="25"/>
      <c r="I149" s="25"/>
      <c r="J149" s="25"/>
      <c r="K149" s="25"/>
      <c r="L149" s="25"/>
      <c r="M149" s="25"/>
      <c r="N149" s="25"/>
      <c r="O149" s="25"/>
      <c r="P149" s="25"/>
      <c r="Q149" s="25"/>
      <c r="R149" s="25"/>
      <c r="S149" s="25"/>
      <c r="T149" s="53">
        <v>10000</v>
      </c>
      <c r="U149" s="25"/>
      <c r="V149" s="5"/>
    </row>
    <row r="150" spans="1:23" ht="15.6" x14ac:dyDescent="0.3">
      <c r="A150" s="24"/>
      <c r="B150" s="25" t="s">
        <v>260</v>
      </c>
      <c r="C150" s="25"/>
      <c r="D150" s="25"/>
      <c r="E150" s="25"/>
      <c r="F150" s="25"/>
      <c r="G150" s="25"/>
      <c r="H150" s="25"/>
      <c r="I150" s="25"/>
      <c r="J150" s="25"/>
      <c r="K150" s="25"/>
      <c r="L150" s="25"/>
      <c r="M150" s="25"/>
      <c r="N150" s="25"/>
      <c r="O150" s="25"/>
      <c r="P150" s="25"/>
      <c r="Q150" s="25"/>
      <c r="R150" s="25"/>
      <c r="S150" s="25"/>
      <c r="T150" s="53">
        <v>6299</v>
      </c>
      <c r="U150" s="25"/>
      <c r="V150" s="5"/>
    </row>
    <row r="151" spans="1:23" ht="15.6" x14ac:dyDescent="0.3">
      <c r="A151" s="24"/>
      <c r="B151" s="25" t="s">
        <v>228</v>
      </c>
      <c r="C151" s="25"/>
      <c r="D151" s="25"/>
      <c r="E151" s="25"/>
      <c r="F151" s="25"/>
      <c r="G151" s="25"/>
      <c r="H151" s="25"/>
      <c r="I151" s="25"/>
      <c r="J151" s="25"/>
      <c r="K151" s="25"/>
      <c r="L151" s="25"/>
      <c r="M151" s="25"/>
      <c r="N151" s="25"/>
      <c r="O151" s="25"/>
      <c r="P151" s="25"/>
      <c r="Q151" s="25"/>
      <c r="R151" s="25"/>
      <c r="S151" s="25"/>
      <c r="T151" s="53">
        <v>0</v>
      </c>
      <c r="U151" s="25"/>
      <c r="V151" s="5"/>
    </row>
    <row r="152" spans="1:23" ht="15.6" x14ac:dyDescent="0.3">
      <c r="A152" s="24"/>
      <c r="B152" s="25" t="s">
        <v>266</v>
      </c>
      <c r="C152" s="25"/>
      <c r="D152" s="25"/>
      <c r="E152" s="25"/>
      <c r="F152" s="25"/>
      <c r="G152" s="25"/>
      <c r="H152" s="25"/>
      <c r="I152" s="25"/>
      <c r="J152" s="25"/>
      <c r="K152" s="25"/>
      <c r="L152" s="25"/>
      <c r="M152" s="25"/>
      <c r="N152" s="25"/>
      <c r="O152" s="25"/>
      <c r="P152" s="25"/>
      <c r="Q152" s="25"/>
      <c r="R152" s="25"/>
      <c r="S152" s="25"/>
      <c r="T152" s="53">
        <v>6000</v>
      </c>
      <c r="U152" s="25"/>
      <c r="V152" s="5"/>
    </row>
    <row r="153" spans="1:23" ht="15.6" x14ac:dyDescent="0.3">
      <c r="A153" s="24"/>
      <c r="B153" s="25"/>
      <c r="C153" s="25"/>
      <c r="D153" s="25"/>
      <c r="E153" s="25"/>
      <c r="F153" s="25"/>
      <c r="G153" s="25"/>
      <c r="H153" s="25"/>
      <c r="I153" s="25"/>
      <c r="J153" s="25"/>
      <c r="K153" s="25"/>
      <c r="L153" s="25"/>
      <c r="M153" s="25"/>
      <c r="N153" s="25"/>
      <c r="O153" s="25"/>
      <c r="P153" s="25"/>
      <c r="Q153" s="25"/>
      <c r="R153" s="25"/>
      <c r="S153" s="25"/>
      <c r="T153" s="53"/>
      <c r="U153" s="25"/>
      <c r="V153" s="5"/>
    </row>
    <row r="154" spans="1:23" ht="15.6" x14ac:dyDescent="0.3">
      <c r="A154" s="24"/>
      <c r="B154" s="25"/>
      <c r="C154" s="25"/>
      <c r="D154" s="25"/>
      <c r="E154" s="25"/>
      <c r="F154" s="25"/>
      <c r="G154" s="25"/>
      <c r="H154" s="25"/>
      <c r="I154" s="25"/>
      <c r="J154" s="25"/>
      <c r="K154" s="25"/>
      <c r="L154" s="25"/>
      <c r="M154" s="25"/>
      <c r="N154" s="25"/>
      <c r="O154" s="25"/>
      <c r="P154" s="25"/>
      <c r="Q154" s="25"/>
      <c r="R154" s="25"/>
      <c r="S154" s="25"/>
      <c r="T154" s="61"/>
      <c r="U154" s="25"/>
      <c r="V154" s="5"/>
    </row>
    <row r="155" spans="1:23" ht="15.6" x14ac:dyDescent="0.3">
      <c r="A155" s="6"/>
      <c r="B155" s="120" t="s">
        <v>25</v>
      </c>
      <c r="C155" s="8"/>
      <c r="D155" s="8"/>
      <c r="E155" s="8"/>
      <c r="F155" s="8"/>
      <c r="G155" s="8"/>
      <c r="H155" s="8"/>
      <c r="I155" s="8"/>
      <c r="J155" s="8"/>
      <c r="K155" s="8"/>
      <c r="L155" s="8"/>
      <c r="M155" s="8"/>
      <c r="N155" s="8"/>
      <c r="O155" s="8"/>
      <c r="P155" s="8"/>
      <c r="Q155" s="8"/>
      <c r="R155" s="8"/>
      <c r="S155" s="8"/>
      <c r="T155" s="52"/>
      <c r="U155" s="8"/>
      <c r="V155" s="5"/>
    </row>
    <row r="156" spans="1:23" ht="15.6" x14ac:dyDescent="0.3">
      <c r="A156" s="24"/>
      <c r="B156" s="25" t="s">
        <v>51</v>
      </c>
      <c r="C156" s="25"/>
      <c r="D156" s="25"/>
      <c r="E156" s="25"/>
      <c r="F156" s="25"/>
      <c r="G156" s="25"/>
      <c r="H156" s="25"/>
      <c r="I156" s="25"/>
      <c r="J156" s="25"/>
      <c r="K156" s="25"/>
      <c r="L156" s="25"/>
      <c r="M156" s="25"/>
      <c r="N156" s="25"/>
      <c r="O156" s="25"/>
      <c r="P156" s="25"/>
      <c r="Q156" s="25"/>
      <c r="R156" s="25"/>
      <c r="S156" s="25"/>
      <c r="T156" s="59" t="s">
        <v>127</v>
      </c>
      <c r="U156" s="25"/>
      <c r="V156" s="5"/>
    </row>
    <row r="157" spans="1:23" ht="15.6" x14ac:dyDescent="0.3">
      <c r="A157" s="24"/>
      <c r="B157" s="25" t="s">
        <v>52</v>
      </c>
      <c r="C157" s="160"/>
      <c r="D157" s="160"/>
      <c r="E157" s="160"/>
      <c r="F157" s="160"/>
      <c r="G157" s="160"/>
      <c r="H157" s="160"/>
      <c r="I157" s="160"/>
      <c r="J157" s="160"/>
      <c r="K157" s="160"/>
      <c r="L157" s="160"/>
      <c r="M157" s="160"/>
      <c r="N157" s="160"/>
      <c r="O157" s="160"/>
      <c r="P157" s="160"/>
      <c r="Q157" s="160"/>
      <c r="R157" s="160"/>
      <c r="S157" s="160"/>
      <c r="T157" s="59" t="s">
        <v>127</v>
      </c>
      <c r="U157" s="25"/>
      <c r="V157" s="5"/>
    </row>
    <row r="158" spans="1:23" ht="15.6" x14ac:dyDescent="0.3">
      <c r="A158" s="24"/>
      <c r="B158" s="25" t="s">
        <v>53</v>
      </c>
      <c r="C158" s="25"/>
      <c r="D158" s="25"/>
      <c r="E158" s="25"/>
      <c r="F158" s="25"/>
      <c r="G158" s="25"/>
      <c r="H158" s="25"/>
      <c r="I158" s="25"/>
      <c r="J158" s="25"/>
      <c r="K158" s="25"/>
      <c r="L158" s="25"/>
      <c r="M158" s="25"/>
      <c r="N158" s="25"/>
      <c r="O158" s="25"/>
      <c r="P158" s="25"/>
      <c r="Q158" s="25"/>
      <c r="R158" s="25"/>
      <c r="S158" s="25"/>
      <c r="T158" s="59" t="s">
        <v>127</v>
      </c>
      <c r="U158" s="25"/>
      <c r="V158" s="5"/>
    </row>
    <row r="159" spans="1:23" ht="15.6" x14ac:dyDescent="0.3">
      <c r="A159" s="24"/>
      <c r="B159" s="25" t="s">
        <v>54</v>
      </c>
      <c r="C159" s="25"/>
      <c r="D159" s="25"/>
      <c r="E159" s="25"/>
      <c r="F159" s="25"/>
      <c r="G159" s="25"/>
      <c r="H159" s="25"/>
      <c r="I159" s="25"/>
      <c r="J159" s="25"/>
      <c r="K159" s="25"/>
      <c r="L159" s="25"/>
      <c r="M159" s="25"/>
      <c r="N159" s="25"/>
      <c r="O159" s="25"/>
      <c r="P159" s="25"/>
      <c r="Q159" s="25"/>
      <c r="R159" s="25"/>
      <c r="S159" s="25"/>
      <c r="T159" s="59" t="s">
        <v>127</v>
      </c>
      <c r="U159" s="25"/>
      <c r="V159" s="5"/>
    </row>
    <row r="160" spans="1:23" ht="15.6" x14ac:dyDescent="0.3">
      <c r="A160" s="24"/>
      <c r="B160" s="25"/>
      <c r="C160" s="25"/>
      <c r="D160" s="25"/>
      <c r="E160" s="25"/>
      <c r="F160" s="25"/>
      <c r="G160" s="25"/>
      <c r="H160" s="25"/>
      <c r="I160" s="25"/>
      <c r="J160" s="25"/>
      <c r="K160" s="25"/>
      <c r="L160" s="25"/>
      <c r="M160" s="25"/>
      <c r="N160" s="25"/>
      <c r="O160" s="25"/>
      <c r="P160" s="25"/>
      <c r="Q160" s="25"/>
      <c r="R160" s="25"/>
      <c r="S160" s="25"/>
      <c r="T160" s="61"/>
      <c r="U160" s="25"/>
      <c r="V160" s="5"/>
    </row>
    <row r="161" spans="1:22" ht="15.6" x14ac:dyDescent="0.3">
      <c r="A161" s="6"/>
      <c r="B161" s="120" t="s">
        <v>55</v>
      </c>
      <c r="C161" s="8"/>
      <c r="D161" s="8"/>
      <c r="E161" s="8"/>
      <c r="F161" s="8"/>
      <c r="G161" s="8"/>
      <c r="H161" s="8"/>
      <c r="I161" s="8"/>
      <c r="J161" s="8"/>
      <c r="K161" s="8"/>
      <c r="L161" s="8"/>
      <c r="M161" s="8"/>
      <c r="N161" s="8"/>
      <c r="O161" s="8"/>
      <c r="P161" s="8"/>
      <c r="Q161" s="8"/>
      <c r="R161" s="8"/>
      <c r="S161" s="8"/>
      <c r="T161" s="63"/>
      <c r="U161" s="8"/>
      <c r="V161" s="5"/>
    </row>
    <row r="162" spans="1:22" ht="15.6" x14ac:dyDescent="0.3">
      <c r="A162" s="24"/>
      <c r="B162" s="25" t="s">
        <v>56</v>
      </c>
      <c r="C162" s="25"/>
      <c r="D162" s="25"/>
      <c r="E162" s="25"/>
      <c r="F162" s="25"/>
      <c r="G162" s="25"/>
      <c r="H162" s="25"/>
      <c r="I162" s="25"/>
      <c r="J162" s="25"/>
      <c r="K162" s="25"/>
      <c r="L162" s="25"/>
      <c r="M162" s="25"/>
      <c r="N162" s="25"/>
      <c r="O162" s="25"/>
      <c r="P162" s="25"/>
      <c r="Q162" s="25"/>
      <c r="R162" s="25"/>
      <c r="S162" s="25"/>
      <c r="T162" s="53">
        <v>0</v>
      </c>
      <c r="U162" s="25"/>
      <c r="V162" s="5"/>
    </row>
    <row r="163" spans="1:22" ht="15.6" x14ac:dyDescent="0.3">
      <c r="A163" s="24"/>
      <c r="B163" s="25" t="s">
        <v>57</v>
      </c>
      <c r="C163" s="25"/>
      <c r="D163" s="25"/>
      <c r="E163" s="25"/>
      <c r="F163" s="25"/>
      <c r="G163" s="25"/>
      <c r="H163" s="25"/>
      <c r="I163" s="25"/>
      <c r="J163" s="25"/>
      <c r="K163" s="25"/>
      <c r="L163" s="25"/>
      <c r="M163" s="25"/>
      <c r="N163" s="25"/>
      <c r="O163" s="25"/>
      <c r="P163" s="25"/>
      <c r="Q163" s="25"/>
      <c r="R163" s="25"/>
      <c r="S163" s="25"/>
      <c r="T163" s="53">
        <f>-T112</f>
        <v>143</v>
      </c>
      <c r="U163" s="25"/>
      <c r="V163" s="5"/>
    </row>
    <row r="164" spans="1:22" ht="15.6" x14ac:dyDescent="0.3">
      <c r="A164" s="24"/>
      <c r="B164" s="25" t="s">
        <v>58</v>
      </c>
      <c r="C164" s="25"/>
      <c r="D164" s="25"/>
      <c r="E164" s="25"/>
      <c r="F164" s="25"/>
      <c r="G164" s="25"/>
      <c r="H164" s="25"/>
      <c r="I164" s="25"/>
      <c r="J164" s="25"/>
      <c r="K164" s="25"/>
      <c r="L164" s="25"/>
      <c r="M164" s="25"/>
      <c r="N164" s="25"/>
      <c r="O164" s="25"/>
      <c r="P164" s="25"/>
      <c r="Q164" s="25"/>
      <c r="R164" s="25"/>
      <c r="S164" s="25"/>
      <c r="T164" s="53">
        <f>T163+T162</f>
        <v>143</v>
      </c>
      <c r="U164" s="25"/>
      <c r="V164" s="5"/>
    </row>
    <row r="165" spans="1:22" ht="15.6" x14ac:dyDescent="0.3">
      <c r="A165" s="24"/>
      <c r="B165" s="25" t="s">
        <v>309</v>
      </c>
      <c r="C165" s="25"/>
      <c r="D165" s="25"/>
      <c r="E165" s="25"/>
      <c r="F165" s="25"/>
      <c r="G165" s="25"/>
      <c r="H165" s="25"/>
      <c r="I165" s="25"/>
      <c r="J165" s="25"/>
      <c r="K165" s="25"/>
      <c r="L165" s="25"/>
      <c r="M165" s="25"/>
      <c r="N165" s="25"/>
      <c r="O165" s="25"/>
      <c r="P165" s="25"/>
      <c r="Q165" s="25"/>
      <c r="R165" s="25"/>
      <c r="S165" s="25"/>
      <c r="T165" s="53">
        <f>T112</f>
        <v>-143</v>
      </c>
      <c r="U165" s="25"/>
      <c r="V165" s="5"/>
    </row>
    <row r="166" spans="1:22" ht="15.6" x14ac:dyDescent="0.3">
      <c r="A166" s="24"/>
      <c r="B166" s="25" t="s">
        <v>59</v>
      </c>
      <c r="C166" s="25"/>
      <c r="D166" s="25"/>
      <c r="E166" s="25"/>
      <c r="F166" s="25"/>
      <c r="G166" s="25"/>
      <c r="H166" s="25"/>
      <c r="I166" s="25"/>
      <c r="J166" s="25"/>
      <c r="K166" s="25"/>
      <c r="L166" s="25"/>
      <c r="M166" s="25"/>
      <c r="N166" s="25"/>
      <c r="O166" s="25"/>
      <c r="P166" s="25"/>
      <c r="Q166" s="25"/>
      <c r="R166" s="25"/>
      <c r="S166" s="25"/>
      <c r="T166" s="53">
        <f>T164+T165</f>
        <v>0</v>
      </c>
      <c r="U166" s="25"/>
      <c r="V166" s="5"/>
    </row>
    <row r="167" spans="1:22" ht="16.2" thickBot="1" x14ac:dyDescent="0.35">
      <c r="A167" s="24"/>
      <c r="B167" s="25"/>
      <c r="C167" s="25"/>
      <c r="D167" s="25"/>
      <c r="E167" s="25"/>
      <c r="F167" s="25"/>
      <c r="G167" s="25"/>
      <c r="H167" s="25"/>
      <c r="I167" s="25"/>
      <c r="J167" s="25"/>
      <c r="K167" s="25"/>
      <c r="L167" s="25"/>
      <c r="M167" s="25"/>
      <c r="N167" s="25"/>
      <c r="O167" s="25"/>
      <c r="P167" s="25"/>
      <c r="Q167" s="25"/>
      <c r="R167" s="25"/>
      <c r="S167" s="25"/>
      <c r="T167" s="61"/>
      <c r="U167" s="25"/>
      <c r="V167" s="5"/>
    </row>
    <row r="168" spans="1:22" ht="15.6" x14ac:dyDescent="0.3">
      <c r="A168" s="2"/>
      <c r="B168" s="4"/>
      <c r="C168" s="4"/>
      <c r="D168" s="4"/>
      <c r="E168" s="4"/>
      <c r="F168" s="4"/>
      <c r="G168" s="4"/>
      <c r="H168" s="4"/>
      <c r="I168" s="4"/>
      <c r="J168" s="4"/>
      <c r="K168" s="4"/>
      <c r="L168" s="4"/>
      <c r="M168" s="4"/>
      <c r="N168" s="4"/>
      <c r="O168" s="4"/>
      <c r="P168" s="4"/>
      <c r="Q168" s="4"/>
      <c r="R168" s="4"/>
      <c r="S168" s="4"/>
      <c r="T168" s="50"/>
      <c r="U168" s="4"/>
      <c r="V168" s="5"/>
    </row>
    <row r="169" spans="1:22" ht="15.6" x14ac:dyDescent="0.3">
      <c r="A169" s="6"/>
      <c r="B169" s="120" t="s">
        <v>60</v>
      </c>
      <c r="C169" s="8"/>
      <c r="D169" s="8"/>
      <c r="E169" s="8"/>
      <c r="F169" s="8"/>
      <c r="G169" s="8"/>
      <c r="H169" s="8"/>
      <c r="I169" s="8"/>
      <c r="J169" s="8"/>
      <c r="K169" s="8"/>
      <c r="L169" s="8"/>
      <c r="M169" s="8"/>
      <c r="N169" s="8"/>
      <c r="O169" s="8"/>
      <c r="P169" s="8"/>
      <c r="Q169" s="8"/>
      <c r="R169" s="8"/>
      <c r="S169" s="8"/>
      <c r="T169" s="52"/>
      <c r="U169" s="8"/>
      <c r="V169" s="5"/>
    </row>
    <row r="170" spans="1:22" ht="15.6" x14ac:dyDescent="0.3">
      <c r="A170" s="6"/>
      <c r="B170" s="21"/>
      <c r="C170" s="8"/>
      <c r="D170" s="8"/>
      <c r="E170" s="8"/>
      <c r="F170" s="8"/>
      <c r="G170" s="8"/>
      <c r="H170" s="8"/>
      <c r="I170" s="8"/>
      <c r="J170" s="8"/>
      <c r="K170" s="8"/>
      <c r="L170" s="8"/>
      <c r="M170" s="8"/>
      <c r="N170" s="8"/>
      <c r="O170" s="8"/>
      <c r="P170" s="8"/>
      <c r="Q170" s="8"/>
      <c r="R170" s="8"/>
      <c r="S170" s="8"/>
      <c r="T170" s="52"/>
      <c r="U170" s="8"/>
      <c r="V170" s="5"/>
    </row>
    <row r="171" spans="1:22" ht="15.6" x14ac:dyDescent="0.3">
      <c r="A171" s="24"/>
      <c r="B171" s="25" t="s">
        <v>61</v>
      </c>
      <c r="C171" s="25"/>
      <c r="D171" s="25"/>
      <c r="E171" s="25"/>
      <c r="F171" s="25"/>
      <c r="G171" s="25"/>
      <c r="H171" s="25"/>
      <c r="I171" s="25"/>
      <c r="J171" s="25"/>
      <c r="K171" s="25"/>
      <c r="L171" s="25"/>
      <c r="M171" s="25"/>
      <c r="N171" s="25"/>
      <c r="O171" s="25"/>
      <c r="P171" s="25"/>
      <c r="Q171" s="25"/>
      <c r="R171" s="25"/>
      <c r="S171" s="25"/>
      <c r="T171" s="53">
        <f>T69</f>
        <v>493122</v>
      </c>
      <c r="U171" s="25"/>
      <c r="V171" s="5"/>
    </row>
    <row r="172" spans="1:22" ht="15.6" x14ac:dyDescent="0.3">
      <c r="A172" s="24"/>
      <c r="B172" s="25" t="s">
        <v>62</v>
      </c>
      <c r="C172" s="25"/>
      <c r="D172" s="25"/>
      <c r="E172" s="25"/>
      <c r="F172" s="25"/>
      <c r="G172" s="25"/>
      <c r="H172" s="25"/>
      <c r="I172" s="25"/>
      <c r="J172" s="25"/>
      <c r="K172" s="25"/>
      <c r="L172" s="25"/>
      <c r="M172" s="25"/>
      <c r="N172" s="25"/>
      <c r="O172" s="25"/>
      <c r="P172" s="25"/>
      <c r="Q172" s="25"/>
      <c r="R172" s="25"/>
      <c r="S172" s="25"/>
      <c r="T172" s="53">
        <f>T82</f>
        <v>493122</v>
      </c>
      <c r="U172" s="25"/>
      <c r="V172" s="5"/>
    </row>
    <row r="173" spans="1:22" ht="16.2" thickBot="1" x14ac:dyDescent="0.35">
      <c r="A173" s="24"/>
      <c r="B173" s="25"/>
      <c r="C173" s="25"/>
      <c r="D173" s="25"/>
      <c r="E173" s="25"/>
      <c r="F173" s="25"/>
      <c r="G173" s="25"/>
      <c r="H173" s="25"/>
      <c r="I173" s="25"/>
      <c r="J173" s="25"/>
      <c r="K173" s="25"/>
      <c r="L173" s="25"/>
      <c r="M173" s="25"/>
      <c r="N173" s="25"/>
      <c r="O173" s="25"/>
      <c r="P173" s="25"/>
      <c r="Q173" s="25"/>
      <c r="R173" s="25"/>
      <c r="S173" s="25"/>
      <c r="T173" s="61"/>
      <c r="U173" s="25"/>
      <c r="V173" s="5"/>
    </row>
    <row r="174" spans="1:22" ht="15.6" x14ac:dyDescent="0.3">
      <c r="A174" s="2"/>
      <c r="B174" s="4"/>
      <c r="C174" s="4"/>
      <c r="D174" s="4"/>
      <c r="E174" s="4"/>
      <c r="F174" s="4"/>
      <c r="G174" s="4"/>
      <c r="H174" s="4"/>
      <c r="I174" s="4"/>
      <c r="J174" s="4"/>
      <c r="K174" s="4"/>
      <c r="L174" s="4"/>
      <c r="M174" s="4"/>
      <c r="N174" s="4"/>
      <c r="O174" s="4"/>
      <c r="P174" s="4"/>
      <c r="Q174" s="4"/>
      <c r="R174" s="4"/>
      <c r="S174" s="4"/>
      <c r="T174" s="50"/>
      <c r="U174" s="4"/>
      <c r="V174" s="5"/>
    </row>
    <row r="175" spans="1:22" ht="15.6" x14ac:dyDescent="0.3">
      <c r="A175" s="6"/>
      <c r="B175" s="120" t="s">
        <v>63</v>
      </c>
      <c r="C175" s="118"/>
      <c r="D175" s="118"/>
      <c r="E175" s="118"/>
      <c r="F175" s="118"/>
      <c r="G175" s="118"/>
      <c r="H175" s="121"/>
      <c r="I175" s="121"/>
      <c r="J175" s="121"/>
      <c r="K175" s="121"/>
      <c r="L175" s="121"/>
      <c r="M175" s="121"/>
      <c r="N175" s="121"/>
      <c r="O175" s="121"/>
      <c r="P175" s="121"/>
      <c r="Q175" s="121" t="s">
        <v>107</v>
      </c>
      <c r="R175" s="121" t="s">
        <v>234</v>
      </c>
      <c r="S175" s="112"/>
      <c r="T175" s="122" t="s">
        <v>123</v>
      </c>
      <c r="U175" s="10"/>
      <c r="V175" s="5"/>
    </row>
    <row r="176" spans="1:22" ht="15.6" x14ac:dyDescent="0.3">
      <c r="A176" s="24"/>
      <c r="B176" s="25" t="s">
        <v>64</v>
      </c>
      <c r="C176" s="25"/>
      <c r="D176" s="25"/>
      <c r="E176" s="25"/>
      <c r="F176" s="25"/>
      <c r="G176" s="25"/>
      <c r="H176" s="25"/>
      <c r="I176" s="25"/>
      <c r="J176" s="25"/>
      <c r="K176" s="25"/>
      <c r="L176" s="25"/>
      <c r="M176" s="25"/>
      <c r="N176" s="25"/>
      <c r="O176" s="25"/>
      <c r="P176" s="25"/>
      <c r="Q176" s="53">
        <v>112000</v>
      </c>
      <c r="R176" s="40"/>
      <c r="S176" s="25"/>
      <c r="T176" s="53"/>
      <c r="U176" s="25"/>
      <c r="V176" s="5"/>
    </row>
    <row r="177" spans="1:22" ht="15.6" x14ac:dyDescent="0.3">
      <c r="A177" s="24"/>
      <c r="B177" s="25" t="s">
        <v>65</v>
      </c>
      <c r="C177" s="25"/>
      <c r="D177" s="25"/>
      <c r="E177" s="25"/>
      <c r="F177" s="25"/>
      <c r="G177" s="25"/>
      <c r="H177" s="25"/>
      <c r="I177" s="25"/>
      <c r="J177" s="25"/>
      <c r="K177" s="25"/>
      <c r="L177" s="25"/>
      <c r="M177" s="25"/>
      <c r="N177" s="25"/>
      <c r="O177" s="25"/>
      <c r="P177" s="25"/>
      <c r="Q177" s="53">
        <f>+'April 07'!Q179</f>
        <v>27737</v>
      </c>
      <c r="R177" s="53">
        <f>+'April 07'!R179</f>
        <v>2133</v>
      </c>
      <c r="S177" s="25"/>
      <c r="T177" s="53">
        <f>Q177+R177</f>
        <v>29870</v>
      </c>
      <c r="U177" s="25"/>
      <c r="V177" s="5"/>
    </row>
    <row r="178" spans="1:22" ht="15.6" x14ac:dyDescent="0.3">
      <c r="A178" s="24"/>
      <c r="B178" s="25" t="s">
        <v>66</v>
      </c>
      <c r="C178" s="25"/>
      <c r="D178" s="25"/>
      <c r="E178" s="25"/>
      <c r="F178" s="25"/>
      <c r="G178" s="25"/>
      <c r="H178" s="25"/>
      <c r="I178" s="25"/>
      <c r="J178" s="25"/>
      <c r="K178" s="25"/>
      <c r="L178" s="25"/>
      <c r="M178" s="25"/>
      <c r="N178" s="25"/>
      <c r="O178" s="25"/>
      <c r="P178" s="25"/>
      <c r="Q178" s="34">
        <v>2704</v>
      </c>
      <c r="R178" s="34">
        <v>220</v>
      </c>
      <c r="S178" s="25"/>
      <c r="T178" s="53">
        <f>Q178+R178</f>
        <v>2924</v>
      </c>
      <c r="U178" s="25"/>
      <c r="V178" s="5"/>
    </row>
    <row r="179" spans="1:22" ht="15.6" x14ac:dyDescent="0.3">
      <c r="A179" s="24"/>
      <c r="B179" s="25" t="s">
        <v>67</v>
      </c>
      <c r="C179" s="25"/>
      <c r="D179" s="25"/>
      <c r="E179" s="25"/>
      <c r="F179" s="25"/>
      <c r="G179" s="25"/>
      <c r="H179" s="25"/>
      <c r="I179" s="25"/>
      <c r="J179" s="25"/>
      <c r="K179" s="25"/>
      <c r="L179" s="25"/>
      <c r="M179" s="25"/>
      <c r="N179" s="25"/>
      <c r="O179" s="25"/>
      <c r="P179" s="25"/>
      <c r="Q179" s="53">
        <f>Q177+Q178</f>
        <v>30441</v>
      </c>
      <c r="R179" s="53">
        <f>R178+R177</f>
        <v>2353</v>
      </c>
      <c r="S179" s="25"/>
      <c r="T179" s="53">
        <f>Q179+R179</f>
        <v>32794</v>
      </c>
      <c r="U179" s="25"/>
      <c r="V179" s="5"/>
    </row>
    <row r="180" spans="1:22" ht="15.6" x14ac:dyDescent="0.3">
      <c r="A180" s="24"/>
      <c r="B180" s="25" t="s">
        <v>68</v>
      </c>
      <c r="C180" s="25"/>
      <c r="D180" s="25"/>
      <c r="E180" s="25"/>
      <c r="F180" s="25"/>
      <c r="G180" s="25"/>
      <c r="H180" s="25"/>
      <c r="I180" s="25"/>
      <c r="J180" s="25"/>
      <c r="K180" s="25"/>
      <c r="L180" s="25"/>
      <c r="M180" s="25"/>
      <c r="N180" s="25"/>
      <c r="O180" s="25"/>
      <c r="P180" s="25"/>
      <c r="Q180" s="53">
        <f>Q176-Q179-R179</f>
        <v>79206</v>
      </c>
      <c r="R180" s="40"/>
      <c r="S180" s="25"/>
      <c r="T180" s="53"/>
      <c r="U180" s="25"/>
      <c r="V180" s="5"/>
    </row>
    <row r="181" spans="1:22" ht="16.2" thickBot="1" x14ac:dyDescent="0.35">
      <c r="A181" s="24"/>
      <c r="B181" s="25"/>
      <c r="C181" s="25"/>
      <c r="D181" s="25"/>
      <c r="E181" s="25"/>
      <c r="F181" s="25"/>
      <c r="G181" s="25"/>
      <c r="H181" s="25"/>
      <c r="I181" s="25"/>
      <c r="J181" s="25"/>
      <c r="K181" s="25"/>
      <c r="L181" s="25"/>
      <c r="M181" s="25"/>
      <c r="N181" s="25"/>
      <c r="O181" s="25"/>
      <c r="P181" s="25"/>
      <c r="Q181" s="25"/>
      <c r="R181" s="25"/>
      <c r="S181" s="25"/>
      <c r="T181" s="61"/>
      <c r="U181" s="25"/>
      <c r="V181" s="5"/>
    </row>
    <row r="182" spans="1:22" ht="15.6" x14ac:dyDescent="0.3">
      <c r="A182" s="2"/>
      <c r="B182" s="4"/>
      <c r="C182" s="4"/>
      <c r="D182" s="4"/>
      <c r="E182" s="4"/>
      <c r="F182" s="4"/>
      <c r="G182" s="4"/>
      <c r="H182" s="4"/>
      <c r="I182" s="4"/>
      <c r="J182" s="4"/>
      <c r="K182" s="4"/>
      <c r="L182" s="4"/>
      <c r="M182" s="4"/>
      <c r="N182" s="4"/>
      <c r="O182" s="4"/>
      <c r="P182" s="4"/>
      <c r="Q182" s="4"/>
      <c r="R182" s="4"/>
      <c r="S182" s="4"/>
      <c r="T182" s="50"/>
      <c r="U182" s="4"/>
      <c r="V182" s="5"/>
    </row>
    <row r="183" spans="1:22" ht="15.6" x14ac:dyDescent="0.3">
      <c r="A183" s="6"/>
      <c r="B183" s="120" t="s">
        <v>69</v>
      </c>
      <c r="C183" s="8"/>
      <c r="D183" s="8"/>
      <c r="E183" s="8"/>
      <c r="F183" s="8"/>
      <c r="G183" s="8"/>
      <c r="H183" s="8"/>
      <c r="I183" s="8"/>
      <c r="J183" s="8"/>
      <c r="K183" s="8"/>
      <c r="L183" s="8"/>
      <c r="M183" s="8"/>
      <c r="N183" s="8"/>
      <c r="O183" s="8"/>
      <c r="P183" s="8"/>
      <c r="Q183" s="8"/>
      <c r="R183" s="8"/>
      <c r="S183" s="8"/>
      <c r="T183" s="65"/>
      <c r="U183" s="8"/>
      <c r="V183" s="5"/>
    </row>
    <row r="184" spans="1:22" ht="15.6" x14ac:dyDescent="0.3">
      <c r="A184" s="24"/>
      <c r="B184" s="25" t="s">
        <v>70</v>
      </c>
      <c r="C184" s="25"/>
      <c r="D184" s="25"/>
      <c r="E184" s="25"/>
      <c r="F184" s="25"/>
      <c r="G184" s="25"/>
      <c r="H184" s="25"/>
      <c r="I184" s="25"/>
      <c r="J184" s="25"/>
      <c r="K184" s="25"/>
      <c r="L184" s="25"/>
      <c r="M184" s="25"/>
      <c r="N184" s="25"/>
      <c r="O184" s="25"/>
      <c r="P184" s="25"/>
      <c r="Q184" s="25"/>
      <c r="R184" s="25"/>
      <c r="S184" s="25"/>
      <c r="T184" s="59">
        <f>(T97+T99+T100+T101+T102+T103)/-(T104+T105+T106)</f>
        <v>1.451516387868897</v>
      </c>
      <c r="U184" s="25" t="s">
        <v>124</v>
      </c>
      <c r="V184" s="5"/>
    </row>
    <row r="185" spans="1:22" ht="15.6" x14ac:dyDescent="0.3">
      <c r="A185" s="24"/>
      <c r="B185" s="25" t="s">
        <v>71</v>
      </c>
      <c r="C185" s="25"/>
      <c r="D185" s="25"/>
      <c r="E185" s="25"/>
      <c r="F185" s="25"/>
      <c r="G185" s="25"/>
      <c r="H185" s="25"/>
      <c r="I185" s="25"/>
      <c r="J185" s="25"/>
      <c r="K185" s="25"/>
      <c r="L185" s="25"/>
      <c r="M185" s="25"/>
      <c r="N185" s="25"/>
      <c r="O185" s="25"/>
      <c r="P185" s="25"/>
      <c r="Q185" s="25"/>
      <c r="R185" s="25"/>
      <c r="S185" s="25"/>
      <c r="T185" s="66">
        <v>1.38</v>
      </c>
      <c r="U185" s="25" t="s">
        <v>124</v>
      </c>
      <c r="V185" s="5"/>
    </row>
    <row r="186" spans="1:22" ht="15.6" x14ac:dyDescent="0.3">
      <c r="A186" s="24"/>
      <c r="B186" s="25" t="s">
        <v>72</v>
      </c>
      <c r="C186" s="25"/>
      <c r="D186" s="25"/>
      <c r="E186" s="25"/>
      <c r="F186" s="25"/>
      <c r="G186" s="25"/>
      <c r="H186" s="25"/>
      <c r="I186" s="25"/>
      <c r="J186" s="25"/>
      <c r="K186" s="25"/>
      <c r="L186" s="25"/>
      <c r="M186" s="25"/>
      <c r="N186" s="25"/>
      <c r="O186" s="25"/>
      <c r="P186" s="25"/>
      <c r="Q186" s="25"/>
      <c r="R186" s="25"/>
      <c r="S186" s="25"/>
      <c r="T186" s="59">
        <f>(T97+T99+T100+T101+T102+T103+T104+T105+T106)/-(T107+T108)</f>
        <v>7.9616306954436453</v>
      </c>
      <c r="U186" s="25" t="s">
        <v>124</v>
      </c>
      <c r="V186" s="5"/>
    </row>
    <row r="187" spans="1:22" ht="15.6" x14ac:dyDescent="0.3">
      <c r="A187" s="24"/>
      <c r="B187" s="25" t="s">
        <v>73</v>
      </c>
      <c r="C187" s="25"/>
      <c r="D187" s="25"/>
      <c r="E187" s="25"/>
      <c r="F187" s="25"/>
      <c r="G187" s="25"/>
      <c r="H187" s="25"/>
      <c r="I187" s="25"/>
      <c r="J187" s="25"/>
      <c r="K187" s="25"/>
      <c r="L187" s="25"/>
      <c r="M187" s="25"/>
      <c r="N187" s="25"/>
      <c r="O187" s="25"/>
      <c r="P187" s="25"/>
      <c r="Q187" s="25"/>
      <c r="R187" s="25"/>
      <c r="S187" s="25"/>
      <c r="T187" s="67">
        <v>7.51</v>
      </c>
      <c r="U187" s="25" t="s">
        <v>124</v>
      </c>
      <c r="V187" s="5"/>
    </row>
    <row r="188" spans="1:22" ht="15.6" x14ac:dyDescent="0.3">
      <c r="A188" s="24"/>
      <c r="B188" s="25" t="s">
        <v>243</v>
      </c>
      <c r="C188" s="25"/>
      <c r="D188" s="25"/>
      <c r="E188" s="25"/>
      <c r="F188" s="25"/>
      <c r="G188" s="25"/>
      <c r="H188" s="25"/>
      <c r="I188" s="25"/>
      <c r="J188" s="25"/>
      <c r="K188" s="25"/>
      <c r="L188" s="25"/>
      <c r="M188" s="25"/>
      <c r="N188" s="25"/>
      <c r="O188" s="25"/>
      <c r="P188" s="25"/>
      <c r="Q188" s="25"/>
      <c r="R188" s="25"/>
      <c r="S188" s="25"/>
      <c r="T188" s="59">
        <f>(T97+T99+T100+T101+T102+T103+T104+T105+T106+T107+T108)/-(T109+T110)</f>
        <v>3.775032509752926</v>
      </c>
      <c r="U188" s="25" t="s">
        <v>124</v>
      </c>
      <c r="V188" s="5"/>
    </row>
    <row r="189" spans="1:22" ht="15.6" x14ac:dyDescent="0.3">
      <c r="A189" s="24"/>
      <c r="B189" s="25" t="s">
        <v>244</v>
      </c>
      <c r="C189" s="25"/>
      <c r="D189" s="25"/>
      <c r="E189" s="25"/>
      <c r="F189" s="25"/>
      <c r="G189" s="25"/>
      <c r="H189" s="25"/>
      <c r="I189" s="25"/>
      <c r="J189" s="25"/>
      <c r="K189" s="25"/>
      <c r="L189" s="25"/>
      <c r="M189" s="25"/>
      <c r="N189" s="25"/>
      <c r="O189" s="25"/>
      <c r="P189" s="25"/>
      <c r="Q189" s="25"/>
      <c r="R189" s="25"/>
      <c r="S189" s="25"/>
      <c r="T189" s="67">
        <v>3.51</v>
      </c>
      <c r="U189" s="25" t="s">
        <v>124</v>
      </c>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ht="15.6" x14ac:dyDescent="0.3">
      <c r="A192" s="6"/>
      <c r="B192" s="8"/>
      <c r="C192" s="8"/>
      <c r="D192" s="8"/>
      <c r="E192" s="8"/>
      <c r="F192" s="8"/>
      <c r="G192" s="8"/>
      <c r="H192" s="8"/>
      <c r="I192" s="8"/>
      <c r="J192" s="8"/>
      <c r="K192" s="8"/>
      <c r="L192" s="8"/>
      <c r="M192" s="8"/>
      <c r="N192" s="8"/>
      <c r="O192" s="8"/>
      <c r="P192" s="8"/>
      <c r="Q192" s="8"/>
      <c r="R192" s="8"/>
      <c r="S192" s="8"/>
      <c r="T192" s="8"/>
      <c r="U192" s="8"/>
      <c r="V192" s="5"/>
    </row>
    <row r="193" spans="1:22" ht="18" thickBot="1" x14ac:dyDescent="0.35">
      <c r="A193" s="102"/>
      <c r="B193" s="103" t="str">
        <f>B133</f>
        <v>PM9 INVESTOR REPORT QUARTER ENDING JULY 2007</v>
      </c>
      <c r="C193" s="162"/>
      <c r="D193" s="162"/>
      <c r="E193" s="162"/>
      <c r="F193" s="162"/>
      <c r="G193" s="162"/>
      <c r="H193" s="162"/>
      <c r="I193" s="162"/>
      <c r="J193" s="162"/>
      <c r="K193" s="162"/>
      <c r="L193" s="162"/>
      <c r="M193" s="162"/>
      <c r="N193" s="162"/>
      <c r="O193" s="162"/>
      <c r="P193" s="162"/>
      <c r="Q193" s="162"/>
      <c r="R193" s="162"/>
      <c r="S193" s="162"/>
      <c r="T193" s="162"/>
      <c r="U193" s="163"/>
      <c r="V193" s="5"/>
    </row>
    <row r="194" spans="1:22" ht="15.6" x14ac:dyDescent="0.3">
      <c r="A194" s="68"/>
      <c r="B194" s="60" t="s">
        <v>74</v>
      </c>
      <c r="C194" s="69"/>
      <c r="D194" s="69"/>
      <c r="E194" s="69"/>
      <c r="F194" s="69"/>
      <c r="G194" s="70"/>
      <c r="H194" s="70"/>
      <c r="I194" s="70"/>
      <c r="J194" s="70"/>
      <c r="K194" s="70"/>
      <c r="L194" s="70"/>
      <c r="M194" s="70"/>
      <c r="N194" s="70"/>
      <c r="O194" s="70"/>
      <c r="P194" s="70"/>
      <c r="Q194" s="70"/>
      <c r="R194" s="71">
        <v>39294</v>
      </c>
      <c r="S194" s="4"/>
      <c r="T194" s="4"/>
      <c r="U194" s="4"/>
      <c r="V194" s="5"/>
    </row>
    <row r="195" spans="1:22" ht="15.6" x14ac:dyDescent="0.3">
      <c r="A195" s="72"/>
      <c r="B195" s="73"/>
      <c r="C195" s="74"/>
      <c r="D195" s="74"/>
      <c r="E195" s="74"/>
      <c r="F195" s="74"/>
      <c r="G195" s="75"/>
      <c r="H195" s="75"/>
      <c r="I195" s="75"/>
      <c r="J195" s="75"/>
      <c r="K195" s="75"/>
      <c r="L195" s="75"/>
      <c r="M195" s="75"/>
      <c r="N195" s="75"/>
      <c r="O195" s="75"/>
      <c r="P195" s="75"/>
      <c r="Q195" s="75"/>
      <c r="R195" s="75"/>
      <c r="S195" s="8"/>
      <c r="T195" s="8"/>
      <c r="U195" s="8"/>
      <c r="V195" s="5"/>
    </row>
    <row r="196" spans="1:22" ht="15.6" x14ac:dyDescent="0.3">
      <c r="A196" s="76"/>
      <c r="B196" s="77" t="s">
        <v>75</v>
      </c>
      <c r="C196" s="78"/>
      <c r="D196" s="78"/>
      <c r="E196" s="78"/>
      <c r="F196" s="78"/>
      <c r="G196" s="64"/>
      <c r="H196" s="64"/>
      <c r="I196" s="64"/>
      <c r="J196" s="64"/>
      <c r="K196" s="64"/>
      <c r="L196" s="64"/>
      <c r="M196" s="64"/>
      <c r="N196" s="64"/>
      <c r="O196" s="64"/>
      <c r="P196" s="64"/>
      <c r="Q196" s="64"/>
      <c r="R196" s="79">
        <v>5.8209999999999998E-2</v>
      </c>
      <c r="S196" s="25"/>
      <c r="T196" s="25"/>
      <c r="U196" s="25"/>
      <c r="V196" s="5"/>
    </row>
    <row r="197" spans="1:22" ht="15.6" x14ac:dyDescent="0.3">
      <c r="A197" s="76"/>
      <c r="B197" s="77" t="s">
        <v>164</v>
      </c>
      <c r="C197" s="78"/>
      <c r="D197" s="78"/>
      <c r="E197" s="78"/>
      <c r="F197" s="78"/>
      <c r="G197" s="64"/>
      <c r="H197" s="64"/>
      <c r="I197" s="64"/>
      <c r="J197" s="64"/>
      <c r="K197" s="64"/>
      <c r="L197" s="64"/>
      <c r="M197" s="64"/>
      <c r="N197" s="64"/>
      <c r="O197" s="64"/>
      <c r="P197" s="64"/>
      <c r="Q197" s="64"/>
      <c r="R197" s="39">
        <f>'Oct 05'!R193</f>
        <v>4.8438496428571419E-2</v>
      </c>
      <c r="S197" s="25"/>
      <c r="T197" s="25"/>
      <c r="U197" s="25"/>
      <c r="V197" s="5"/>
    </row>
    <row r="198" spans="1:22" ht="15.6" x14ac:dyDescent="0.3">
      <c r="A198" s="76"/>
      <c r="B198" s="77" t="s">
        <v>76</v>
      </c>
      <c r="C198" s="78"/>
      <c r="D198" s="78"/>
      <c r="E198" s="78"/>
      <c r="F198" s="78"/>
      <c r="G198" s="64"/>
      <c r="H198" s="64"/>
      <c r="I198" s="64"/>
      <c r="J198" s="64"/>
      <c r="K198" s="64"/>
      <c r="L198" s="64"/>
      <c r="M198" s="64"/>
      <c r="N198" s="64"/>
      <c r="O198" s="64"/>
      <c r="P198" s="64"/>
      <c r="Q198" s="64"/>
      <c r="R198" s="79">
        <f>R196-R197</f>
        <v>9.7715035714285789E-3</v>
      </c>
      <c r="S198" s="25"/>
      <c r="T198" s="25"/>
      <c r="U198" s="25"/>
      <c r="V198" s="5"/>
    </row>
    <row r="199" spans="1:22" ht="15.6" x14ac:dyDescent="0.3">
      <c r="A199" s="76"/>
      <c r="B199" s="77" t="s">
        <v>77</v>
      </c>
      <c r="C199" s="78"/>
      <c r="D199" s="78"/>
      <c r="E199" s="78"/>
      <c r="F199" s="78"/>
      <c r="G199" s="64"/>
      <c r="H199" s="64"/>
      <c r="I199" s="64"/>
      <c r="J199" s="64"/>
      <c r="K199" s="64"/>
      <c r="L199" s="64"/>
      <c r="M199" s="64"/>
      <c r="N199" s="64"/>
      <c r="O199" s="64"/>
      <c r="P199" s="64"/>
      <c r="Q199" s="64"/>
      <c r="R199" s="79">
        <v>6.7540000000000003E-2</v>
      </c>
      <c r="S199" s="25"/>
      <c r="T199" s="25"/>
      <c r="U199" s="25"/>
      <c r="V199" s="5"/>
    </row>
    <row r="200" spans="1:22" ht="15.6" x14ac:dyDescent="0.3">
      <c r="A200" s="76"/>
      <c r="B200" s="77" t="s">
        <v>257</v>
      </c>
      <c r="C200" s="78"/>
      <c r="D200" s="78"/>
      <c r="E200" s="78"/>
      <c r="F200" s="78"/>
      <c r="G200" s="64"/>
      <c r="H200" s="64"/>
      <c r="I200" s="64"/>
      <c r="J200" s="64"/>
      <c r="K200" s="64"/>
      <c r="L200" s="64"/>
      <c r="M200" s="64"/>
      <c r="N200" s="64"/>
      <c r="O200" s="64"/>
      <c r="P200" s="64"/>
      <c r="Q200" s="64"/>
      <c r="R200" s="79">
        <f>+T41</f>
        <v>5.9773175185122561E-2</v>
      </c>
      <c r="S200" s="25"/>
      <c r="T200" s="25"/>
      <c r="U200" s="25"/>
      <c r="V200" s="5"/>
    </row>
    <row r="201" spans="1:22" ht="15.6" x14ac:dyDescent="0.3">
      <c r="A201" s="76"/>
      <c r="B201" s="77" t="s">
        <v>78</v>
      </c>
      <c r="C201" s="78"/>
      <c r="D201" s="78"/>
      <c r="E201" s="78"/>
      <c r="F201" s="78"/>
      <c r="G201" s="64"/>
      <c r="H201" s="64"/>
      <c r="I201" s="64"/>
      <c r="J201" s="64"/>
      <c r="K201" s="64"/>
      <c r="L201" s="64"/>
      <c r="M201" s="64"/>
      <c r="N201" s="64"/>
      <c r="O201" s="64"/>
      <c r="P201" s="64"/>
      <c r="Q201" s="64"/>
      <c r="R201" s="79">
        <f>R199-R200</f>
        <v>7.7668248148774419E-3</v>
      </c>
      <c r="S201" s="25"/>
      <c r="T201" s="25"/>
      <c r="U201" s="25"/>
      <c r="V201" s="5"/>
    </row>
    <row r="202" spans="1:22" ht="15.6" x14ac:dyDescent="0.3">
      <c r="A202" s="76"/>
      <c r="B202" s="77" t="s">
        <v>268</v>
      </c>
      <c r="C202" s="78"/>
      <c r="D202" s="78"/>
      <c r="E202" s="78"/>
      <c r="F202" s="78"/>
      <c r="G202" s="64"/>
      <c r="H202" s="64"/>
      <c r="I202" s="64"/>
      <c r="J202" s="64"/>
      <c r="K202" s="64"/>
      <c r="L202" s="64"/>
      <c r="M202" s="64"/>
      <c r="N202" s="64"/>
      <c r="O202" s="64"/>
      <c r="P202" s="64"/>
      <c r="Q202" s="64"/>
      <c r="R202" s="79">
        <f>+T97/L69</f>
        <v>1.9277078676661275E-2</v>
      </c>
      <c r="S202" s="25"/>
      <c r="T202" s="25"/>
      <c r="U202" s="25"/>
      <c r="V202" s="5"/>
    </row>
    <row r="203" spans="1:22" ht="15.6" x14ac:dyDescent="0.3">
      <c r="A203" s="76"/>
      <c r="B203" s="77" t="s">
        <v>249</v>
      </c>
      <c r="C203" s="78"/>
      <c r="D203" s="78"/>
      <c r="E203" s="78"/>
      <c r="F203" s="78"/>
      <c r="G203" s="64"/>
      <c r="H203" s="64"/>
      <c r="I203" s="64"/>
      <c r="J203" s="64"/>
      <c r="K203" s="64"/>
      <c r="L203" s="64"/>
      <c r="M203" s="64"/>
      <c r="N203" s="64"/>
      <c r="O203" s="64"/>
      <c r="P203" s="64"/>
      <c r="Q203" s="64"/>
      <c r="R203" s="132">
        <v>51622</v>
      </c>
      <c r="S203" s="25"/>
      <c r="T203" s="25"/>
      <c r="U203" s="25"/>
      <c r="V203" s="5"/>
    </row>
    <row r="204" spans="1:22" ht="15.6" x14ac:dyDescent="0.3">
      <c r="A204" s="76"/>
      <c r="B204" s="77" t="s">
        <v>250</v>
      </c>
      <c r="C204" s="78"/>
      <c r="D204" s="78"/>
      <c r="E204" s="78"/>
      <c r="F204" s="78"/>
      <c r="G204" s="64"/>
      <c r="H204" s="64"/>
      <c r="I204" s="64"/>
      <c r="J204" s="64"/>
      <c r="K204" s="64"/>
      <c r="L204" s="64"/>
      <c r="M204" s="64"/>
      <c r="N204" s="64"/>
      <c r="O204" s="64"/>
      <c r="P204" s="64"/>
      <c r="Q204" s="64"/>
      <c r="R204" s="132">
        <v>51622</v>
      </c>
      <c r="S204" s="25"/>
      <c r="T204" s="25"/>
      <c r="U204" s="25"/>
      <c r="V204" s="5"/>
    </row>
    <row r="205" spans="1:22" ht="15.6" x14ac:dyDescent="0.3">
      <c r="A205" s="76"/>
      <c r="B205" s="77" t="s">
        <v>251</v>
      </c>
      <c r="C205" s="78"/>
      <c r="D205" s="78"/>
      <c r="E205" s="78"/>
      <c r="F205" s="78"/>
      <c r="G205" s="64"/>
      <c r="H205" s="64"/>
      <c r="I205" s="64"/>
      <c r="J205" s="64"/>
      <c r="K205" s="64"/>
      <c r="L205" s="64"/>
      <c r="M205" s="64"/>
      <c r="N205" s="64"/>
      <c r="O205" s="64"/>
      <c r="P205" s="64"/>
      <c r="Q205" s="64"/>
      <c r="R205" s="132">
        <v>51622</v>
      </c>
      <c r="S205" s="25"/>
      <c r="T205" s="25"/>
      <c r="U205" s="25"/>
      <c r="V205" s="5"/>
    </row>
    <row r="206" spans="1:22" ht="15.6" x14ac:dyDescent="0.3">
      <c r="A206" s="76"/>
      <c r="B206" s="77" t="s">
        <v>79</v>
      </c>
      <c r="C206" s="78"/>
      <c r="D206" s="78"/>
      <c r="E206" s="78"/>
      <c r="F206" s="78"/>
      <c r="G206" s="64"/>
      <c r="H206" s="64"/>
      <c r="I206" s="64"/>
      <c r="J206" s="64"/>
      <c r="K206" s="64"/>
      <c r="L206" s="64"/>
      <c r="M206" s="64"/>
      <c r="N206" s="64"/>
      <c r="O206" s="64"/>
      <c r="P206" s="64"/>
      <c r="Q206" s="64"/>
      <c r="R206" s="136">
        <v>20.95</v>
      </c>
      <c r="S206" s="25" t="s">
        <v>119</v>
      </c>
      <c r="T206" s="25"/>
      <c r="U206" s="25"/>
      <c r="V206" s="5"/>
    </row>
    <row r="207" spans="1:22" ht="15.6" x14ac:dyDescent="0.3">
      <c r="A207" s="76"/>
      <c r="B207" s="77" t="s">
        <v>80</v>
      </c>
      <c r="C207" s="78"/>
      <c r="D207" s="78"/>
      <c r="E207" s="78"/>
      <c r="F207" s="78"/>
      <c r="G207" s="64"/>
      <c r="H207" s="64"/>
      <c r="I207" s="64"/>
      <c r="J207" s="64"/>
      <c r="K207" s="64"/>
      <c r="L207" s="64"/>
      <c r="M207" s="64"/>
      <c r="N207" s="64"/>
      <c r="O207" s="64"/>
      <c r="P207" s="64"/>
      <c r="Q207" s="64"/>
      <c r="R207" s="136">
        <v>19.09</v>
      </c>
      <c r="S207" s="25" t="s">
        <v>119</v>
      </c>
      <c r="T207" s="25"/>
      <c r="U207" s="25"/>
      <c r="V207" s="5"/>
    </row>
    <row r="208" spans="1:22" ht="15.6" x14ac:dyDescent="0.3">
      <c r="A208" s="76"/>
      <c r="B208" s="77" t="s">
        <v>81</v>
      </c>
      <c r="C208" s="78"/>
      <c r="D208" s="78"/>
      <c r="E208" s="78"/>
      <c r="F208" s="78"/>
      <c r="G208" s="64"/>
      <c r="H208" s="64"/>
      <c r="I208" s="64"/>
      <c r="J208" s="64"/>
      <c r="K208" s="64"/>
      <c r="L208" s="64"/>
      <c r="M208" s="64"/>
      <c r="N208" s="64"/>
      <c r="O208" s="64"/>
      <c r="P208" s="64"/>
      <c r="Q208" s="64"/>
      <c r="R208" s="79">
        <f>+N66/L66</f>
        <v>0.13557641587822997</v>
      </c>
      <c r="S208" s="25"/>
      <c r="T208" s="25"/>
      <c r="U208" s="25"/>
      <c r="V208" s="5"/>
    </row>
    <row r="209" spans="1:22" ht="15.6" x14ac:dyDescent="0.3">
      <c r="A209" s="76"/>
      <c r="B209" s="77" t="s">
        <v>82</v>
      </c>
      <c r="C209" s="78"/>
      <c r="D209" s="78"/>
      <c r="E209" s="78"/>
      <c r="F209" s="78"/>
      <c r="G209" s="64"/>
      <c r="H209" s="64"/>
      <c r="I209" s="64"/>
      <c r="J209" s="64"/>
      <c r="K209" s="64"/>
      <c r="L209" s="64"/>
      <c r="M209" s="64"/>
      <c r="N209" s="64"/>
      <c r="O209" s="64"/>
      <c r="P209" s="64"/>
      <c r="Q209" s="64"/>
      <c r="R209" s="79">
        <v>0.17879999999999999</v>
      </c>
      <c r="S209" s="25"/>
      <c r="T209" s="25"/>
      <c r="U209" s="25"/>
      <c r="V209" s="5"/>
    </row>
    <row r="210" spans="1:22" ht="15.6" x14ac:dyDescent="0.3">
      <c r="A210" s="76"/>
      <c r="B210" s="77"/>
      <c r="C210" s="77"/>
      <c r="D210" s="77"/>
      <c r="E210" s="77"/>
      <c r="F210" s="77"/>
      <c r="G210" s="25"/>
      <c r="H210" s="25"/>
      <c r="I210" s="25"/>
      <c r="J210" s="25"/>
      <c r="K210" s="25"/>
      <c r="L210" s="25"/>
      <c r="M210" s="25"/>
      <c r="N210" s="25"/>
      <c r="O210" s="25"/>
      <c r="P210" s="25"/>
      <c r="Q210" s="25"/>
      <c r="R210" s="61"/>
      <c r="S210" s="25"/>
      <c r="T210" s="80"/>
      <c r="U210" s="25"/>
      <c r="V210" s="5"/>
    </row>
    <row r="211" spans="1:22" ht="15.6" x14ac:dyDescent="0.3">
      <c r="A211" s="81"/>
      <c r="B211" s="14" t="s">
        <v>83</v>
      </c>
      <c r="C211" s="82"/>
      <c r="D211" s="82"/>
      <c r="E211" s="82"/>
      <c r="F211" s="83"/>
      <c r="G211" s="82"/>
      <c r="H211" s="17"/>
      <c r="I211" s="17"/>
      <c r="J211" s="17"/>
      <c r="K211" s="17"/>
      <c r="L211" s="17"/>
      <c r="M211" s="17"/>
      <c r="N211" s="17"/>
      <c r="O211" s="17"/>
      <c r="P211" s="17"/>
      <c r="Q211" s="17" t="s">
        <v>108</v>
      </c>
      <c r="R211" s="84" t="s">
        <v>115</v>
      </c>
      <c r="S211" s="8"/>
      <c r="T211" s="8"/>
      <c r="U211" s="8"/>
      <c r="V211" s="5"/>
    </row>
    <row r="212" spans="1:22" ht="15.6" x14ac:dyDescent="0.3">
      <c r="A212" s="85"/>
      <c r="B212" s="77" t="s">
        <v>84</v>
      </c>
      <c r="C212" s="54"/>
      <c r="D212" s="54"/>
      <c r="E212" s="54"/>
      <c r="F212" s="25"/>
      <c r="G212" s="25"/>
      <c r="H212" s="30"/>
      <c r="I212" s="30"/>
      <c r="J212" s="30"/>
      <c r="K212" s="30"/>
      <c r="L212" s="30"/>
      <c r="M212" s="30"/>
      <c r="N212" s="30"/>
      <c r="O212" s="30"/>
      <c r="P212" s="30"/>
      <c r="Q212" s="30">
        <v>1</v>
      </c>
      <c r="R212" s="86">
        <v>94</v>
      </c>
      <c r="S212" s="25"/>
      <c r="T212" s="80"/>
      <c r="U212" s="87"/>
      <c r="V212" s="5"/>
    </row>
    <row r="213" spans="1:22" ht="15.6" x14ac:dyDescent="0.3">
      <c r="A213" s="85"/>
      <c r="B213" s="77" t="s">
        <v>156</v>
      </c>
      <c r="C213" s="54"/>
      <c r="D213" s="54"/>
      <c r="E213" s="54"/>
      <c r="F213" s="25"/>
      <c r="G213" s="25"/>
      <c r="H213" s="30"/>
      <c r="I213" s="30"/>
      <c r="J213" s="30"/>
      <c r="K213" s="30"/>
      <c r="L213" s="30"/>
      <c r="M213" s="30"/>
      <c r="N213" s="30"/>
      <c r="O213" s="30"/>
      <c r="P213" s="30"/>
      <c r="Q213" s="156">
        <f>+P252</f>
        <v>31</v>
      </c>
      <c r="R213" s="86">
        <f>+R252</f>
        <v>4287</v>
      </c>
      <c r="S213" s="25"/>
      <c r="T213" s="80"/>
      <c r="U213" s="87"/>
      <c r="V213" s="5"/>
    </row>
    <row r="214" spans="1:22" ht="15.6" x14ac:dyDescent="0.3">
      <c r="A214" s="85"/>
      <c r="B214" s="77" t="s">
        <v>85</v>
      </c>
      <c r="C214" s="54"/>
      <c r="D214" s="54"/>
      <c r="E214" s="54"/>
      <c r="F214" s="25"/>
      <c r="G214" s="25"/>
      <c r="H214" s="30"/>
      <c r="I214" s="30"/>
      <c r="J214" s="30"/>
      <c r="K214" s="30"/>
      <c r="L214" s="30"/>
      <c r="M214" s="30"/>
      <c r="N214" s="30"/>
      <c r="O214" s="30"/>
      <c r="P214" s="30"/>
      <c r="Q214" s="30">
        <v>0</v>
      </c>
      <c r="R214" s="86">
        <v>0</v>
      </c>
      <c r="S214" s="25"/>
      <c r="T214" s="80"/>
      <c r="U214" s="87"/>
      <c r="V214" s="5"/>
    </row>
    <row r="215" spans="1:22" ht="15.6" x14ac:dyDescent="0.3">
      <c r="A215" s="85"/>
      <c r="B215" s="123" t="s">
        <v>86</v>
      </c>
      <c r="C215" s="54"/>
      <c r="D215" s="54"/>
      <c r="E215" s="54"/>
      <c r="F215" s="25"/>
      <c r="G215" s="25"/>
      <c r="H215" s="25"/>
      <c r="I215" s="25"/>
      <c r="J215" s="25"/>
      <c r="K215" s="25"/>
      <c r="L215" s="25"/>
      <c r="M215" s="25"/>
      <c r="N215" s="25"/>
      <c r="O215" s="25"/>
      <c r="P215" s="25"/>
      <c r="Q215" s="25"/>
      <c r="R215" s="86">
        <v>0</v>
      </c>
      <c r="S215" s="25"/>
      <c r="T215" s="80"/>
      <c r="U215" s="87"/>
      <c r="V215" s="5"/>
    </row>
    <row r="216" spans="1:22" ht="15.6" x14ac:dyDescent="0.3">
      <c r="A216" s="85"/>
      <c r="B216" s="123" t="s">
        <v>87</v>
      </c>
      <c r="C216" s="54"/>
      <c r="D216" s="54"/>
      <c r="E216" s="54"/>
      <c r="F216" s="25"/>
      <c r="G216" s="25"/>
      <c r="H216" s="25"/>
      <c r="I216" s="25"/>
      <c r="J216" s="25"/>
      <c r="K216" s="25"/>
      <c r="L216" s="25"/>
      <c r="M216" s="25"/>
      <c r="N216" s="25"/>
      <c r="O216" s="25"/>
      <c r="P216" s="25"/>
      <c r="Q216" s="25"/>
      <c r="R216" s="62" t="s">
        <v>116</v>
      </c>
      <c r="S216" s="25"/>
      <c r="T216" s="80"/>
      <c r="U216" s="87"/>
      <c r="V216" s="5"/>
    </row>
    <row r="217" spans="1:22" ht="15.6" x14ac:dyDescent="0.3">
      <c r="A217" s="88"/>
      <c r="B217" s="123" t="s">
        <v>88</v>
      </c>
      <c r="C217" s="77"/>
      <c r="D217" s="77"/>
      <c r="E217" s="77"/>
      <c r="F217" s="77"/>
      <c r="G217" s="25"/>
      <c r="H217" s="25"/>
      <c r="I217" s="25"/>
      <c r="J217" s="25"/>
      <c r="K217" s="25"/>
      <c r="L217" s="25"/>
      <c r="M217" s="25"/>
      <c r="N217" s="25"/>
      <c r="O217" s="25"/>
      <c r="P217" s="25"/>
      <c r="Q217" s="25"/>
      <c r="R217" s="86"/>
      <c r="S217" s="25"/>
      <c r="T217" s="80"/>
      <c r="U217" s="89"/>
      <c r="V217" s="5"/>
    </row>
    <row r="218" spans="1:22" ht="15.6" x14ac:dyDescent="0.3">
      <c r="A218" s="88"/>
      <c r="B218" s="134" t="s">
        <v>89</v>
      </c>
      <c r="C218" s="77"/>
      <c r="D218" s="77"/>
      <c r="E218" s="77"/>
      <c r="F218" s="77"/>
      <c r="G218" s="25"/>
      <c r="H218" s="25"/>
      <c r="I218" s="25"/>
      <c r="J218" s="25"/>
      <c r="K218" s="25"/>
      <c r="L218" s="25"/>
      <c r="M218" s="25"/>
      <c r="N218" s="25"/>
      <c r="O218" s="25"/>
      <c r="P218" s="25"/>
      <c r="Q218" s="30"/>
      <c r="R218" s="86">
        <f>T163</f>
        <v>143</v>
      </c>
      <c r="S218" s="25"/>
      <c r="T218" s="80"/>
      <c r="U218" s="89"/>
      <c r="V218" s="5"/>
    </row>
    <row r="219" spans="1:22" ht="15.6" x14ac:dyDescent="0.3">
      <c r="A219" s="85"/>
      <c r="B219" s="77" t="s">
        <v>90</v>
      </c>
      <c r="C219" s="54"/>
      <c r="D219" s="54"/>
      <c r="E219" s="54"/>
      <c r="F219" s="54"/>
      <c r="G219" s="25"/>
      <c r="H219" s="25"/>
      <c r="I219" s="25"/>
      <c r="J219" s="25"/>
      <c r="K219" s="25"/>
      <c r="L219" s="25"/>
      <c r="M219" s="25"/>
      <c r="N219" s="25"/>
      <c r="O219" s="25"/>
      <c r="P219" s="25"/>
      <c r="Q219" s="30"/>
      <c r="R219" s="86">
        <f>'April 07'!R219+'July 07'!R218</f>
        <v>213</v>
      </c>
      <c r="S219" s="25"/>
      <c r="T219" s="80"/>
      <c r="U219" s="89"/>
      <c r="V219" s="5"/>
    </row>
    <row r="220" spans="1:22" ht="15.6" x14ac:dyDescent="0.3">
      <c r="A220" s="88"/>
      <c r="B220" s="123" t="s">
        <v>288</v>
      </c>
      <c r="C220" s="77"/>
      <c r="D220" s="77"/>
      <c r="E220" s="77"/>
      <c r="F220" s="77"/>
      <c r="G220" s="25"/>
      <c r="H220" s="25"/>
      <c r="I220" s="25"/>
      <c r="J220" s="25"/>
      <c r="K220" s="25"/>
      <c r="L220" s="25"/>
      <c r="M220" s="25"/>
      <c r="N220" s="25"/>
      <c r="O220" s="25"/>
      <c r="P220" s="25"/>
      <c r="Q220" s="30"/>
      <c r="R220" s="86"/>
      <c r="S220" s="25"/>
      <c r="T220" s="80"/>
      <c r="U220" s="89"/>
      <c r="V220" s="5"/>
    </row>
    <row r="221" spans="1:22" ht="15.6" x14ac:dyDescent="0.3">
      <c r="A221" s="88"/>
      <c r="B221" s="77" t="s">
        <v>286</v>
      </c>
      <c r="C221" s="77"/>
      <c r="D221" s="77"/>
      <c r="E221" s="77"/>
      <c r="F221" s="77"/>
      <c r="G221" s="25"/>
      <c r="H221" s="25"/>
      <c r="I221" s="25"/>
      <c r="J221" s="25"/>
      <c r="K221" s="25"/>
      <c r="L221" s="25"/>
      <c r="M221" s="25"/>
      <c r="N221" s="25"/>
      <c r="O221" s="25"/>
      <c r="P221" s="25"/>
      <c r="Q221" s="30">
        <v>0</v>
      </c>
      <c r="R221" s="86">
        <v>0</v>
      </c>
      <c r="S221" s="25"/>
      <c r="T221" s="80"/>
      <c r="U221" s="89"/>
      <c r="V221" s="5"/>
    </row>
    <row r="222" spans="1:22" ht="15.6" x14ac:dyDescent="0.3">
      <c r="A222" s="85"/>
      <c r="B222" s="77" t="s">
        <v>92</v>
      </c>
      <c r="C222" s="90"/>
      <c r="D222" s="90"/>
      <c r="E222" s="90"/>
      <c r="F222" s="91"/>
      <c r="G222" s="25"/>
      <c r="H222" s="25"/>
      <c r="I222" s="25"/>
      <c r="J222" s="25"/>
      <c r="K222" s="25"/>
      <c r="L222" s="25"/>
      <c r="M222" s="25"/>
      <c r="N222" s="25"/>
      <c r="O222" s="25"/>
      <c r="P222" s="25"/>
      <c r="Q222" s="30"/>
      <c r="R222" s="62">
        <v>0</v>
      </c>
      <c r="S222" s="25"/>
      <c r="T222" s="80"/>
      <c r="U222" s="89"/>
      <c r="V222" s="5"/>
    </row>
    <row r="223" spans="1:22" ht="15.6" x14ac:dyDescent="0.3">
      <c r="A223" s="85"/>
      <c r="B223" s="77" t="s">
        <v>93</v>
      </c>
      <c r="C223" s="90"/>
      <c r="D223" s="90"/>
      <c r="E223" s="90"/>
      <c r="F223" s="91"/>
      <c r="G223" s="25"/>
      <c r="H223" s="25"/>
      <c r="I223" s="25"/>
      <c r="J223" s="25"/>
      <c r="K223" s="25"/>
      <c r="L223" s="25"/>
      <c r="M223" s="25"/>
      <c r="N223" s="25"/>
      <c r="O223" s="25"/>
      <c r="P223" s="25"/>
      <c r="Q223" s="30"/>
      <c r="R223" s="62">
        <v>0</v>
      </c>
      <c r="S223" s="25"/>
      <c r="T223" s="80"/>
      <c r="U223" s="89"/>
      <c r="V223" s="5"/>
    </row>
    <row r="224" spans="1:22" ht="15.6" x14ac:dyDescent="0.3">
      <c r="A224" s="85"/>
      <c r="B224" s="123" t="s">
        <v>258</v>
      </c>
      <c r="C224" s="90"/>
      <c r="D224" s="90"/>
      <c r="E224" s="90"/>
      <c r="F224" s="91"/>
      <c r="G224" s="25"/>
      <c r="H224" s="25"/>
      <c r="I224" s="25"/>
      <c r="J224" s="25"/>
      <c r="K224" s="25"/>
      <c r="L224" s="25"/>
      <c r="M224" s="25"/>
      <c r="N224" s="25"/>
      <c r="O224" s="25"/>
      <c r="P224" s="25"/>
      <c r="Q224" s="30"/>
      <c r="R224" s="92"/>
      <c r="S224" s="25"/>
      <c r="T224" s="80"/>
      <c r="U224" s="89"/>
      <c r="V224" s="5"/>
    </row>
    <row r="225" spans="1:23" ht="15.6" x14ac:dyDescent="0.3">
      <c r="A225" s="85"/>
      <c r="B225" s="77" t="s">
        <v>286</v>
      </c>
      <c r="C225" s="90"/>
      <c r="D225" s="90"/>
      <c r="E225" s="90"/>
      <c r="F225" s="91"/>
      <c r="G225" s="25"/>
      <c r="H225" s="25"/>
      <c r="I225" s="25"/>
      <c r="J225" s="25"/>
      <c r="K225" s="25"/>
      <c r="L225" s="25"/>
      <c r="M225" s="25"/>
      <c r="N225" s="25"/>
      <c r="O225" s="25"/>
      <c r="P225" s="25"/>
      <c r="Q225" s="30">
        <v>3</v>
      </c>
      <c r="R225" s="86">
        <v>507</v>
      </c>
      <c r="S225" s="25"/>
      <c r="T225" s="80"/>
      <c r="U225" s="89"/>
      <c r="V225" s="5"/>
    </row>
    <row r="226" spans="1:23" ht="15.6" x14ac:dyDescent="0.3">
      <c r="A226" s="85"/>
      <c r="B226" s="77" t="s">
        <v>259</v>
      </c>
      <c r="C226" s="90"/>
      <c r="D226" s="90"/>
      <c r="E226" s="90"/>
      <c r="F226" s="91"/>
      <c r="G226" s="25"/>
      <c r="H226" s="25"/>
      <c r="I226" s="25"/>
      <c r="J226" s="25"/>
      <c r="K226" s="25"/>
      <c r="L226" s="25"/>
      <c r="M226" s="25"/>
      <c r="N226" s="25"/>
      <c r="O226" s="25"/>
      <c r="P226" s="25"/>
      <c r="Q226" s="25"/>
      <c r="R226" s="62">
        <v>18.329999999999998</v>
      </c>
      <c r="S226" s="25"/>
      <c r="T226" s="80"/>
      <c r="U226" s="89"/>
      <c r="V226" s="5"/>
    </row>
    <row r="227" spans="1:23" ht="15.6" x14ac:dyDescent="0.3">
      <c r="A227" s="85"/>
      <c r="B227" s="77"/>
      <c r="C227" s="90"/>
      <c r="D227" s="90"/>
      <c r="E227" s="90"/>
      <c r="F227" s="91"/>
      <c r="G227" s="25"/>
      <c r="H227" s="25"/>
      <c r="I227" s="25"/>
      <c r="J227" s="25"/>
      <c r="K227" s="25"/>
      <c r="L227" s="25"/>
      <c r="M227" s="25"/>
      <c r="N227" s="25"/>
      <c r="O227" s="25"/>
      <c r="P227" s="25"/>
      <c r="Q227" s="25"/>
      <c r="R227" s="92"/>
      <c r="S227" s="25"/>
      <c r="T227" s="80"/>
      <c r="U227" s="89"/>
      <c r="V227" s="5"/>
    </row>
    <row r="228" spans="1:23" ht="17.399999999999999" x14ac:dyDescent="0.3">
      <c r="A228" s="85"/>
      <c r="B228" s="153" t="s">
        <v>208</v>
      </c>
      <c r="C228" s="90"/>
      <c r="D228" s="90"/>
      <c r="E228" s="90"/>
      <c r="F228" s="91"/>
      <c r="G228" s="25"/>
      <c r="H228" s="25"/>
      <c r="I228" s="25"/>
      <c r="J228" s="25"/>
      <c r="K228" s="25"/>
      <c r="L228" s="25"/>
      <c r="M228" s="25"/>
      <c r="N228" s="154" t="s">
        <v>207</v>
      </c>
      <c r="O228" s="25"/>
      <c r="P228" s="25"/>
      <c r="Q228" s="25"/>
      <c r="R228" s="92"/>
      <c r="S228" s="25"/>
      <c r="T228" s="80"/>
      <c r="U228" s="89"/>
      <c r="V228" s="5"/>
    </row>
    <row r="229" spans="1:23" ht="15.6" x14ac:dyDescent="0.3">
      <c r="A229" s="85"/>
      <c r="B229" s="77"/>
      <c r="C229" s="90"/>
      <c r="D229" s="90"/>
      <c r="E229" s="90"/>
      <c r="F229" s="91"/>
      <c r="G229" s="25"/>
      <c r="H229" s="25"/>
      <c r="I229" s="25"/>
      <c r="J229" s="25"/>
      <c r="K229" s="25"/>
      <c r="L229" s="25"/>
      <c r="M229" s="25"/>
      <c r="N229" s="25"/>
      <c r="O229" s="25"/>
      <c r="P229" s="25"/>
      <c r="Q229" s="25"/>
      <c r="R229" s="92"/>
      <c r="S229" s="25"/>
      <c r="T229" s="80"/>
      <c r="U229" s="89"/>
      <c r="V229" s="5"/>
    </row>
    <row r="230" spans="1:23" ht="15.6" x14ac:dyDescent="0.3">
      <c r="A230" s="6"/>
      <c r="B230" s="14" t="s">
        <v>177</v>
      </c>
      <c r="C230" s="82"/>
      <c r="D230" s="82"/>
      <c r="E230" s="82"/>
      <c r="F230" s="83"/>
      <c r="G230" s="82"/>
      <c r="H230" s="17"/>
      <c r="I230" s="17"/>
      <c r="J230" s="17"/>
      <c r="K230" s="17"/>
      <c r="L230" s="17"/>
      <c r="M230" s="17"/>
      <c r="N230" s="17"/>
      <c r="O230" s="17"/>
      <c r="P230" s="84" t="s">
        <v>108</v>
      </c>
      <c r="Q230" s="17" t="s">
        <v>109</v>
      </c>
      <c r="R230" s="84" t="s">
        <v>117</v>
      </c>
      <c r="S230" s="17" t="s">
        <v>109</v>
      </c>
      <c r="T230" s="8"/>
      <c r="U230" s="93"/>
      <c r="V230" s="5"/>
    </row>
    <row r="231" spans="1:23" ht="15.6" x14ac:dyDescent="0.3">
      <c r="A231" s="24"/>
      <c r="B231" s="54" t="s">
        <v>94</v>
      </c>
      <c r="C231" s="94"/>
      <c r="D231" s="94"/>
      <c r="E231" s="94"/>
      <c r="F231" s="25"/>
      <c r="G231" s="94"/>
      <c r="H231" s="94"/>
      <c r="I231" s="94"/>
      <c r="J231" s="94"/>
      <c r="K231" s="94"/>
      <c r="L231" s="94"/>
      <c r="M231" s="94"/>
      <c r="N231" s="94"/>
      <c r="O231" s="94"/>
      <c r="P231" s="54">
        <v>4209</v>
      </c>
      <c r="Q231" s="95">
        <f t="shared" ref="Q231:Q238" si="1">P231/$P$240</f>
        <v>0.98640731192875553</v>
      </c>
      <c r="R231" s="53">
        <v>480985</v>
      </c>
      <c r="S231" s="135">
        <f t="shared" ref="S231:S238" si="2">R231/$R$240</f>
        <v>0.98394342455721162</v>
      </c>
      <c r="T231" s="80"/>
      <c r="U231" s="89"/>
      <c r="V231" s="5"/>
    </row>
    <row r="232" spans="1:23" ht="15.6" x14ac:dyDescent="0.3">
      <c r="A232" s="24"/>
      <c r="B232" s="54" t="s">
        <v>95</v>
      </c>
      <c r="C232" s="94"/>
      <c r="D232" s="94"/>
      <c r="E232" s="94"/>
      <c r="F232" s="25"/>
      <c r="G232" s="95"/>
      <c r="H232" s="94"/>
      <c r="I232" s="94"/>
      <c r="J232" s="94"/>
      <c r="K232" s="94"/>
      <c r="L232" s="94"/>
      <c r="M232" s="94"/>
      <c r="N232" s="94"/>
      <c r="O232" s="94"/>
      <c r="P232" s="54">
        <v>52</v>
      </c>
      <c r="Q232" s="95">
        <f t="shared" si="1"/>
        <v>1.2186547925943286E-2</v>
      </c>
      <c r="R232" s="53">
        <v>7349</v>
      </c>
      <c r="S232" s="135">
        <f t="shared" si="2"/>
        <v>1.5033733332787817E-2</v>
      </c>
      <c r="T232" s="80"/>
      <c r="U232" s="89"/>
      <c r="V232" s="5"/>
      <c r="W232" s="110"/>
    </row>
    <row r="233" spans="1:23" ht="15.6" x14ac:dyDescent="0.3">
      <c r="A233" s="24"/>
      <c r="B233" s="54" t="s">
        <v>96</v>
      </c>
      <c r="C233" s="94"/>
      <c r="D233" s="94"/>
      <c r="E233" s="94"/>
      <c r="F233" s="25"/>
      <c r="G233" s="95"/>
      <c r="H233" s="94"/>
      <c r="I233" s="94"/>
      <c r="J233" s="94"/>
      <c r="K233" s="94"/>
      <c r="L233" s="94"/>
      <c r="M233" s="94"/>
      <c r="N233" s="94"/>
      <c r="O233" s="94"/>
      <c r="P233" s="54">
        <v>4</v>
      </c>
      <c r="Q233" s="95">
        <f t="shared" si="1"/>
        <v>9.374267635340989E-4</v>
      </c>
      <c r="R233" s="53">
        <v>322</v>
      </c>
      <c r="S233" s="135">
        <f t="shared" si="2"/>
        <v>6.5871031884034254E-4</v>
      </c>
      <c r="T233" s="80"/>
      <c r="U233" s="89"/>
      <c r="V233" s="5"/>
    </row>
    <row r="234" spans="1:23" ht="15.6" x14ac:dyDescent="0.3">
      <c r="A234" s="24"/>
      <c r="B234" s="54" t="s">
        <v>171</v>
      </c>
      <c r="C234" s="94"/>
      <c r="D234" s="94"/>
      <c r="E234" s="94"/>
      <c r="F234" s="25"/>
      <c r="G234" s="95"/>
      <c r="H234" s="94"/>
      <c r="I234" s="94"/>
      <c r="J234" s="94"/>
      <c r="K234" s="94"/>
      <c r="L234" s="94"/>
      <c r="M234" s="94"/>
      <c r="N234" s="94"/>
      <c r="O234" s="94"/>
      <c r="P234" s="54">
        <v>1</v>
      </c>
      <c r="Q234" s="95">
        <f t="shared" si="1"/>
        <v>2.3435669088352472E-4</v>
      </c>
      <c r="R234" s="53">
        <v>84</v>
      </c>
      <c r="S234" s="135">
        <f t="shared" si="2"/>
        <v>1.7183747448008935E-4</v>
      </c>
      <c r="T234" s="80"/>
      <c r="U234" s="89"/>
      <c r="V234" s="5"/>
      <c r="W234" s="110"/>
    </row>
    <row r="235" spans="1:23" ht="15.6" x14ac:dyDescent="0.3">
      <c r="A235" s="24"/>
      <c r="B235" s="54" t="s">
        <v>172</v>
      </c>
      <c r="C235" s="94"/>
      <c r="D235" s="94"/>
      <c r="E235" s="94"/>
      <c r="F235" s="25"/>
      <c r="G235" s="95"/>
      <c r="H235" s="94"/>
      <c r="I235" s="94"/>
      <c r="J235" s="94"/>
      <c r="K235" s="94"/>
      <c r="L235" s="94"/>
      <c r="M235" s="94"/>
      <c r="N235" s="94"/>
      <c r="O235" s="94"/>
      <c r="P235" s="54">
        <v>0</v>
      </c>
      <c r="Q235" s="95">
        <f t="shared" si="1"/>
        <v>0</v>
      </c>
      <c r="R235" s="53">
        <v>0</v>
      </c>
      <c r="S235" s="135">
        <f t="shared" si="2"/>
        <v>0</v>
      </c>
      <c r="T235" s="80"/>
      <c r="U235" s="89"/>
      <c r="V235" s="5"/>
    </row>
    <row r="236" spans="1:23" ht="15.6" x14ac:dyDescent="0.3">
      <c r="A236" s="24"/>
      <c r="B236" s="54" t="s">
        <v>173</v>
      </c>
      <c r="C236" s="94"/>
      <c r="D236" s="94"/>
      <c r="E236" s="94"/>
      <c r="F236" s="25"/>
      <c r="G236" s="95"/>
      <c r="H236" s="94"/>
      <c r="I236" s="94"/>
      <c r="J236" s="94"/>
      <c r="K236" s="94"/>
      <c r="L236" s="94"/>
      <c r="M236" s="94"/>
      <c r="N236" s="94"/>
      <c r="O236" s="94"/>
      <c r="P236" s="54">
        <v>0</v>
      </c>
      <c r="Q236" s="95">
        <f t="shared" si="1"/>
        <v>0</v>
      </c>
      <c r="R236" s="53">
        <v>0</v>
      </c>
      <c r="S236" s="135">
        <f t="shared" si="2"/>
        <v>0</v>
      </c>
      <c r="T236" s="80"/>
      <c r="U236" s="89"/>
      <c r="V236" s="5"/>
      <c r="W236" s="110"/>
    </row>
    <row r="237" spans="1:23" ht="15.6" x14ac:dyDescent="0.3">
      <c r="A237" s="24"/>
      <c r="B237" s="54" t="s">
        <v>174</v>
      </c>
      <c r="C237" s="94"/>
      <c r="D237" s="94"/>
      <c r="E237" s="94"/>
      <c r="F237" s="25"/>
      <c r="G237" s="95"/>
      <c r="H237" s="94"/>
      <c r="I237" s="94"/>
      <c r="J237" s="94"/>
      <c r="K237" s="94"/>
      <c r="L237" s="94"/>
      <c r="M237" s="94"/>
      <c r="N237" s="94"/>
      <c r="O237" s="94"/>
      <c r="P237" s="54">
        <v>1</v>
      </c>
      <c r="Q237" s="95">
        <f t="shared" si="1"/>
        <v>2.3435669088352472E-4</v>
      </c>
      <c r="R237" s="53">
        <v>94</v>
      </c>
      <c r="S237" s="135">
        <f t="shared" si="2"/>
        <v>1.922943166801E-4</v>
      </c>
      <c r="T237" s="80"/>
      <c r="U237" s="89"/>
      <c r="V237" s="5"/>
    </row>
    <row r="238" spans="1:23" ht="15.6" x14ac:dyDescent="0.3">
      <c r="A238" s="24"/>
      <c r="B238" s="54" t="s">
        <v>175</v>
      </c>
      <c r="C238" s="94"/>
      <c r="D238" s="94"/>
      <c r="E238" s="94"/>
      <c r="F238" s="25"/>
      <c r="G238" s="95"/>
      <c r="H238" s="94"/>
      <c r="I238" s="94"/>
      <c r="J238" s="94"/>
      <c r="K238" s="94"/>
      <c r="L238" s="94"/>
      <c r="M238" s="94"/>
      <c r="N238" s="94"/>
      <c r="O238" s="94"/>
      <c r="P238" s="54">
        <v>0</v>
      </c>
      <c r="Q238" s="95">
        <f t="shared" si="1"/>
        <v>0</v>
      </c>
      <c r="R238" s="53">
        <v>0</v>
      </c>
      <c r="S238" s="135">
        <f t="shared" si="2"/>
        <v>0</v>
      </c>
      <c r="T238" s="80"/>
      <c r="U238" s="89"/>
      <c r="V238" s="5"/>
      <c r="W238" s="110"/>
    </row>
    <row r="239" spans="1:23" ht="15.6" x14ac:dyDescent="0.3">
      <c r="A239" s="24"/>
      <c r="B239" s="54"/>
      <c r="C239" s="94"/>
      <c r="D239" s="94"/>
      <c r="E239" s="94"/>
      <c r="F239" s="25"/>
      <c r="G239" s="95"/>
      <c r="H239" s="94"/>
      <c r="I239" s="94"/>
      <c r="J239" s="94"/>
      <c r="K239" s="94"/>
      <c r="L239" s="94"/>
      <c r="M239" s="94"/>
      <c r="N239" s="94"/>
      <c r="O239" s="94"/>
      <c r="P239" s="54"/>
      <c r="Q239" s="95"/>
      <c r="R239" s="53"/>
      <c r="S239" s="135"/>
      <c r="T239" s="80"/>
      <c r="U239" s="89"/>
      <c r="V239" s="5"/>
    </row>
    <row r="240" spans="1:23" ht="15.6" x14ac:dyDescent="0.3">
      <c r="A240" s="24"/>
      <c r="B240" s="25"/>
      <c r="C240" s="25"/>
      <c r="D240" s="25"/>
      <c r="E240" s="25"/>
      <c r="F240" s="25"/>
      <c r="G240" s="25"/>
      <c r="H240" s="96"/>
      <c r="I240" s="96"/>
      <c r="J240" s="96"/>
      <c r="K240" s="96"/>
      <c r="L240" s="96"/>
      <c r="M240" s="96"/>
      <c r="N240" s="96"/>
      <c r="O240" s="96"/>
      <c r="P240" s="34">
        <f>SUM(P231:P239)</f>
        <v>4267</v>
      </c>
      <c r="Q240" s="135">
        <f>SUM(Q231:Q239)</f>
        <v>1</v>
      </c>
      <c r="R240" s="53">
        <f>SUM(R231:R239)</f>
        <v>488834</v>
      </c>
      <c r="S240" s="135">
        <f>SUM(S231:S239)</f>
        <v>1</v>
      </c>
      <c r="T240" s="25"/>
      <c r="U240" s="25"/>
      <c r="V240" s="5"/>
    </row>
    <row r="241" spans="1:22" ht="15.6" x14ac:dyDescent="0.3">
      <c r="A241" s="24"/>
      <c r="B241" s="25"/>
      <c r="C241" s="25"/>
      <c r="D241" s="25"/>
      <c r="E241" s="25"/>
      <c r="F241" s="25"/>
      <c r="G241" s="25"/>
      <c r="H241" s="96"/>
      <c r="I241" s="96"/>
      <c r="J241" s="96"/>
      <c r="K241" s="96"/>
      <c r="L241" s="96"/>
      <c r="M241" s="96"/>
      <c r="N241" s="96"/>
      <c r="O241" s="96"/>
      <c r="P241" s="34"/>
      <c r="Q241" s="135"/>
      <c r="R241" s="53"/>
      <c r="S241" s="135"/>
      <c r="T241" s="25"/>
      <c r="U241" s="25"/>
      <c r="V241" s="5"/>
    </row>
    <row r="242" spans="1:22" ht="15.6" x14ac:dyDescent="0.3">
      <c r="A242" s="144"/>
      <c r="B242" s="14" t="s">
        <v>178</v>
      </c>
      <c r="C242" s="82"/>
      <c r="D242" s="82"/>
      <c r="E242" s="82"/>
      <c r="F242" s="83"/>
      <c r="G242" s="82"/>
      <c r="H242" s="17"/>
      <c r="I242" s="17"/>
      <c r="J242" s="17"/>
      <c r="K242" s="17"/>
      <c r="L242" s="17"/>
      <c r="M242" s="17"/>
      <c r="N242" s="17"/>
      <c r="O242" s="17"/>
      <c r="P242" s="84" t="s">
        <v>108</v>
      </c>
      <c r="Q242" s="17" t="s">
        <v>109</v>
      </c>
      <c r="R242" s="84" t="s">
        <v>117</v>
      </c>
      <c r="S242" s="17" t="s">
        <v>109</v>
      </c>
      <c r="T242" s="142"/>
      <c r="U242" s="143"/>
      <c r="V242" s="5"/>
    </row>
    <row r="243" spans="1:22" ht="15.6" x14ac:dyDescent="0.3">
      <c r="A243" s="24"/>
      <c r="B243" s="54" t="s">
        <v>94</v>
      </c>
      <c r="C243" s="94"/>
      <c r="D243" s="94"/>
      <c r="E243" s="94"/>
      <c r="F243" s="25"/>
      <c r="G243" s="94"/>
      <c r="H243" s="94"/>
      <c r="I243" s="94"/>
      <c r="J243" s="94"/>
      <c r="K243" s="94"/>
      <c r="L243" s="94"/>
      <c r="M243" s="94"/>
      <c r="N243" s="94"/>
      <c r="O243" s="94"/>
      <c r="P243" s="54">
        <v>3</v>
      </c>
      <c r="Q243" s="95">
        <f t="shared" ref="Q243:Q250" si="3">P243/$P$252</f>
        <v>9.6774193548387094E-2</v>
      </c>
      <c r="R243" s="53">
        <v>320</v>
      </c>
      <c r="S243" s="135">
        <f t="shared" ref="S243:S250" si="4">R243/$R$252</f>
        <v>7.4644273384651266E-2</v>
      </c>
      <c r="T243" s="25"/>
      <c r="U243" s="25"/>
      <c r="V243" s="5"/>
    </row>
    <row r="244" spans="1:22" ht="15.6" x14ac:dyDescent="0.3">
      <c r="A244" s="24"/>
      <c r="B244" s="54" t="s">
        <v>95</v>
      </c>
      <c r="C244" s="94"/>
      <c r="D244" s="94"/>
      <c r="E244" s="94"/>
      <c r="F244" s="25"/>
      <c r="G244" s="95"/>
      <c r="H244" s="94"/>
      <c r="I244" s="94"/>
      <c r="J244" s="94"/>
      <c r="K244" s="94"/>
      <c r="L244" s="94"/>
      <c r="M244" s="94"/>
      <c r="N244" s="94"/>
      <c r="O244" s="94"/>
      <c r="P244" s="54">
        <v>0</v>
      </c>
      <c r="Q244" s="95">
        <f t="shared" si="3"/>
        <v>0</v>
      </c>
      <c r="R244" s="53">
        <v>0</v>
      </c>
      <c r="S244" s="135">
        <f t="shared" si="4"/>
        <v>0</v>
      </c>
      <c r="T244" s="25"/>
      <c r="U244" s="25"/>
      <c r="V244" s="5"/>
    </row>
    <row r="245" spans="1:22" ht="15.6" x14ac:dyDescent="0.3">
      <c r="A245" s="24"/>
      <c r="B245" s="54" t="s">
        <v>96</v>
      </c>
      <c r="C245" s="94"/>
      <c r="D245" s="94"/>
      <c r="E245" s="94"/>
      <c r="F245" s="25"/>
      <c r="G245" s="95"/>
      <c r="H245" s="94"/>
      <c r="I245" s="94"/>
      <c r="J245" s="94"/>
      <c r="K245" s="94"/>
      <c r="L245" s="94"/>
      <c r="M245" s="94"/>
      <c r="N245" s="94"/>
      <c r="O245" s="94"/>
      <c r="P245" s="54">
        <v>3</v>
      </c>
      <c r="Q245" s="95">
        <f t="shared" si="3"/>
        <v>9.6774193548387094E-2</v>
      </c>
      <c r="R245" s="53">
        <v>584</v>
      </c>
      <c r="S245" s="135">
        <f t="shared" si="4"/>
        <v>0.13622579892698858</v>
      </c>
      <c r="T245" s="25"/>
      <c r="U245" s="25"/>
      <c r="V245" s="5"/>
    </row>
    <row r="246" spans="1:22" ht="15.6" x14ac:dyDescent="0.3">
      <c r="A246" s="24"/>
      <c r="B246" s="54" t="s">
        <v>171</v>
      </c>
      <c r="C246" s="94"/>
      <c r="D246" s="94"/>
      <c r="E246" s="94"/>
      <c r="F246" s="25"/>
      <c r="G246" s="95"/>
      <c r="H246" s="94"/>
      <c r="I246" s="94"/>
      <c r="J246" s="94"/>
      <c r="K246" s="94"/>
      <c r="L246" s="94"/>
      <c r="M246" s="94"/>
      <c r="N246" s="94"/>
      <c r="O246" s="94"/>
      <c r="P246" s="54">
        <v>6</v>
      </c>
      <c r="Q246" s="95">
        <f t="shared" si="3"/>
        <v>0.19354838709677419</v>
      </c>
      <c r="R246" s="53">
        <v>863</v>
      </c>
      <c r="S246" s="135">
        <f t="shared" si="4"/>
        <v>0.20130627478423141</v>
      </c>
      <c r="T246" s="25"/>
      <c r="U246" s="25"/>
      <c r="V246" s="5"/>
    </row>
    <row r="247" spans="1:22" ht="15.6" x14ac:dyDescent="0.3">
      <c r="A247" s="24"/>
      <c r="B247" s="54" t="s">
        <v>172</v>
      </c>
      <c r="C247" s="94"/>
      <c r="D247" s="94"/>
      <c r="E247" s="94"/>
      <c r="F247" s="25"/>
      <c r="G247" s="95"/>
      <c r="H247" s="94"/>
      <c r="I247" s="94"/>
      <c r="J247" s="94"/>
      <c r="K247" s="94"/>
      <c r="L247" s="94"/>
      <c r="M247" s="94"/>
      <c r="N247" s="94"/>
      <c r="O247" s="94"/>
      <c r="P247" s="54">
        <v>4</v>
      </c>
      <c r="Q247" s="95">
        <f t="shared" si="3"/>
        <v>0.12903225806451613</v>
      </c>
      <c r="R247" s="53">
        <v>453</v>
      </c>
      <c r="S247" s="135">
        <f t="shared" si="4"/>
        <v>0.10566829951014696</v>
      </c>
      <c r="T247" s="25"/>
      <c r="U247" s="25"/>
      <c r="V247" s="5"/>
    </row>
    <row r="248" spans="1:22" ht="15.6" x14ac:dyDescent="0.3">
      <c r="A248" s="24"/>
      <c r="B248" s="54" t="s">
        <v>173</v>
      </c>
      <c r="C248" s="94"/>
      <c r="D248" s="94"/>
      <c r="E248" s="94"/>
      <c r="F248" s="25"/>
      <c r="G248" s="95"/>
      <c r="H248" s="94"/>
      <c r="I248" s="94"/>
      <c r="J248" s="94"/>
      <c r="K248" s="94"/>
      <c r="L248" s="94"/>
      <c r="M248" s="94"/>
      <c r="N248" s="94"/>
      <c r="O248" s="94"/>
      <c r="P248" s="54">
        <v>2</v>
      </c>
      <c r="Q248" s="95">
        <f t="shared" si="3"/>
        <v>6.4516129032258063E-2</v>
      </c>
      <c r="R248" s="53">
        <v>266</v>
      </c>
      <c r="S248" s="135">
        <f t="shared" si="4"/>
        <v>6.2048052250991366E-2</v>
      </c>
      <c r="T248" s="25"/>
      <c r="U248" s="25"/>
      <c r="V248" s="5"/>
    </row>
    <row r="249" spans="1:22" ht="15.6" x14ac:dyDescent="0.3">
      <c r="A249" s="24"/>
      <c r="B249" s="54" t="s">
        <v>174</v>
      </c>
      <c r="C249" s="94"/>
      <c r="D249" s="94"/>
      <c r="E249" s="94"/>
      <c r="F249" s="25"/>
      <c r="G249" s="95"/>
      <c r="H249" s="94"/>
      <c r="I249" s="94"/>
      <c r="J249" s="94"/>
      <c r="K249" s="94"/>
      <c r="L249" s="94"/>
      <c r="M249" s="94"/>
      <c r="N249" s="94"/>
      <c r="O249" s="94"/>
      <c r="P249" s="54">
        <v>10</v>
      </c>
      <c r="Q249" s="95">
        <f t="shared" si="3"/>
        <v>0.32258064516129031</v>
      </c>
      <c r="R249" s="53">
        <v>1388</v>
      </c>
      <c r="S249" s="135">
        <f t="shared" si="4"/>
        <v>0.32376953580592488</v>
      </c>
      <c r="T249" s="25"/>
      <c r="U249" s="25"/>
      <c r="V249" s="5"/>
    </row>
    <row r="250" spans="1:22" ht="15.6" x14ac:dyDescent="0.3">
      <c r="A250" s="24"/>
      <c r="B250" s="54" t="s">
        <v>175</v>
      </c>
      <c r="C250" s="94"/>
      <c r="D250" s="94"/>
      <c r="E250" s="94"/>
      <c r="F250" s="25"/>
      <c r="G250" s="95"/>
      <c r="H250" s="94"/>
      <c r="I250" s="94"/>
      <c r="J250" s="94"/>
      <c r="K250" s="94"/>
      <c r="L250" s="94"/>
      <c r="M250" s="94"/>
      <c r="N250" s="94"/>
      <c r="O250" s="94"/>
      <c r="P250" s="54">
        <v>3</v>
      </c>
      <c r="Q250" s="95">
        <f t="shared" si="3"/>
        <v>9.6774193548387094E-2</v>
      </c>
      <c r="R250" s="53">
        <v>413</v>
      </c>
      <c r="S250" s="135">
        <f t="shared" si="4"/>
        <v>9.6337765337065548E-2</v>
      </c>
      <c r="T250" s="25"/>
      <c r="U250" s="25"/>
      <c r="V250" s="5"/>
    </row>
    <row r="251" spans="1:22" ht="15.6" x14ac:dyDescent="0.3">
      <c r="A251" s="24"/>
      <c r="B251" s="54"/>
      <c r="C251" s="94"/>
      <c r="D251" s="94"/>
      <c r="E251" s="94"/>
      <c r="F251" s="25"/>
      <c r="G251" s="95"/>
      <c r="H251" s="94"/>
      <c r="I251" s="94"/>
      <c r="J251" s="94"/>
      <c r="K251" s="94"/>
      <c r="L251" s="94"/>
      <c r="M251" s="94"/>
      <c r="N251" s="94"/>
      <c r="O251" s="94"/>
      <c r="P251" s="54"/>
      <c r="Q251" s="95"/>
      <c r="R251" s="53"/>
      <c r="S251" s="135"/>
      <c r="T251" s="25"/>
      <c r="U251" s="25"/>
      <c r="V251" s="5"/>
    </row>
    <row r="252" spans="1:22" ht="15.6" x14ac:dyDescent="0.3">
      <c r="A252" s="24"/>
      <c r="B252" s="25"/>
      <c r="C252" s="25"/>
      <c r="D252" s="25"/>
      <c r="E252" s="25"/>
      <c r="F252" s="25"/>
      <c r="G252" s="25"/>
      <c r="H252" s="96"/>
      <c r="I252" s="96"/>
      <c r="J252" s="96"/>
      <c r="K252" s="96"/>
      <c r="L252" s="96"/>
      <c r="M252" s="96"/>
      <c r="N252" s="96"/>
      <c r="O252" s="96"/>
      <c r="P252" s="34">
        <f>SUM(P243:P251)</f>
        <v>31</v>
      </c>
      <c r="Q252" s="135">
        <f>SUM(Q243:Q251)</f>
        <v>0.99999999999999989</v>
      </c>
      <c r="R252" s="53">
        <f>SUM(R243:R251)</f>
        <v>4287</v>
      </c>
      <c r="S252" s="135">
        <f>SUM(S243:S251)</f>
        <v>1.0000000000000002</v>
      </c>
      <c r="T252" s="25"/>
      <c r="U252" s="25"/>
      <c r="V252" s="5"/>
    </row>
    <row r="253" spans="1:22" ht="15.6" x14ac:dyDescent="0.3">
      <c r="A253" s="24"/>
      <c r="B253" s="25"/>
      <c r="C253" s="25"/>
      <c r="D253" s="25"/>
      <c r="E253" s="25"/>
      <c r="F253" s="25"/>
      <c r="G253" s="25"/>
      <c r="H253" s="96"/>
      <c r="I253" s="96"/>
      <c r="J253" s="96"/>
      <c r="K253" s="96"/>
      <c r="L253" s="96"/>
      <c r="M253" s="96"/>
      <c r="N253" s="96"/>
      <c r="O253" s="96"/>
      <c r="P253" s="34"/>
      <c r="Q253" s="135"/>
      <c r="R253" s="53"/>
      <c r="S253" s="135"/>
      <c r="T253" s="25"/>
      <c r="U253" s="25"/>
      <c r="V253" s="5"/>
    </row>
    <row r="254" spans="1:22" ht="15.6" x14ac:dyDescent="0.3">
      <c r="A254" s="144"/>
      <c r="B254" s="14" t="s">
        <v>179</v>
      </c>
      <c r="C254" s="142"/>
      <c r="D254" s="142"/>
      <c r="E254" s="142"/>
      <c r="F254" s="142"/>
      <c r="G254" s="142"/>
      <c r="H254" s="149"/>
      <c r="I254" s="149"/>
      <c r="J254" s="149"/>
      <c r="K254" s="149"/>
      <c r="L254" s="149"/>
      <c r="M254" s="149"/>
      <c r="N254" s="149"/>
      <c r="O254" s="149"/>
      <c r="P254" s="84" t="s">
        <v>108</v>
      </c>
      <c r="Q254" s="17" t="s">
        <v>109</v>
      </c>
      <c r="R254" s="84" t="s">
        <v>117</v>
      </c>
      <c r="S254" s="17" t="s">
        <v>109</v>
      </c>
      <c r="T254" s="142"/>
      <c r="U254" s="143"/>
      <c r="V254" s="5"/>
    </row>
    <row r="255" spans="1:22" ht="15.6" x14ac:dyDescent="0.3">
      <c r="A255" s="24"/>
      <c r="B255" s="54" t="s">
        <v>94</v>
      </c>
      <c r="C255" s="25"/>
      <c r="D255" s="25"/>
      <c r="E255" s="25"/>
      <c r="F255" s="25"/>
      <c r="G255" s="25"/>
      <c r="H255" s="96"/>
      <c r="I255" s="96"/>
      <c r="J255" s="96"/>
      <c r="K255" s="96"/>
      <c r="L255" s="96"/>
      <c r="M255" s="96"/>
      <c r="N255" s="96"/>
      <c r="O255" s="96"/>
      <c r="P255" s="54">
        <v>0</v>
      </c>
      <c r="Q255" s="95">
        <v>0</v>
      </c>
      <c r="R255" s="53">
        <v>0</v>
      </c>
      <c r="S255" s="135">
        <v>0</v>
      </c>
      <c r="T255" s="25"/>
      <c r="U255" s="25"/>
      <c r="V255" s="5"/>
    </row>
    <row r="256" spans="1:22" ht="15.6" x14ac:dyDescent="0.3">
      <c r="A256" s="24"/>
      <c r="B256" s="54" t="s">
        <v>95</v>
      </c>
      <c r="C256" s="25"/>
      <c r="D256" s="25"/>
      <c r="E256" s="25"/>
      <c r="F256" s="25"/>
      <c r="G256" s="25"/>
      <c r="H256" s="96"/>
      <c r="I256" s="96"/>
      <c r="J256" s="96"/>
      <c r="K256" s="96"/>
      <c r="L256" s="96"/>
      <c r="M256" s="96"/>
      <c r="N256" s="96"/>
      <c r="O256" s="96"/>
      <c r="P256" s="54">
        <v>0</v>
      </c>
      <c r="Q256" s="95">
        <v>0</v>
      </c>
      <c r="R256" s="53">
        <v>0</v>
      </c>
      <c r="S256" s="135">
        <v>0</v>
      </c>
      <c r="T256" s="25"/>
      <c r="U256" s="25"/>
      <c r="V256" s="5"/>
    </row>
    <row r="257" spans="1:22" ht="15.6" x14ac:dyDescent="0.3">
      <c r="A257" s="24"/>
      <c r="B257" s="54" t="s">
        <v>96</v>
      </c>
      <c r="C257" s="25"/>
      <c r="D257" s="25"/>
      <c r="E257" s="25"/>
      <c r="F257" s="25"/>
      <c r="G257" s="25"/>
      <c r="H257" s="96"/>
      <c r="I257" s="96"/>
      <c r="J257" s="96"/>
      <c r="K257" s="96"/>
      <c r="L257" s="96"/>
      <c r="M257" s="96"/>
      <c r="N257" s="96"/>
      <c r="O257" s="96"/>
      <c r="P257" s="54">
        <v>0</v>
      </c>
      <c r="Q257" s="95">
        <v>0</v>
      </c>
      <c r="R257" s="53">
        <v>0</v>
      </c>
      <c r="S257" s="135">
        <v>0</v>
      </c>
      <c r="T257" s="25"/>
      <c r="U257" s="25"/>
      <c r="V257" s="5"/>
    </row>
    <row r="258" spans="1:22" ht="15.6" x14ac:dyDescent="0.3">
      <c r="A258" s="24"/>
      <c r="B258" s="54" t="s">
        <v>171</v>
      </c>
      <c r="C258" s="25"/>
      <c r="D258" s="25"/>
      <c r="E258" s="25"/>
      <c r="F258" s="25"/>
      <c r="G258" s="25"/>
      <c r="H258" s="96"/>
      <c r="I258" s="96"/>
      <c r="J258" s="96"/>
      <c r="K258" s="96"/>
      <c r="L258" s="96"/>
      <c r="M258" s="96"/>
      <c r="N258" s="96"/>
      <c r="O258" s="96"/>
      <c r="P258" s="54">
        <v>0</v>
      </c>
      <c r="Q258" s="95">
        <v>0</v>
      </c>
      <c r="R258" s="53">
        <v>0</v>
      </c>
      <c r="S258" s="135">
        <v>0</v>
      </c>
      <c r="T258" s="25"/>
      <c r="U258" s="25"/>
      <c r="V258" s="5"/>
    </row>
    <row r="259" spans="1:22" ht="15.6" x14ac:dyDescent="0.3">
      <c r="A259" s="24"/>
      <c r="B259" s="54" t="s">
        <v>172</v>
      </c>
      <c r="C259" s="25"/>
      <c r="D259" s="25"/>
      <c r="E259" s="25"/>
      <c r="F259" s="25"/>
      <c r="G259" s="25"/>
      <c r="H259" s="96"/>
      <c r="I259" s="96"/>
      <c r="J259" s="96"/>
      <c r="K259" s="96"/>
      <c r="L259" s="96"/>
      <c r="M259" s="96"/>
      <c r="N259" s="96"/>
      <c r="O259" s="96"/>
      <c r="P259" s="54">
        <v>0</v>
      </c>
      <c r="Q259" s="95">
        <v>0</v>
      </c>
      <c r="R259" s="53">
        <v>0</v>
      </c>
      <c r="S259" s="135">
        <v>0</v>
      </c>
      <c r="T259" s="25"/>
      <c r="U259" s="25"/>
      <c r="V259" s="5"/>
    </row>
    <row r="260" spans="1:22" ht="15.6" x14ac:dyDescent="0.3">
      <c r="A260" s="24"/>
      <c r="B260" s="54" t="s">
        <v>173</v>
      </c>
      <c r="C260" s="25"/>
      <c r="D260" s="25"/>
      <c r="E260" s="25"/>
      <c r="F260" s="25"/>
      <c r="G260" s="25"/>
      <c r="H260" s="96"/>
      <c r="I260" s="96"/>
      <c r="J260" s="96"/>
      <c r="K260" s="96"/>
      <c r="L260" s="96"/>
      <c r="M260" s="96"/>
      <c r="N260" s="96"/>
      <c r="O260" s="96"/>
      <c r="P260" s="54">
        <v>0</v>
      </c>
      <c r="Q260" s="95">
        <v>0</v>
      </c>
      <c r="R260" s="53">
        <v>0</v>
      </c>
      <c r="S260" s="135">
        <v>0</v>
      </c>
      <c r="T260" s="25"/>
      <c r="U260" s="25"/>
      <c r="V260" s="5"/>
    </row>
    <row r="261" spans="1:22" ht="15.6" x14ac:dyDescent="0.3">
      <c r="A261" s="24"/>
      <c r="B261" s="54" t="s">
        <v>174</v>
      </c>
      <c r="C261" s="25"/>
      <c r="D261" s="25"/>
      <c r="E261" s="25"/>
      <c r="F261" s="25"/>
      <c r="G261" s="25"/>
      <c r="H261" s="96"/>
      <c r="I261" s="96"/>
      <c r="J261" s="96"/>
      <c r="K261" s="96"/>
      <c r="L261" s="96"/>
      <c r="M261" s="96"/>
      <c r="N261" s="96"/>
      <c r="O261" s="96"/>
      <c r="P261" s="54">
        <v>0</v>
      </c>
      <c r="Q261" s="95">
        <v>0</v>
      </c>
      <c r="R261" s="53">
        <v>0</v>
      </c>
      <c r="S261" s="135">
        <v>0</v>
      </c>
      <c r="T261" s="25"/>
      <c r="U261" s="25"/>
      <c r="V261" s="5"/>
    </row>
    <row r="262" spans="1:22" ht="15.6" x14ac:dyDescent="0.3">
      <c r="A262" s="24"/>
      <c r="B262" s="54" t="s">
        <v>175</v>
      </c>
      <c r="C262" s="25"/>
      <c r="D262" s="25"/>
      <c r="E262" s="25"/>
      <c r="F262" s="25"/>
      <c r="G262" s="25"/>
      <c r="H262" s="96"/>
      <c r="I262" s="96"/>
      <c r="J262" s="96"/>
      <c r="K262" s="96"/>
      <c r="L262" s="96"/>
      <c r="M262" s="96"/>
      <c r="N262" s="96"/>
      <c r="O262" s="96"/>
      <c r="P262" s="54">
        <v>0</v>
      </c>
      <c r="Q262" s="95">
        <v>0</v>
      </c>
      <c r="R262" s="53">
        <v>0</v>
      </c>
      <c r="S262" s="135">
        <v>0</v>
      </c>
      <c r="T262" s="25"/>
      <c r="U262" s="25"/>
      <c r="V262" s="5"/>
    </row>
    <row r="263" spans="1:22" ht="15.6" x14ac:dyDescent="0.3">
      <c r="A263" s="24"/>
      <c r="B263" s="54"/>
      <c r="C263" s="25"/>
      <c r="D263" s="25"/>
      <c r="E263" s="25"/>
      <c r="F263" s="25"/>
      <c r="G263" s="25"/>
      <c r="H263" s="96"/>
      <c r="I263" s="96"/>
      <c r="J263" s="96"/>
      <c r="K263" s="96"/>
      <c r="L263" s="96"/>
      <c r="M263" s="96"/>
      <c r="N263" s="96"/>
      <c r="O263" s="96"/>
      <c r="P263" s="54"/>
      <c r="Q263" s="95"/>
      <c r="R263" s="53"/>
      <c r="S263" s="135"/>
      <c r="T263" s="25"/>
      <c r="U263" s="25"/>
      <c r="V263" s="5"/>
    </row>
    <row r="264" spans="1:22" ht="15.6" x14ac:dyDescent="0.3">
      <c r="A264" s="24"/>
      <c r="B264" s="25" t="s">
        <v>123</v>
      </c>
      <c r="C264" s="25"/>
      <c r="D264" s="25"/>
      <c r="E264" s="25"/>
      <c r="F264" s="25"/>
      <c r="G264" s="25"/>
      <c r="H264" s="96"/>
      <c r="I264" s="96"/>
      <c r="J264" s="96"/>
      <c r="K264" s="96"/>
      <c r="L264" s="96"/>
      <c r="M264" s="96"/>
      <c r="N264" s="96"/>
      <c r="O264" s="96"/>
      <c r="P264" s="34">
        <f>SUM(P255:P262)</f>
        <v>0</v>
      </c>
      <c r="Q264" s="95">
        <f>SUM(Q255:Q262)</f>
        <v>0</v>
      </c>
      <c r="R264" s="53">
        <f>SUM(R255:R262)</f>
        <v>0</v>
      </c>
      <c r="S264" s="135">
        <f>SUM(S255:S262)</f>
        <v>0</v>
      </c>
      <c r="T264" s="25"/>
      <c r="U264" s="25"/>
      <c r="V264" s="5"/>
    </row>
    <row r="265" spans="1:22" ht="15.6" x14ac:dyDescent="0.3">
      <c r="A265" s="24"/>
      <c r="B265" s="25"/>
      <c r="C265" s="25"/>
      <c r="D265" s="25"/>
      <c r="E265" s="25"/>
      <c r="F265" s="25"/>
      <c r="G265" s="25"/>
      <c r="H265" s="96"/>
      <c r="I265" s="96"/>
      <c r="J265" s="96"/>
      <c r="K265" s="96"/>
      <c r="L265" s="96"/>
      <c r="M265" s="96"/>
      <c r="N265" s="96"/>
      <c r="O265" s="96"/>
      <c r="P265" s="34"/>
      <c r="Q265" s="135"/>
      <c r="R265" s="53"/>
      <c r="S265" s="135"/>
      <c r="T265" s="25"/>
      <c r="U265" s="25"/>
      <c r="V265" s="5"/>
    </row>
    <row r="266" spans="1:22" ht="15.6" x14ac:dyDescent="0.3">
      <c r="A266" s="24"/>
      <c r="B266" s="145" t="s">
        <v>180</v>
      </c>
      <c r="C266" s="25"/>
      <c r="D266" s="25"/>
      <c r="E266" s="25"/>
      <c r="F266" s="25"/>
      <c r="G266" s="25"/>
      <c r="H266" s="96"/>
      <c r="I266" s="96"/>
      <c r="J266" s="96"/>
      <c r="K266" s="96"/>
      <c r="L266" s="96"/>
      <c r="M266" s="96"/>
      <c r="N266" s="96"/>
      <c r="O266" s="96"/>
      <c r="P266" s="165">
        <f>+P240+P252+P264</f>
        <v>4298</v>
      </c>
      <c r="Q266" s="147"/>
      <c r="R266" s="148">
        <f>+R264+R252+R240</f>
        <v>493121</v>
      </c>
      <c r="S266" s="147"/>
      <c r="T266" s="25"/>
      <c r="U266" s="25"/>
      <c r="V266" s="5"/>
    </row>
    <row r="267" spans="1:22" ht="15.6" x14ac:dyDescent="0.3">
      <c r="A267" s="24"/>
      <c r="B267" s="25"/>
      <c r="C267" s="25"/>
      <c r="D267" s="25"/>
      <c r="E267" s="25"/>
      <c r="F267" s="25"/>
      <c r="G267" s="25"/>
      <c r="H267" s="96"/>
      <c r="I267" s="96"/>
      <c r="J267" s="96"/>
      <c r="K267" s="96"/>
      <c r="L267" s="96"/>
      <c r="M267" s="96"/>
      <c r="N267" s="96"/>
      <c r="O267" s="96"/>
      <c r="P267" s="96"/>
      <c r="Q267" s="96"/>
      <c r="R267" s="53"/>
      <c r="S267" s="96"/>
      <c r="T267" s="25"/>
      <c r="U267" s="25"/>
      <c r="V267" s="5"/>
    </row>
    <row r="268" spans="1:22" ht="15.6" x14ac:dyDescent="0.3">
      <c r="A268" s="6"/>
      <c r="B268" s="8"/>
      <c r="C268" s="8"/>
      <c r="D268" s="8"/>
      <c r="E268" s="8"/>
      <c r="F268" s="8"/>
      <c r="G268" s="8"/>
      <c r="H268" s="97"/>
      <c r="I268" s="97"/>
      <c r="J268" s="97"/>
      <c r="K268" s="97"/>
      <c r="L268" s="97"/>
      <c r="M268" s="97"/>
      <c r="N268" s="97"/>
      <c r="O268" s="97"/>
      <c r="P268" s="97"/>
      <c r="Q268" s="97"/>
      <c r="R268" s="98"/>
      <c r="S268" s="97"/>
      <c r="T268" s="8"/>
      <c r="U268" s="8"/>
      <c r="V268" s="5"/>
    </row>
    <row r="269" spans="1:22" ht="15.6" x14ac:dyDescent="0.3">
      <c r="A269" s="164"/>
      <c r="B269" s="14" t="s">
        <v>97</v>
      </c>
      <c r="C269" s="15"/>
      <c r="D269" s="15"/>
      <c r="E269" s="15"/>
      <c r="F269" s="17" t="s">
        <v>103</v>
      </c>
      <c r="G269" s="15"/>
      <c r="H269" s="14" t="s">
        <v>105</v>
      </c>
      <c r="I269" s="159"/>
      <c r="J269" s="159"/>
      <c r="K269" s="159"/>
      <c r="L269" s="159"/>
      <c r="M269" s="159"/>
      <c r="N269" s="159"/>
      <c r="O269" s="159"/>
      <c r="P269" s="159"/>
      <c r="Q269" s="159"/>
      <c r="R269" s="159"/>
      <c r="S269" s="159"/>
      <c r="T269" s="159"/>
      <c r="U269" s="159"/>
      <c r="V269" s="5"/>
    </row>
    <row r="270" spans="1:22" ht="15.6" x14ac:dyDescent="0.3">
      <c r="A270" s="164"/>
      <c r="B270" s="159"/>
      <c r="C270" s="8"/>
      <c r="D270" s="8"/>
      <c r="E270" s="8"/>
      <c r="F270" s="8"/>
      <c r="G270" s="8"/>
      <c r="H270" s="8"/>
      <c r="I270" s="159"/>
      <c r="J270" s="159"/>
      <c r="K270" s="159"/>
      <c r="L270" s="159"/>
      <c r="M270" s="159"/>
      <c r="N270" s="159"/>
      <c r="O270" s="159"/>
      <c r="P270" s="159"/>
      <c r="Q270" s="159"/>
      <c r="R270" s="159"/>
      <c r="S270" s="159"/>
      <c r="T270" s="159"/>
      <c r="U270" s="159"/>
      <c r="V270" s="5"/>
    </row>
    <row r="271" spans="1:22" ht="15.6" x14ac:dyDescent="0.3">
      <c r="A271" s="164"/>
      <c r="B271" s="13" t="s">
        <v>98</v>
      </c>
      <c r="C271" s="13"/>
      <c r="D271" s="13"/>
      <c r="E271" s="13"/>
      <c r="F271" s="133" t="s">
        <v>159</v>
      </c>
      <c r="G271" s="13"/>
      <c r="H271" s="13" t="s">
        <v>167</v>
      </c>
      <c r="I271" s="159"/>
      <c r="J271" s="159"/>
      <c r="K271" s="159"/>
      <c r="L271" s="159"/>
      <c r="M271" s="159"/>
      <c r="N271" s="159"/>
      <c r="O271" s="159"/>
      <c r="P271" s="159"/>
      <c r="Q271" s="159"/>
      <c r="R271" s="159"/>
      <c r="S271" s="159"/>
      <c r="T271" s="159"/>
      <c r="U271" s="159"/>
      <c r="V271" s="5"/>
    </row>
    <row r="272" spans="1:22" ht="15.6" x14ac:dyDescent="0.3">
      <c r="A272" s="164"/>
      <c r="B272" s="13" t="s">
        <v>273</v>
      </c>
      <c r="C272" s="13"/>
      <c r="D272" s="13"/>
      <c r="E272" s="13"/>
      <c r="F272" s="133" t="s">
        <v>274</v>
      </c>
      <c r="G272" s="13"/>
      <c r="H272" s="13" t="s">
        <v>275</v>
      </c>
      <c r="I272" s="159"/>
      <c r="J272" s="159"/>
      <c r="K272" s="159"/>
      <c r="L272" s="159"/>
      <c r="M272" s="159"/>
      <c r="N272" s="159"/>
      <c r="O272" s="159"/>
      <c r="P272" s="159"/>
      <c r="Q272" s="159"/>
      <c r="R272" s="159"/>
      <c r="S272" s="159"/>
      <c r="T272" s="159"/>
      <c r="U272" s="159"/>
      <c r="V272" s="5"/>
    </row>
    <row r="273" spans="1:22" ht="15.6" x14ac:dyDescent="0.3">
      <c r="A273" s="164"/>
      <c r="B273" s="13" t="s">
        <v>99</v>
      </c>
      <c r="C273" s="13"/>
      <c r="D273" s="13"/>
      <c r="E273" s="13"/>
      <c r="F273" s="133" t="s">
        <v>158</v>
      </c>
      <c r="G273" s="13"/>
      <c r="H273" s="13" t="s">
        <v>168</v>
      </c>
      <c r="I273" s="159"/>
      <c r="J273" s="159"/>
      <c r="K273" s="159"/>
      <c r="L273" s="159"/>
      <c r="M273" s="159"/>
      <c r="N273" s="159"/>
      <c r="O273" s="159"/>
      <c r="P273" s="159"/>
      <c r="Q273" s="159"/>
      <c r="R273" s="159"/>
      <c r="S273" s="159"/>
      <c r="T273" s="159"/>
      <c r="U273" s="159"/>
      <c r="V273" s="5"/>
    </row>
    <row r="274" spans="1:22" ht="15.6" x14ac:dyDescent="0.3">
      <c r="A274" s="164"/>
      <c r="B274" s="13"/>
      <c r="C274" s="13"/>
      <c r="D274" s="13"/>
      <c r="E274" s="13"/>
      <c r="F274" s="13"/>
      <c r="G274" s="100"/>
      <c r="H274" s="159"/>
      <c r="I274" s="159"/>
      <c r="J274" s="159"/>
      <c r="K274" s="159"/>
      <c r="L274" s="159"/>
      <c r="M274" s="159"/>
      <c r="N274" s="159"/>
      <c r="O274" s="159"/>
      <c r="P274" s="159"/>
      <c r="Q274" s="159"/>
      <c r="R274" s="159"/>
      <c r="S274" s="159"/>
      <c r="T274" s="159"/>
      <c r="U274" s="159"/>
      <c r="V274" s="5"/>
    </row>
    <row r="275" spans="1:22" ht="15.6" x14ac:dyDescent="0.3">
      <c r="A275" s="164"/>
      <c r="B275" s="13"/>
      <c r="C275" s="13"/>
      <c r="D275" s="13"/>
      <c r="E275" s="13"/>
      <c r="F275" s="13"/>
      <c r="G275" s="100"/>
      <c r="H275" s="159"/>
      <c r="I275" s="159"/>
      <c r="J275" s="159"/>
      <c r="K275" s="159"/>
      <c r="L275" s="159"/>
      <c r="M275" s="159"/>
      <c r="N275" s="159"/>
      <c r="O275" s="159"/>
      <c r="P275" s="159"/>
      <c r="Q275" s="159"/>
      <c r="R275" s="159"/>
      <c r="S275" s="159"/>
      <c r="T275" s="159"/>
      <c r="U275" s="159"/>
      <c r="V275" s="5"/>
    </row>
    <row r="276" spans="1:22" ht="18" thickBot="1" x14ac:dyDescent="0.35">
      <c r="A276" s="164"/>
      <c r="B276" s="49" t="str">
        <f>B193</f>
        <v>PM9 INVESTOR REPORT QUARTER ENDING JULY 2007</v>
      </c>
      <c r="C276" s="13"/>
      <c r="D276" s="13"/>
      <c r="E276" s="13"/>
      <c r="F276" s="13"/>
      <c r="G276" s="100"/>
      <c r="H276" s="159"/>
      <c r="I276" s="159"/>
      <c r="J276" s="159"/>
      <c r="K276" s="159"/>
      <c r="L276" s="159"/>
      <c r="M276" s="159"/>
      <c r="N276" s="159"/>
      <c r="O276" s="159"/>
      <c r="P276" s="159"/>
      <c r="Q276" s="159"/>
      <c r="R276" s="159"/>
      <c r="S276" s="159"/>
      <c r="T276" s="159"/>
      <c r="U276" s="159"/>
      <c r="V276" s="5"/>
    </row>
    <row r="277" spans="1:22" x14ac:dyDescent="0.25">
      <c r="A277" s="101"/>
      <c r="B277" s="101"/>
      <c r="C277" s="101"/>
      <c r="D277" s="101"/>
      <c r="E277" s="101"/>
      <c r="F277" s="101"/>
      <c r="G277" s="101"/>
      <c r="H277" s="101"/>
      <c r="I277" s="101"/>
      <c r="J277" s="101"/>
      <c r="K277" s="101"/>
      <c r="L277" s="101"/>
      <c r="M277" s="101"/>
      <c r="N277" s="101"/>
      <c r="O277" s="101"/>
      <c r="P277" s="101"/>
      <c r="Q277" s="101"/>
      <c r="R277" s="101"/>
      <c r="S277" s="101"/>
      <c r="T277" s="101"/>
      <c r="U277" s="101"/>
    </row>
  </sheetData>
  <phoneticPr fontId="0" type="noConversion"/>
  <hyperlinks>
    <hyperlink ref="J9" r:id="rId1" xr:uid="{00000000-0004-0000-0700-000000000000}"/>
    <hyperlink ref="N228" r:id="rId2" xr:uid="{00000000-0004-0000-07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3" max="14" man="1"/>
    <brk id="193" max="14"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9CB31"/>
  </sheetPr>
  <dimension ref="A1:W277"/>
  <sheetViews>
    <sheetView showGridLines="0" showOutlineSymbols="0" zoomScale="70" zoomScaleNormal="70" workbookViewId="0"/>
  </sheetViews>
  <sheetFormatPr defaultColWidth="9.6328125" defaultRowHeight="15" x14ac:dyDescent="0.25"/>
  <cols>
    <col min="1" max="1" width="4" style="1" customWidth="1"/>
    <col min="2" max="2" width="71.1796875" style="1" customWidth="1"/>
    <col min="3" max="3" width="2.1796875" style="1" customWidth="1"/>
    <col min="4" max="4" width="19.36328125" style="1" customWidth="1"/>
    <col min="5" max="5" width="2.1796875" style="1" customWidth="1"/>
    <col min="6" max="6" width="25.08984375" style="1" customWidth="1"/>
    <col min="7" max="7" width="2.1796875" style="1" customWidth="1"/>
    <col min="8" max="8" width="16.1796875" style="1" customWidth="1"/>
    <col min="9" max="9" width="2.1796875" style="1" customWidth="1"/>
    <col min="10" max="10" width="17.90625" style="1" customWidth="1"/>
    <col min="11" max="11" width="2.36328125" style="1" customWidth="1"/>
    <col min="12" max="12" width="14.90625" style="1" customWidth="1"/>
    <col min="13" max="13" width="2.36328125" style="1" customWidth="1"/>
    <col min="14" max="14" width="15.54296875" style="1" customWidth="1"/>
    <col min="15" max="15" width="2.1796875" style="1" customWidth="1"/>
    <col min="16" max="16" width="15.54296875" style="1" customWidth="1"/>
    <col min="17" max="18" width="12.6328125" style="1" customWidth="1"/>
    <col min="19" max="19" width="7.81640625" style="1" customWidth="1"/>
    <col min="20" max="20" width="14.6328125" style="1" customWidth="1"/>
    <col min="21" max="21" width="11.81640625" style="1" customWidth="1"/>
    <col min="22" max="16384" width="9.6328125" style="1"/>
  </cols>
  <sheetData>
    <row r="1" spans="1:22" ht="20.399999999999999" x14ac:dyDescent="0.35">
      <c r="A1" s="2"/>
      <c r="B1" s="3" t="s">
        <v>181</v>
      </c>
      <c r="C1" s="4" t="s">
        <v>263</v>
      </c>
      <c r="D1" s="4"/>
      <c r="E1" s="4"/>
      <c r="F1" s="4"/>
      <c r="G1" s="4"/>
      <c r="H1" s="4"/>
      <c r="I1" s="4"/>
      <c r="J1" s="4"/>
      <c r="K1" s="4"/>
      <c r="L1" s="4"/>
      <c r="M1" s="4"/>
      <c r="N1" s="4"/>
      <c r="O1" s="4"/>
      <c r="P1" s="4"/>
      <c r="Q1" s="4"/>
      <c r="R1" s="4"/>
      <c r="S1" s="4"/>
      <c r="T1" s="4"/>
      <c r="U1" s="4"/>
      <c r="V1" s="5"/>
    </row>
    <row r="2" spans="1:22" ht="15.6" x14ac:dyDescent="0.3">
      <c r="A2" s="6"/>
      <c r="B2" s="7"/>
      <c r="C2" s="8"/>
      <c r="D2" s="8"/>
      <c r="E2" s="8"/>
      <c r="F2" s="8"/>
      <c r="G2" s="8"/>
      <c r="H2" s="8"/>
      <c r="I2" s="8"/>
      <c r="J2" s="8"/>
      <c r="K2" s="8"/>
      <c r="L2" s="8"/>
      <c r="M2" s="8"/>
      <c r="N2" s="8"/>
      <c r="O2" s="8"/>
      <c r="P2" s="8"/>
      <c r="Q2" s="8"/>
      <c r="R2" s="8"/>
      <c r="S2" s="8"/>
      <c r="T2" s="8"/>
      <c r="U2" s="8"/>
      <c r="V2" s="5"/>
    </row>
    <row r="3" spans="1:22" ht="15.6" x14ac:dyDescent="0.3">
      <c r="A3" s="9"/>
      <c r="B3" s="112" t="s">
        <v>182</v>
      </c>
      <c r="C3" s="8"/>
      <c r="D3" s="8"/>
      <c r="E3" s="8"/>
      <c r="F3" s="8"/>
      <c r="G3" s="8"/>
      <c r="H3" s="8"/>
      <c r="I3" s="8"/>
      <c r="J3" s="8"/>
      <c r="K3" s="8"/>
      <c r="L3" s="8"/>
      <c r="M3" s="8"/>
      <c r="N3" s="8"/>
      <c r="O3" s="8"/>
      <c r="P3" s="8"/>
      <c r="Q3" s="8"/>
      <c r="R3" s="8"/>
      <c r="S3" s="8"/>
      <c r="T3" s="8"/>
      <c r="U3" s="8"/>
      <c r="V3" s="5"/>
    </row>
    <row r="4" spans="1:22" ht="15.6" x14ac:dyDescent="0.3">
      <c r="A4" s="6"/>
      <c r="B4" s="7"/>
      <c r="C4" s="8"/>
      <c r="D4" s="8"/>
      <c r="E4" s="8"/>
      <c r="F4" s="8"/>
      <c r="G4" s="8"/>
      <c r="H4" s="8"/>
      <c r="I4" s="8"/>
      <c r="J4" s="8"/>
      <c r="K4" s="8"/>
      <c r="L4" s="8"/>
      <c r="M4" s="8"/>
      <c r="N4" s="8"/>
      <c r="O4" s="8"/>
      <c r="P4" s="8"/>
      <c r="Q4" s="8"/>
      <c r="R4" s="8"/>
      <c r="S4" s="8"/>
      <c r="T4" s="8"/>
      <c r="U4" s="8"/>
      <c r="V4" s="5"/>
    </row>
    <row r="5" spans="1:22" ht="15.6" x14ac:dyDescent="0.3">
      <c r="A5" s="6"/>
      <c r="B5" s="11" t="s">
        <v>146</v>
      </c>
      <c r="C5" s="8"/>
      <c r="D5" s="8"/>
      <c r="E5" s="8"/>
      <c r="F5" s="8"/>
      <c r="G5" s="8"/>
      <c r="H5" s="8"/>
      <c r="I5" s="8"/>
      <c r="J5" s="8"/>
      <c r="K5" s="8"/>
      <c r="L5" s="8"/>
      <c r="M5" s="8"/>
      <c r="N5" s="8"/>
      <c r="O5" s="8"/>
      <c r="P5" s="8"/>
      <c r="Q5" s="8"/>
      <c r="R5" s="8"/>
      <c r="S5" s="8"/>
      <c r="T5" s="8"/>
      <c r="U5" s="8"/>
      <c r="V5" s="5"/>
    </row>
    <row r="6" spans="1:22" ht="15.6" x14ac:dyDescent="0.3">
      <c r="A6" s="6"/>
      <c r="B6" s="11" t="s">
        <v>148</v>
      </c>
      <c r="C6" s="8"/>
      <c r="D6" s="8"/>
      <c r="E6" s="8"/>
      <c r="F6" s="8"/>
      <c r="G6" s="8"/>
      <c r="H6" s="8"/>
      <c r="I6" s="8"/>
      <c r="J6" s="8"/>
      <c r="K6" s="8"/>
      <c r="L6" s="8"/>
      <c r="M6" s="8"/>
      <c r="N6" s="8"/>
      <c r="O6" s="8"/>
      <c r="P6" s="8"/>
      <c r="Q6" s="8"/>
      <c r="R6" s="8"/>
      <c r="S6" s="8"/>
      <c r="T6" s="8"/>
      <c r="U6" s="8"/>
      <c r="V6" s="5"/>
    </row>
    <row r="7" spans="1:22" ht="15.6" x14ac:dyDescent="0.3">
      <c r="A7" s="6"/>
      <c r="B7" s="11" t="s">
        <v>147</v>
      </c>
      <c r="C7" s="8"/>
      <c r="D7" s="8"/>
      <c r="E7" s="8"/>
      <c r="F7" s="8"/>
      <c r="G7" s="8"/>
      <c r="H7" s="8"/>
      <c r="I7" s="8"/>
      <c r="J7" s="8"/>
      <c r="K7" s="8"/>
      <c r="L7" s="8"/>
      <c r="M7" s="8"/>
      <c r="N7" s="8"/>
      <c r="O7" s="8"/>
      <c r="P7" s="8"/>
      <c r="Q7" s="8"/>
      <c r="R7" s="8"/>
      <c r="S7" s="8"/>
      <c r="T7" s="8"/>
      <c r="U7" s="8"/>
      <c r="V7" s="5"/>
    </row>
    <row r="8" spans="1:22" ht="15.6" x14ac:dyDescent="0.3">
      <c r="A8" s="6"/>
      <c r="B8" s="11"/>
      <c r="C8" s="8"/>
      <c r="D8" s="8"/>
      <c r="E8" s="8"/>
      <c r="F8" s="8"/>
      <c r="G8" s="8"/>
      <c r="H8" s="8"/>
      <c r="I8" s="8"/>
      <c r="J8" s="8"/>
      <c r="K8" s="8"/>
      <c r="L8" s="8"/>
      <c r="M8" s="8"/>
      <c r="N8" s="8"/>
      <c r="O8" s="8"/>
      <c r="P8" s="8"/>
      <c r="Q8" s="8"/>
      <c r="R8" s="8"/>
      <c r="S8" s="8"/>
      <c r="T8" s="8"/>
      <c r="U8" s="8"/>
      <c r="V8" s="5"/>
    </row>
    <row r="9" spans="1:22" ht="17.399999999999999" x14ac:dyDescent="0.3">
      <c r="A9" s="6"/>
      <c r="B9" s="151" t="s">
        <v>206</v>
      </c>
      <c r="C9" s="8"/>
      <c r="D9" s="8"/>
      <c r="E9" s="8"/>
      <c r="F9" s="8"/>
      <c r="G9" s="8"/>
      <c r="H9" s="8"/>
      <c r="I9" s="8"/>
      <c r="J9" s="152" t="s">
        <v>207</v>
      </c>
      <c r="K9" s="8"/>
      <c r="L9" s="8"/>
      <c r="M9" s="8"/>
      <c r="N9" s="8"/>
      <c r="O9" s="8"/>
      <c r="P9" s="8"/>
      <c r="Q9" s="8"/>
      <c r="R9" s="8"/>
      <c r="S9" s="8"/>
      <c r="T9" s="8"/>
      <c r="U9" s="8"/>
      <c r="V9" s="5"/>
    </row>
    <row r="10" spans="1:22" ht="15.6" x14ac:dyDescent="0.3">
      <c r="A10" s="6"/>
      <c r="B10" s="11"/>
      <c r="C10" s="13"/>
      <c r="D10" s="13"/>
      <c r="E10" s="13"/>
      <c r="F10" s="8"/>
      <c r="G10" s="8"/>
      <c r="H10" s="8"/>
      <c r="I10" s="8"/>
      <c r="J10" s="8"/>
      <c r="K10" s="8"/>
      <c r="L10" s="8"/>
      <c r="M10" s="8"/>
      <c r="N10" s="8"/>
      <c r="O10" s="8"/>
      <c r="P10" s="8"/>
      <c r="Q10" s="8"/>
      <c r="R10" s="8"/>
      <c r="S10" s="8"/>
      <c r="T10" s="8"/>
      <c r="U10" s="8"/>
      <c r="V10" s="5"/>
    </row>
    <row r="11" spans="1:22" ht="15.6" x14ac:dyDescent="0.3">
      <c r="A11" s="6"/>
      <c r="B11" s="14" t="s">
        <v>0</v>
      </c>
      <c r="C11" s="8"/>
      <c r="D11" s="8"/>
      <c r="E11" s="8"/>
      <c r="F11" s="8"/>
      <c r="G11" s="8"/>
      <c r="H11" s="8"/>
      <c r="I11" s="8"/>
      <c r="J11" s="8"/>
      <c r="K11" s="8"/>
      <c r="L11" s="8"/>
      <c r="M11" s="8"/>
      <c r="N11" s="8"/>
      <c r="O11" s="8"/>
      <c r="P11" s="8"/>
      <c r="Q11" s="8"/>
      <c r="R11" s="8"/>
      <c r="S11" s="8"/>
      <c r="T11" s="8"/>
      <c r="U11" s="8"/>
      <c r="V11" s="5"/>
    </row>
    <row r="12" spans="1:22" ht="16.2" thickBot="1" x14ac:dyDescent="0.35">
      <c r="A12" s="6"/>
      <c r="B12" s="13"/>
      <c r="C12" s="8"/>
      <c r="D12" s="8"/>
      <c r="E12" s="8"/>
      <c r="F12" s="8"/>
      <c r="G12" s="8"/>
      <c r="H12" s="8"/>
      <c r="I12" s="8"/>
      <c r="J12" s="8"/>
      <c r="K12" s="8"/>
      <c r="L12" s="8"/>
      <c r="M12" s="8"/>
      <c r="N12" s="8"/>
      <c r="O12" s="8"/>
      <c r="P12" s="8"/>
      <c r="Q12" s="8"/>
      <c r="R12" s="8"/>
      <c r="S12" s="8"/>
      <c r="T12" s="8"/>
      <c r="U12" s="8"/>
      <c r="V12" s="5"/>
    </row>
    <row r="13" spans="1:22" ht="15.6" x14ac:dyDescent="0.3">
      <c r="A13" s="2"/>
      <c r="B13" s="4"/>
      <c r="C13" s="4"/>
      <c r="D13" s="4"/>
      <c r="E13" s="4"/>
      <c r="F13" s="4"/>
      <c r="G13" s="4"/>
      <c r="H13" s="4"/>
      <c r="I13" s="4"/>
      <c r="J13" s="4"/>
      <c r="K13" s="4"/>
      <c r="L13" s="4"/>
      <c r="M13" s="4"/>
      <c r="N13" s="4"/>
      <c r="O13" s="4"/>
      <c r="P13" s="4"/>
      <c r="Q13" s="4"/>
      <c r="R13" s="4"/>
      <c r="S13" s="4"/>
      <c r="T13" s="4"/>
      <c r="U13" s="4"/>
      <c r="V13" s="5"/>
    </row>
    <row r="14" spans="1:22" ht="15.6" x14ac:dyDescent="0.3">
      <c r="A14" s="6"/>
      <c r="B14" s="14" t="s">
        <v>1</v>
      </c>
      <c r="C14" s="15"/>
      <c r="D14" s="15"/>
      <c r="E14" s="15"/>
      <c r="F14" s="15"/>
      <c r="G14" s="15"/>
      <c r="H14" s="15"/>
      <c r="I14" s="15"/>
      <c r="J14" s="15"/>
      <c r="K14" s="15"/>
      <c r="L14" s="15"/>
      <c r="M14" s="15"/>
      <c r="N14" s="15"/>
      <c r="O14" s="15"/>
      <c r="P14" s="15"/>
      <c r="Q14" s="15"/>
      <c r="R14" s="15"/>
      <c r="S14" s="15"/>
      <c r="T14" s="16" t="s">
        <v>183</v>
      </c>
      <c r="U14" s="15"/>
      <c r="V14" s="5"/>
    </row>
    <row r="15" spans="1:22" ht="15.6" x14ac:dyDescent="0.3">
      <c r="A15" s="6"/>
      <c r="B15" s="14" t="s">
        <v>2</v>
      </c>
      <c r="C15" s="15"/>
      <c r="D15" s="15"/>
      <c r="E15" s="15"/>
      <c r="F15" s="15"/>
      <c r="G15" s="15"/>
      <c r="H15" s="18"/>
      <c r="I15" s="18"/>
      <c r="J15" s="18"/>
      <c r="K15" s="18"/>
      <c r="L15" s="18"/>
      <c r="M15" s="18"/>
      <c r="N15" s="18"/>
      <c r="O15" s="18"/>
      <c r="P15" s="18" t="s">
        <v>110</v>
      </c>
      <c r="Q15" s="140">
        <v>0.59430000000000005</v>
      </c>
      <c r="R15" s="17" t="s">
        <v>149</v>
      </c>
      <c r="S15" s="140">
        <v>0.40570000000000001</v>
      </c>
      <c r="T15" s="16"/>
      <c r="U15" s="15"/>
      <c r="V15" s="5"/>
    </row>
    <row r="16" spans="1:22" ht="15.6" x14ac:dyDescent="0.3">
      <c r="A16" s="6"/>
      <c r="B16" s="14" t="s">
        <v>3</v>
      </c>
      <c r="C16" s="15"/>
      <c r="D16" s="15"/>
      <c r="E16" s="15"/>
      <c r="F16" s="15"/>
      <c r="G16" s="15"/>
      <c r="H16" s="18"/>
      <c r="I16" s="18"/>
      <c r="J16" s="18"/>
      <c r="K16" s="18"/>
      <c r="L16" s="18"/>
      <c r="M16" s="18"/>
      <c r="N16" s="18"/>
      <c r="O16" s="18"/>
      <c r="P16" s="18" t="s">
        <v>110</v>
      </c>
      <c r="Q16" s="140">
        <v>0.67020000000000002</v>
      </c>
      <c r="R16" s="17" t="s">
        <v>149</v>
      </c>
      <c r="S16" s="140">
        <v>0.32979999999999998</v>
      </c>
      <c r="T16" s="16"/>
      <c r="U16" s="15"/>
      <c r="V16" s="5"/>
    </row>
    <row r="17" spans="1:22" ht="15.6" x14ac:dyDescent="0.3">
      <c r="A17" s="6"/>
      <c r="B17" s="14" t="s">
        <v>4</v>
      </c>
      <c r="C17" s="15"/>
      <c r="D17" s="15"/>
      <c r="E17" s="15"/>
      <c r="F17" s="15"/>
      <c r="G17" s="15"/>
      <c r="H17" s="15"/>
      <c r="I17" s="15"/>
      <c r="J17" s="15"/>
      <c r="K17" s="15"/>
      <c r="L17" s="15"/>
      <c r="M17" s="15"/>
      <c r="N17" s="15"/>
      <c r="O17" s="15"/>
      <c r="P17" s="15"/>
      <c r="Q17" s="169"/>
      <c r="R17" s="15"/>
      <c r="S17" s="15"/>
      <c r="T17" s="19">
        <v>38552</v>
      </c>
      <c r="U17" s="15"/>
      <c r="V17" s="5"/>
    </row>
    <row r="18" spans="1:22" ht="15.6" x14ac:dyDescent="0.3">
      <c r="A18" s="6"/>
      <c r="B18" s="14" t="s">
        <v>5</v>
      </c>
      <c r="C18" s="15"/>
      <c r="D18" s="15"/>
      <c r="E18" s="15"/>
      <c r="F18" s="15"/>
      <c r="G18" s="15"/>
      <c r="H18" s="15"/>
      <c r="I18" s="15"/>
      <c r="J18" s="15"/>
      <c r="K18" s="15"/>
      <c r="L18" s="15"/>
      <c r="M18" s="15"/>
      <c r="N18" s="15"/>
      <c r="O18" s="15"/>
      <c r="P18" s="15"/>
      <c r="Q18" s="15"/>
      <c r="R18" s="15"/>
      <c r="S18" s="15"/>
      <c r="T18" s="19">
        <v>39409</v>
      </c>
      <c r="U18" s="15"/>
      <c r="V18" s="5"/>
    </row>
    <row r="19" spans="1:22" ht="15.6" x14ac:dyDescent="0.3">
      <c r="A19" s="6"/>
      <c r="B19" s="8"/>
      <c r="C19" s="8"/>
      <c r="D19" s="8"/>
      <c r="E19" s="8"/>
      <c r="F19" s="8"/>
      <c r="G19" s="8"/>
      <c r="H19" s="8"/>
      <c r="I19" s="8"/>
      <c r="J19" s="8"/>
      <c r="K19" s="8"/>
      <c r="L19" s="8"/>
      <c r="M19" s="8"/>
      <c r="N19" s="8"/>
      <c r="O19" s="8"/>
      <c r="P19" s="8"/>
      <c r="Q19" s="8"/>
      <c r="R19" s="8"/>
      <c r="S19" s="8"/>
      <c r="T19" s="20"/>
      <c r="U19" s="8"/>
      <c r="V19" s="5"/>
    </row>
    <row r="20" spans="1:22" ht="15.6" x14ac:dyDescent="0.3">
      <c r="A20" s="6"/>
      <c r="B20" s="21" t="s">
        <v>6</v>
      </c>
      <c r="C20" s="8"/>
      <c r="D20" s="8"/>
      <c r="E20" s="8"/>
      <c r="F20" s="8"/>
      <c r="G20" s="8"/>
      <c r="H20" s="8"/>
      <c r="I20" s="8"/>
      <c r="J20" s="8"/>
      <c r="K20" s="8"/>
      <c r="L20" s="8"/>
      <c r="M20" s="8"/>
      <c r="N20" s="8"/>
      <c r="O20" s="8"/>
      <c r="P20" s="8"/>
      <c r="Q20" s="8"/>
      <c r="R20" s="20" t="s">
        <v>111</v>
      </c>
      <c r="S20" s="8"/>
      <c r="T20" s="159"/>
      <c r="U20" s="8"/>
      <c r="V20" s="5"/>
    </row>
    <row r="21" spans="1:22" ht="15.6" x14ac:dyDescent="0.3">
      <c r="A21" s="6"/>
      <c r="B21" s="8"/>
      <c r="C21" s="8"/>
      <c r="D21" s="8"/>
      <c r="E21" s="8"/>
      <c r="F21" s="8"/>
      <c r="G21" s="8"/>
      <c r="H21" s="8"/>
      <c r="I21" s="8"/>
      <c r="J21" s="8"/>
      <c r="K21" s="8"/>
      <c r="L21" s="8"/>
      <c r="M21" s="8"/>
      <c r="N21" s="8"/>
      <c r="O21" s="8"/>
      <c r="P21" s="8"/>
      <c r="Q21" s="8"/>
      <c r="R21" s="8"/>
      <c r="S21" s="8"/>
      <c r="T21" s="22"/>
      <c r="U21" s="8"/>
      <c r="V21" s="5"/>
    </row>
    <row r="22" spans="1:22" ht="15.6" x14ac:dyDescent="0.3">
      <c r="A22" s="6"/>
      <c r="B22" s="8"/>
      <c r="C22" s="113"/>
      <c r="D22" s="113" t="s">
        <v>185</v>
      </c>
      <c r="E22" s="113"/>
      <c r="F22" s="113" t="s">
        <v>186</v>
      </c>
      <c r="G22" s="113"/>
      <c r="H22" s="113" t="s">
        <v>187</v>
      </c>
      <c r="I22" s="113"/>
      <c r="J22" s="113" t="s">
        <v>188</v>
      </c>
      <c r="K22" s="113"/>
      <c r="L22" s="113" t="s">
        <v>189</v>
      </c>
      <c r="M22" s="113"/>
      <c r="N22" s="113" t="s">
        <v>190</v>
      </c>
      <c r="O22" s="113"/>
      <c r="P22" s="113" t="s">
        <v>191</v>
      </c>
      <c r="Q22" s="114"/>
      <c r="R22" s="23"/>
      <c r="S22" s="159"/>
      <c r="T22" s="159"/>
      <c r="U22" s="8"/>
      <c r="V22" s="5"/>
    </row>
    <row r="23" spans="1:22" ht="15.6" x14ac:dyDescent="0.3">
      <c r="A23" s="24"/>
      <c r="B23" s="25" t="s">
        <v>7</v>
      </c>
      <c r="C23" s="26"/>
      <c r="D23" s="26" t="s">
        <v>150</v>
      </c>
      <c r="E23" s="26"/>
      <c r="F23" s="26" t="s">
        <v>150</v>
      </c>
      <c r="G23" s="26"/>
      <c r="H23" s="26" t="s">
        <v>150</v>
      </c>
      <c r="I23" s="26"/>
      <c r="J23" s="26" t="s">
        <v>192</v>
      </c>
      <c r="K23" s="26"/>
      <c r="L23" s="26" t="s">
        <v>192</v>
      </c>
      <c r="M23" s="26"/>
      <c r="N23" s="26" t="s">
        <v>151</v>
      </c>
      <c r="O23" s="26"/>
      <c r="P23" s="26" t="s">
        <v>151</v>
      </c>
      <c r="Q23" s="26"/>
      <c r="R23" s="26"/>
      <c r="S23" s="160"/>
      <c r="T23" s="160"/>
      <c r="U23" s="25"/>
      <c r="V23" s="5"/>
    </row>
    <row r="24" spans="1:22" ht="15.6" x14ac:dyDescent="0.3">
      <c r="A24" s="24"/>
      <c r="B24" s="25" t="s">
        <v>8</v>
      </c>
      <c r="C24" s="26"/>
      <c r="D24" s="26" t="s">
        <v>152</v>
      </c>
      <c r="E24" s="26"/>
      <c r="F24" s="26" t="s">
        <v>152</v>
      </c>
      <c r="G24" s="26"/>
      <c r="H24" s="26" t="s">
        <v>152</v>
      </c>
      <c r="I24" s="26"/>
      <c r="J24" s="26" t="s">
        <v>193</v>
      </c>
      <c r="K24" s="26"/>
      <c r="L24" s="26" t="s">
        <v>193</v>
      </c>
      <c r="M24" s="26"/>
      <c r="N24" s="26" t="s">
        <v>153</v>
      </c>
      <c r="O24" s="26"/>
      <c r="P24" s="26" t="s">
        <v>153</v>
      </c>
      <c r="Q24" s="26"/>
      <c r="R24" s="26"/>
      <c r="S24" s="160"/>
      <c r="T24" s="160"/>
      <c r="U24" s="25"/>
      <c r="V24" s="5"/>
    </row>
    <row r="25" spans="1:22" ht="15.6" x14ac:dyDescent="0.3">
      <c r="A25" s="28"/>
      <c r="B25" s="29" t="s">
        <v>9</v>
      </c>
      <c r="C25" s="124"/>
      <c r="D25" s="124" t="s">
        <v>150</v>
      </c>
      <c r="E25" s="124"/>
      <c r="F25" s="124" t="s">
        <v>150</v>
      </c>
      <c r="G25" s="124"/>
      <c r="H25" s="124" t="s">
        <v>150</v>
      </c>
      <c r="I25" s="124"/>
      <c r="J25" s="124" t="s">
        <v>192</v>
      </c>
      <c r="K25" s="124"/>
      <c r="L25" s="124" t="s">
        <v>192</v>
      </c>
      <c r="M25" s="124"/>
      <c r="N25" s="124" t="s">
        <v>151</v>
      </c>
      <c r="O25" s="124"/>
      <c r="P25" s="124" t="s">
        <v>151</v>
      </c>
      <c r="Q25" s="124"/>
      <c r="R25" s="26"/>
      <c r="S25" s="160"/>
      <c r="T25" s="160"/>
      <c r="U25" s="25"/>
      <c r="V25" s="5"/>
    </row>
    <row r="26" spans="1:22" ht="15.6" x14ac:dyDescent="0.3">
      <c r="A26" s="28"/>
      <c r="B26" s="29" t="s">
        <v>10</v>
      </c>
      <c r="C26" s="124"/>
      <c r="D26" s="124" t="s">
        <v>152</v>
      </c>
      <c r="E26" s="124"/>
      <c r="F26" s="124" t="s">
        <v>152</v>
      </c>
      <c r="G26" s="124"/>
      <c r="H26" s="124" t="s">
        <v>152</v>
      </c>
      <c r="I26" s="124"/>
      <c r="J26" s="124" t="s">
        <v>193</v>
      </c>
      <c r="K26" s="124"/>
      <c r="L26" s="124" t="s">
        <v>193</v>
      </c>
      <c r="M26" s="124"/>
      <c r="N26" s="124" t="s">
        <v>153</v>
      </c>
      <c r="O26" s="124"/>
      <c r="P26" s="124" t="s">
        <v>153</v>
      </c>
      <c r="Q26" s="124"/>
      <c r="R26" s="26"/>
      <c r="S26" s="160"/>
      <c r="T26" s="160"/>
      <c r="U26" s="25"/>
      <c r="V26" s="5"/>
    </row>
    <row r="27" spans="1:22" ht="15.6" x14ac:dyDescent="0.3">
      <c r="A27" s="24"/>
      <c r="B27" s="25" t="s">
        <v>11</v>
      </c>
      <c r="C27" s="26"/>
      <c r="D27" s="26" t="s">
        <v>194</v>
      </c>
      <c r="E27" s="26"/>
      <c r="F27" s="30" t="s">
        <v>195</v>
      </c>
      <c r="G27" s="26"/>
      <c r="H27" s="26" t="s">
        <v>196</v>
      </c>
      <c r="I27" s="26"/>
      <c r="J27" s="26" t="s">
        <v>198</v>
      </c>
      <c r="K27" s="26"/>
      <c r="L27" s="26" t="s">
        <v>199</v>
      </c>
      <c r="M27" s="26"/>
      <c r="N27" s="26" t="s">
        <v>200</v>
      </c>
      <c r="O27" s="26"/>
      <c r="P27" s="26" t="s">
        <v>201</v>
      </c>
      <c r="Q27" s="26"/>
      <c r="R27" s="30"/>
      <c r="S27" s="160"/>
      <c r="T27" s="160"/>
      <c r="U27" s="25"/>
      <c r="V27" s="5"/>
    </row>
    <row r="28" spans="1:22" ht="15.6" x14ac:dyDescent="0.3">
      <c r="A28" s="24"/>
      <c r="B28" s="25" t="s">
        <v>11</v>
      </c>
      <c r="C28" s="26"/>
      <c r="D28" s="26" t="s">
        <v>127</v>
      </c>
      <c r="E28" s="26"/>
      <c r="F28" s="30" t="s">
        <v>127</v>
      </c>
      <c r="G28" s="26"/>
      <c r="H28" s="26" t="s">
        <v>197</v>
      </c>
      <c r="I28" s="26"/>
      <c r="J28" s="26" t="s">
        <v>127</v>
      </c>
      <c r="K28" s="26"/>
      <c r="L28" s="26" t="s">
        <v>127</v>
      </c>
      <c r="M28" s="26"/>
      <c r="N28" s="26" t="s">
        <v>127</v>
      </c>
      <c r="O28" s="26"/>
      <c r="P28" s="26" t="s">
        <v>127</v>
      </c>
      <c r="Q28" s="26"/>
      <c r="R28" s="30"/>
      <c r="S28" s="160"/>
      <c r="T28" s="160"/>
      <c r="U28" s="25"/>
      <c r="V28" s="5"/>
    </row>
    <row r="29" spans="1:22" ht="15.6" x14ac:dyDescent="0.3">
      <c r="A29" s="24"/>
      <c r="B29" s="25" t="s">
        <v>142</v>
      </c>
      <c r="C29" s="32"/>
      <c r="D29" s="31">
        <v>346000</v>
      </c>
      <c r="E29" s="32"/>
      <c r="F29" s="125">
        <v>355000</v>
      </c>
      <c r="G29" s="31"/>
      <c r="H29" s="150">
        <v>60000</v>
      </c>
      <c r="I29" s="31"/>
      <c r="J29" s="31">
        <v>7000</v>
      </c>
      <c r="K29" s="31"/>
      <c r="L29" s="125">
        <v>29500</v>
      </c>
      <c r="M29" s="31"/>
      <c r="N29" s="130">
        <v>3000</v>
      </c>
      <c r="O29" s="31"/>
      <c r="P29" s="125">
        <v>66000</v>
      </c>
      <c r="Q29" s="31"/>
      <c r="R29" s="31"/>
      <c r="S29" s="161"/>
      <c r="T29" s="31"/>
      <c r="U29" s="34"/>
      <c r="V29" s="5"/>
    </row>
    <row r="30" spans="1:22" ht="15.6" x14ac:dyDescent="0.3">
      <c r="A30" s="24"/>
      <c r="B30" s="25" t="s">
        <v>141</v>
      </c>
      <c r="C30" s="32"/>
      <c r="D30" s="31">
        <f>D29*D36</f>
        <v>231361.96520000001</v>
      </c>
      <c r="E30" s="32"/>
      <c r="F30" s="125">
        <f>F29*F36</f>
        <v>237380.05100000001</v>
      </c>
      <c r="G30" s="31"/>
      <c r="H30" s="150">
        <f>H29*H36</f>
        <v>40120.565999999999</v>
      </c>
      <c r="I30" s="31"/>
      <c r="J30" s="31">
        <f>J29*J36</f>
        <v>7000</v>
      </c>
      <c r="K30" s="31"/>
      <c r="L30" s="125">
        <f>L29*L36</f>
        <v>29500</v>
      </c>
      <c r="M30" s="31"/>
      <c r="N30" s="130">
        <f>N29*N36</f>
        <v>3000</v>
      </c>
      <c r="O30" s="31"/>
      <c r="P30" s="125">
        <f>P29*P36</f>
        <v>66000</v>
      </c>
      <c r="Q30" s="31"/>
      <c r="R30" s="31"/>
      <c r="S30" s="161"/>
      <c r="T30" s="31"/>
      <c r="U30" s="34"/>
      <c r="V30" s="5"/>
    </row>
    <row r="31" spans="1:22" ht="15.6" x14ac:dyDescent="0.3">
      <c r="A31" s="28"/>
      <c r="B31" s="29" t="s">
        <v>143</v>
      </c>
      <c r="C31" s="36"/>
      <c r="D31" s="35">
        <f>D35*D29</f>
        <v>205031.57279999999</v>
      </c>
      <c r="E31" s="36"/>
      <c r="F31" s="126">
        <f>F35*F29</f>
        <v>210364.764</v>
      </c>
      <c r="G31" s="35"/>
      <c r="H31" s="155">
        <f>H35*H29</f>
        <v>35554.595999999998</v>
      </c>
      <c r="I31" s="35"/>
      <c r="J31" s="35">
        <f>J35*J29</f>
        <v>7000</v>
      </c>
      <c r="K31" s="35"/>
      <c r="L31" s="126">
        <f>L35*L29</f>
        <v>29500</v>
      </c>
      <c r="M31" s="35"/>
      <c r="N31" s="131">
        <f>N35*N29</f>
        <v>3000</v>
      </c>
      <c r="O31" s="35"/>
      <c r="P31" s="126">
        <f>P35*P29</f>
        <v>66000</v>
      </c>
      <c r="Q31" s="35"/>
      <c r="R31" s="35"/>
      <c r="S31" s="37"/>
      <c r="T31" s="35"/>
      <c r="U31" s="34"/>
      <c r="V31" s="5"/>
    </row>
    <row r="32" spans="1:22" ht="15.6" x14ac:dyDescent="0.3">
      <c r="A32" s="24"/>
      <c r="B32" s="25" t="s">
        <v>289</v>
      </c>
      <c r="C32" s="32"/>
      <c r="D32" s="31">
        <v>346000</v>
      </c>
      <c r="E32" s="32"/>
      <c r="F32" s="31">
        <v>244500</v>
      </c>
      <c r="G32" s="31"/>
      <c r="H32" s="31">
        <v>33900</v>
      </c>
      <c r="I32" s="31"/>
      <c r="J32" s="31">
        <v>7000</v>
      </c>
      <c r="K32" s="31"/>
      <c r="L32" s="31">
        <v>20300</v>
      </c>
      <c r="M32" s="31"/>
      <c r="N32" s="31">
        <v>3000</v>
      </c>
      <c r="O32" s="31"/>
      <c r="P32" s="31">
        <v>45300</v>
      </c>
      <c r="Q32" s="31"/>
      <c r="R32" s="31"/>
      <c r="S32" s="161"/>
      <c r="T32" s="31">
        <f>SUM(C32:P32)</f>
        <v>700000</v>
      </c>
      <c r="U32" s="34"/>
      <c r="V32" s="5"/>
    </row>
    <row r="33" spans="1:22" ht="15.6" x14ac:dyDescent="0.3">
      <c r="A33" s="24"/>
      <c r="B33" s="25" t="s">
        <v>290</v>
      </c>
      <c r="C33" s="32"/>
      <c r="D33" s="31">
        <f>D32*D36</f>
        <v>231361.96520000001</v>
      </c>
      <c r="E33" s="32"/>
      <c r="F33" s="31">
        <f>F32*F36</f>
        <v>163491.3309</v>
      </c>
      <c r="G33" s="31"/>
      <c r="H33" s="31">
        <f>H32*H36</f>
        <v>22668.119790000001</v>
      </c>
      <c r="I33" s="31"/>
      <c r="J33" s="31">
        <f>J32*J36</f>
        <v>7000</v>
      </c>
      <c r="K33" s="31"/>
      <c r="L33" s="31">
        <f>L32*L36</f>
        <v>20300</v>
      </c>
      <c r="M33" s="31"/>
      <c r="N33" s="31">
        <f>N32*N36</f>
        <v>3000</v>
      </c>
      <c r="O33" s="31"/>
      <c r="P33" s="31">
        <f>P32*P36</f>
        <v>45300</v>
      </c>
      <c r="Q33" s="31"/>
      <c r="R33" s="31"/>
      <c r="S33" s="161"/>
      <c r="T33" s="31">
        <f>SUM(C33:P33)</f>
        <v>493121.41589000006</v>
      </c>
      <c r="U33" s="34"/>
      <c r="V33" s="5"/>
    </row>
    <row r="34" spans="1:22" ht="15.6" x14ac:dyDescent="0.3">
      <c r="A34" s="28"/>
      <c r="B34" s="29" t="s">
        <v>291</v>
      </c>
      <c r="C34" s="36"/>
      <c r="D34" s="35">
        <f>D35*D32</f>
        <v>205031.57279999999</v>
      </c>
      <c r="E34" s="36"/>
      <c r="F34" s="35">
        <f>F35*F32</f>
        <v>144885.0276</v>
      </c>
      <c r="G34" s="35"/>
      <c r="H34" s="35">
        <f>H35*H32</f>
        <v>20088.346740000001</v>
      </c>
      <c r="I34" s="35"/>
      <c r="J34" s="35">
        <f>J35*J32</f>
        <v>7000</v>
      </c>
      <c r="K34" s="35"/>
      <c r="L34" s="35">
        <f>L35*L32</f>
        <v>20300</v>
      </c>
      <c r="M34" s="35"/>
      <c r="N34" s="35">
        <f>N35*N32</f>
        <v>3000</v>
      </c>
      <c r="O34" s="35"/>
      <c r="P34" s="35">
        <f>P35*P32</f>
        <v>45300</v>
      </c>
      <c r="Q34" s="35"/>
      <c r="R34" s="35"/>
      <c r="S34" s="37"/>
      <c r="T34" s="35">
        <f>SUM(C34:P34)</f>
        <v>445604.94714</v>
      </c>
      <c r="U34" s="34"/>
      <c r="V34" s="5"/>
    </row>
    <row r="35" spans="1:22" ht="15.6" x14ac:dyDescent="0.3">
      <c r="A35" s="28"/>
      <c r="B35" s="123" t="s">
        <v>139</v>
      </c>
      <c r="C35" s="127"/>
      <c r="D35" s="167">
        <v>0.59257680000000001</v>
      </c>
      <c r="E35" s="168"/>
      <c r="F35" s="167">
        <v>0.59257680000000001</v>
      </c>
      <c r="G35" s="167"/>
      <c r="H35" s="167">
        <v>0.59257660000000001</v>
      </c>
      <c r="I35" s="138"/>
      <c r="J35" s="138">
        <v>1</v>
      </c>
      <c r="K35" s="138"/>
      <c r="L35" s="138">
        <v>1</v>
      </c>
      <c r="M35" s="138"/>
      <c r="N35" s="138">
        <v>1</v>
      </c>
      <c r="O35" s="138"/>
      <c r="P35" s="138">
        <v>1</v>
      </c>
      <c r="Q35" s="31"/>
      <c r="R35" s="31"/>
      <c r="S35" s="161"/>
      <c r="T35" s="31"/>
      <c r="U35" s="34"/>
      <c r="V35" s="5"/>
    </row>
    <row r="36" spans="1:22" ht="15.6" x14ac:dyDescent="0.3">
      <c r="A36" s="28"/>
      <c r="B36" s="123" t="s">
        <v>140</v>
      </c>
      <c r="C36" s="127"/>
      <c r="D36" s="167">
        <v>0.66867620000000005</v>
      </c>
      <c r="E36" s="168"/>
      <c r="F36" s="167">
        <v>0.66867620000000005</v>
      </c>
      <c r="G36" s="167"/>
      <c r="H36" s="167">
        <v>0.6686761</v>
      </c>
      <c r="I36" s="138"/>
      <c r="J36" s="138">
        <v>1</v>
      </c>
      <c r="K36" s="138"/>
      <c r="L36" s="138">
        <v>1</v>
      </c>
      <c r="M36" s="138"/>
      <c r="N36" s="138">
        <v>1</v>
      </c>
      <c r="O36" s="138"/>
      <c r="P36" s="138">
        <v>1</v>
      </c>
      <c r="Q36" s="129"/>
      <c r="R36" s="129"/>
      <c r="S36" s="161"/>
      <c r="T36" s="31"/>
      <c r="U36" s="34"/>
      <c r="V36" s="5"/>
    </row>
    <row r="37" spans="1:22" ht="15.6" x14ac:dyDescent="0.3">
      <c r="A37" s="24"/>
      <c r="B37" s="25" t="s">
        <v>12</v>
      </c>
      <c r="C37" s="25"/>
      <c r="D37" s="30" t="s">
        <v>165</v>
      </c>
      <c r="E37" s="25"/>
      <c r="F37" s="30" t="s">
        <v>165</v>
      </c>
      <c r="G37" s="30"/>
      <c r="H37" s="30" t="s">
        <v>165</v>
      </c>
      <c r="I37" s="30"/>
      <c r="J37" s="30" t="s">
        <v>202</v>
      </c>
      <c r="K37" s="30"/>
      <c r="L37" s="30" t="s">
        <v>202</v>
      </c>
      <c r="M37" s="30"/>
      <c r="N37" s="30" t="s">
        <v>203</v>
      </c>
      <c r="O37" s="30"/>
      <c r="P37" s="30" t="s">
        <v>203</v>
      </c>
      <c r="Q37" s="30"/>
      <c r="R37" s="30"/>
      <c r="S37" s="160"/>
      <c r="T37" s="160"/>
      <c r="U37" s="25"/>
      <c r="V37" s="5"/>
    </row>
    <row r="38" spans="1:22" ht="15.6" x14ac:dyDescent="0.3">
      <c r="A38" s="24"/>
      <c r="B38" s="25" t="s">
        <v>13</v>
      </c>
      <c r="C38" s="25"/>
      <c r="D38" s="38">
        <v>6.5674999999999997E-2</v>
      </c>
      <c r="E38" s="25"/>
      <c r="F38" s="38">
        <v>4.6859999999999999E-2</v>
      </c>
      <c r="G38" s="39"/>
      <c r="H38" s="38">
        <v>5.7375000000000002E-2</v>
      </c>
      <c r="I38" s="39"/>
      <c r="J38" s="38">
        <v>6.6775000000000001E-2</v>
      </c>
      <c r="K38" s="39"/>
      <c r="L38" s="38">
        <v>4.7960000000000003E-2</v>
      </c>
      <c r="M38" s="39"/>
      <c r="N38" s="38">
        <v>6.9074999999999998E-2</v>
      </c>
      <c r="O38" s="39"/>
      <c r="P38" s="38">
        <v>5.0259999999999999E-2</v>
      </c>
      <c r="Q38" s="39"/>
      <c r="R38" s="38"/>
      <c r="S38" s="160"/>
      <c r="T38" s="39"/>
      <c r="U38" s="25"/>
      <c r="V38" s="5"/>
    </row>
    <row r="39" spans="1:22" ht="15.6" x14ac:dyDescent="0.3">
      <c r="A39" s="24"/>
      <c r="B39" s="25" t="s">
        <v>14</v>
      </c>
      <c r="C39" s="25"/>
      <c r="D39" s="38">
        <v>5.9339999999999997E-2</v>
      </c>
      <c r="E39" s="25"/>
      <c r="F39" s="38">
        <v>4.2410000000000003E-2</v>
      </c>
      <c r="G39" s="39"/>
      <c r="H39" s="38">
        <v>5.5399999999999998E-2</v>
      </c>
      <c r="I39" s="39"/>
      <c r="J39" s="38">
        <v>6.0440000000000001E-2</v>
      </c>
      <c r="K39" s="39"/>
      <c r="L39" s="38">
        <v>4.351E-2</v>
      </c>
      <c r="M39" s="39"/>
      <c r="N39" s="38">
        <v>6.2740000000000004E-2</v>
      </c>
      <c r="O39" s="39"/>
      <c r="P39" s="38">
        <v>4.5809999999999997E-2</v>
      </c>
      <c r="Q39" s="39"/>
      <c r="R39" s="38"/>
      <c r="S39" s="160"/>
      <c r="T39" s="160"/>
      <c r="U39" s="25"/>
      <c r="V39" s="5"/>
    </row>
    <row r="40" spans="1:22" ht="15.6" x14ac:dyDescent="0.3">
      <c r="A40" s="24"/>
      <c r="B40" s="25" t="s">
        <v>292</v>
      </c>
      <c r="C40" s="25"/>
      <c r="D40" s="30" t="s">
        <v>165</v>
      </c>
      <c r="E40" s="25"/>
      <c r="F40" s="30" t="s">
        <v>214</v>
      </c>
      <c r="G40" s="30"/>
      <c r="H40" s="30" t="s">
        <v>215</v>
      </c>
      <c r="I40" s="30"/>
      <c r="J40" s="30" t="s">
        <v>202</v>
      </c>
      <c r="K40" s="30"/>
      <c r="L40" s="30" t="s">
        <v>216</v>
      </c>
      <c r="M40" s="30"/>
      <c r="N40" s="30" t="s">
        <v>203</v>
      </c>
      <c r="O40" s="30"/>
      <c r="P40" s="30" t="s">
        <v>217</v>
      </c>
      <c r="Q40" s="39"/>
      <c r="R40" s="38"/>
      <c r="S40" s="160"/>
      <c r="T40" s="39"/>
      <c r="U40" s="25"/>
      <c r="V40" s="5"/>
    </row>
    <row r="41" spans="1:22" ht="15.6" x14ac:dyDescent="0.3">
      <c r="A41" s="24"/>
      <c r="B41" s="25" t="s">
        <v>293</v>
      </c>
      <c r="C41" s="25"/>
      <c r="D41" s="38">
        <f>+D38</f>
        <v>6.5674999999999997E-2</v>
      </c>
      <c r="E41" s="25"/>
      <c r="F41" s="38">
        <v>6.5775E-2</v>
      </c>
      <c r="G41" s="39"/>
      <c r="H41" s="38">
        <v>6.5905000000000005E-2</v>
      </c>
      <c r="I41" s="39"/>
      <c r="J41" s="38">
        <f>+J38</f>
        <v>6.6775000000000001E-2</v>
      </c>
      <c r="K41" s="39"/>
      <c r="L41" s="38">
        <v>6.7070000000000005E-2</v>
      </c>
      <c r="M41" s="39"/>
      <c r="N41" s="38">
        <f>+N38</f>
        <v>6.9074999999999998E-2</v>
      </c>
      <c r="O41" s="39"/>
      <c r="P41" s="38">
        <v>6.9514999999999993E-2</v>
      </c>
      <c r="Q41" s="39"/>
      <c r="R41" s="38"/>
      <c r="S41" s="160"/>
      <c r="T41" s="39">
        <f>SUMPRODUCT(D41:P41,D33:P33)/T33</f>
        <v>6.6165210509728942E-2</v>
      </c>
      <c r="U41" s="25"/>
      <c r="V41" s="5"/>
    </row>
    <row r="42" spans="1:22" ht="15.6" x14ac:dyDescent="0.3">
      <c r="A42" s="24"/>
      <c r="B42" s="25" t="s">
        <v>294</v>
      </c>
      <c r="C42" s="25"/>
      <c r="D42" s="38">
        <f>+D39</f>
        <v>5.9339999999999997E-2</v>
      </c>
      <c r="E42" s="25"/>
      <c r="F42" s="38">
        <v>5.944E-2</v>
      </c>
      <c r="G42" s="39"/>
      <c r="H42" s="38">
        <v>5.9569999999999998E-2</v>
      </c>
      <c r="I42" s="39"/>
      <c r="J42" s="38">
        <f>+J39</f>
        <v>6.0440000000000001E-2</v>
      </c>
      <c r="K42" s="39"/>
      <c r="L42" s="38">
        <v>6.0734999999999997E-2</v>
      </c>
      <c r="M42" s="39"/>
      <c r="N42" s="38">
        <f>+N39</f>
        <v>6.2740000000000004E-2</v>
      </c>
      <c r="O42" s="39"/>
      <c r="P42" s="38">
        <v>6.318E-2</v>
      </c>
      <c r="Q42" s="39"/>
      <c r="R42" s="38"/>
      <c r="S42" s="160"/>
      <c r="T42" s="160"/>
      <c r="U42" s="25"/>
      <c r="V42" s="5"/>
    </row>
    <row r="43" spans="1:22" ht="15.6" x14ac:dyDescent="0.3">
      <c r="A43" s="24"/>
      <c r="B43" s="25" t="s">
        <v>15</v>
      </c>
      <c r="C43" s="111"/>
      <c r="D43" s="111">
        <v>39948</v>
      </c>
      <c r="E43" s="111"/>
      <c r="F43" s="111">
        <v>39948</v>
      </c>
      <c r="G43" s="111"/>
      <c r="H43" s="111">
        <v>39948</v>
      </c>
      <c r="I43" s="111"/>
      <c r="J43" s="111">
        <v>39948</v>
      </c>
      <c r="K43" s="111"/>
      <c r="L43" s="111">
        <v>39948</v>
      </c>
      <c r="M43" s="111"/>
      <c r="N43" s="111">
        <v>39948</v>
      </c>
      <c r="O43" s="111"/>
      <c r="P43" s="111">
        <v>39948</v>
      </c>
      <c r="Q43" s="30"/>
      <c r="R43" s="30"/>
      <c r="S43" s="160"/>
      <c r="T43" s="160"/>
      <c r="U43" s="25"/>
      <c r="V43" s="5"/>
    </row>
    <row r="44" spans="1:22" ht="15.6" x14ac:dyDescent="0.3">
      <c r="A44" s="24"/>
      <c r="B44" s="25" t="s">
        <v>16</v>
      </c>
      <c r="C44" s="111"/>
      <c r="D44" s="111">
        <v>40313</v>
      </c>
      <c r="E44" s="111"/>
      <c r="F44" s="111">
        <v>40313</v>
      </c>
      <c r="G44" s="111"/>
      <c r="H44" s="111">
        <v>40313</v>
      </c>
      <c r="I44" s="30"/>
      <c r="J44" s="111">
        <v>40313</v>
      </c>
      <c r="K44" s="30"/>
      <c r="L44" s="111">
        <v>40313</v>
      </c>
      <c r="M44" s="30"/>
      <c r="N44" s="111">
        <v>40313</v>
      </c>
      <c r="O44" s="30"/>
      <c r="P44" s="111">
        <v>40313</v>
      </c>
      <c r="Q44" s="30"/>
      <c r="R44" s="30"/>
      <c r="S44" s="160"/>
      <c r="T44" s="160"/>
      <c r="U44" s="25"/>
      <c r="V44" s="5"/>
    </row>
    <row r="45" spans="1:22" ht="15.6" x14ac:dyDescent="0.3">
      <c r="A45" s="24"/>
      <c r="B45" s="25" t="s">
        <v>128</v>
      </c>
      <c r="C45" s="25"/>
      <c r="D45" s="30" t="s">
        <v>166</v>
      </c>
      <c r="E45" s="25"/>
      <c r="F45" s="30" t="s">
        <v>166</v>
      </c>
      <c r="G45" s="30"/>
      <c r="H45" s="30" t="s">
        <v>166</v>
      </c>
      <c r="I45" s="30"/>
      <c r="J45" s="30" t="s">
        <v>204</v>
      </c>
      <c r="K45" s="30"/>
      <c r="L45" s="30" t="s">
        <v>204</v>
      </c>
      <c r="M45" s="30"/>
      <c r="N45" s="30" t="s">
        <v>205</v>
      </c>
      <c r="O45" s="30"/>
      <c r="P45" s="30" t="s">
        <v>205</v>
      </c>
      <c r="Q45" s="30"/>
      <c r="R45" s="30"/>
      <c r="S45" s="160"/>
      <c r="T45" s="160"/>
      <c r="U45" s="25"/>
      <c r="V45" s="5"/>
    </row>
    <row r="46" spans="1:22" ht="15.6" x14ac:dyDescent="0.3">
      <c r="A46" s="24"/>
      <c r="B46" s="25" t="s">
        <v>295</v>
      </c>
      <c r="C46" s="25"/>
      <c r="D46" s="30" t="s">
        <v>166</v>
      </c>
      <c r="E46" s="25"/>
      <c r="F46" s="30" t="s">
        <v>209</v>
      </c>
      <c r="G46" s="30"/>
      <c r="H46" s="30" t="s">
        <v>210</v>
      </c>
      <c r="I46" s="30"/>
      <c r="J46" s="30" t="s">
        <v>204</v>
      </c>
      <c r="K46" s="30"/>
      <c r="L46" s="30" t="s">
        <v>211</v>
      </c>
      <c r="M46" s="30"/>
      <c r="N46" s="30" t="s">
        <v>205</v>
      </c>
      <c r="O46" s="30"/>
      <c r="P46" s="30" t="s">
        <v>212</v>
      </c>
      <c r="Q46" s="30"/>
      <c r="R46" s="30"/>
      <c r="S46" s="160"/>
      <c r="T46" s="160"/>
      <c r="U46" s="25"/>
      <c r="V46" s="5"/>
    </row>
    <row r="47" spans="1:22" ht="15.6" x14ac:dyDescent="0.3">
      <c r="A47" s="24"/>
      <c r="B47" s="25"/>
      <c r="C47" s="25"/>
      <c r="D47" s="25"/>
      <c r="E47" s="25"/>
      <c r="F47" s="30"/>
      <c r="G47" s="30"/>
      <c r="H47" s="40"/>
      <c r="I47" s="40"/>
      <c r="J47" s="40"/>
      <c r="K47" s="40"/>
      <c r="L47" s="40"/>
      <c r="M47" s="40"/>
      <c r="N47" s="40"/>
      <c r="O47" s="40"/>
      <c r="P47" s="40"/>
      <c r="Q47" s="40"/>
      <c r="R47" s="40"/>
      <c r="S47" s="40"/>
      <c r="T47" s="40"/>
      <c r="U47" s="25"/>
      <c r="V47" s="5"/>
    </row>
    <row r="48" spans="1:22" ht="15.6" x14ac:dyDescent="0.3">
      <c r="A48" s="24"/>
      <c r="B48" s="25" t="s">
        <v>224</v>
      </c>
      <c r="C48" s="25"/>
      <c r="D48" s="25"/>
      <c r="E48" s="25"/>
      <c r="F48" s="41"/>
      <c r="G48" s="25"/>
      <c r="H48" s="25"/>
      <c r="I48" s="25"/>
      <c r="J48" s="25"/>
      <c r="K48" s="25"/>
      <c r="L48" s="25"/>
      <c r="M48" s="25"/>
      <c r="N48" s="25"/>
      <c r="O48" s="25"/>
      <c r="P48" s="25"/>
      <c r="Q48" s="25"/>
      <c r="R48" s="25"/>
      <c r="S48" s="25"/>
      <c r="T48" s="39">
        <f>SUM(J32:P32)/SUM(D32:H32)</f>
        <v>0.1210762331838565</v>
      </c>
      <c r="U48" s="25"/>
      <c r="V48" s="5"/>
    </row>
    <row r="49" spans="1:23" ht="15.6" x14ac:dyDescent="0.3">
      <c r="A49" s="24"/>
      <c r="B49" s="25" t="s">
        <v>225</v>
      </c>
      <c r="C49" s="25"/>
      <c r="D49" s="25"/>
      <c r="E49" s="25"/>
      <c r="F49" s="41"/>
      <c r="G49" s="25"/>
      <c r="H49" s="25"/>
      <c r="I49" s="25"/>
      <c r="J49" s="25"/>
      <c r="K49" s="25"/>
      <c r="L49" s="25"/>
      <c r="M49" s="25"/>
      <c r="N49" s="25"/>
      <c r="O49" s="25"/>
      <c r="P49" s="25"/>
      <c r="Q49" s="25"/>
      <c r="R49" s="25"/>
      <c r="S49" s="25"/>
      <c r="T49" s="39">
        <f>SUM(J34:P34)/SUM(D34:H34)</f>
        <v>0.20432159241210085</v>
      </c>
      <c r="U49" s="25"/>
      <c r="V49" s="5"/>
    </row>
    <row r="50" spans="1:23" ht="15.6" x14ac:dyDescent="0.3">
      <c r="A50" s="24"/>
      <c r="B50" s="25" t="s">
        <v>226</v>
      </c>
      <c r="C50" s="25"/>
      <c r="D50" s="25"/>
      <c r="E50" s="25"/>
      <c r="F50" s="25"/>
      <c r="G50" s="25"/>
      <c r="H50" s="25"/>
      <c r="I50" s="25"/>
      <c r="J50" s="25"/>
      <c r="K50" s="25"/>
      <c r="L50" s="25"/>
      <c r="M50" s="25"/>
      <c r="N50" s="25"/>
      <c r="O50" s="25"/>
      <c r="P50" s="25"/>
      <c r="Q50" s="25"/>
      <c r="R50" s="30" t="s">
        <v>112</v>
      </c>
      <c r="S50" s="30" t="s">
        <v>118</v>
      </c>
      <c r="T50" s="31">
        <f>+T32/2-SUM(J32:P32)</f>
        <v>274400</v>
      </c>
      <c r="U50" s="25"/>
      <c r="V50" s="5"/>
    </row>
    <row r="51" spans="1:23" ht="15.6" x14ac:dyDescent="0.3">
      <c r="A51" s="24"/>
      <c r="B51" s="25"/>
      <c r="C51" s="25"/>
      <c r="D51" s="25"/>
      <c r="E51" s="25"/>
      <c r="F51" s="25"/>
      <c r="G51" s="25"/>
      <c r="H51" s="25"/>
      <c r="I51" s="25"/>
      <c r="J51" s="25"/>
      <c r="K51" s="25"/>
      <c r="L51" s="25"/>
      <c r="M51" s="25"/>
      <c r="N51" s="25"/>
      <c r="O51" s="25"/>
      <c r="P51" s="25"/>
      <c r="Q51" s="25"/>
      <c r="R51" s="25" t="s">
        <v>284</v>
      </c>
      <c r="S51" s="25"/>
      <c r="T51" s="42"/>
      <c r="U51" s="25"/>
      <c r="V51" s="5"/>
    </row>
    <row r="52" spans="1:23" ht="15.6" x14ac:dyDescent="0.3">
      <c r="A52" s="24"/>
      <c r="B52" s="25" t="s">
        <v>154</v>
      </c>
      <c r="C52" s="25"/>
      <c r="D52" s="25"/>
      <c r="E52" s="25"/>
      <c r="F52" s="25"/>
      <c r="G52" s="25"/>
      <c r="H52" s="25"/>
      <c r="I52" s="25"/>
      <c r="J52" s="25"/>
      <c r="K52" s="25"/>
      <c r="L52" s="25"/>
      <c r="M52" s="25"/>
      <c r="N52" s="25"/>
      <c r="O52" s="25"/>
      <c r="P52" s="25"/>
      <c r="Q52" s="25"/>
      <c r="R52" s="30"/>
      <c r="S52" s="30"/>
      <c r="T52" s="30" t="s">
        <v>120</v>
      </c>
      <c r="U52" s="25"/>
      <c r="V52" s="5"/>
    </row>
    <row r="53" spans="1:23" ht="15.6" x14ac:dyDescent="0.3">
      <c r="A53" s="24"/>
      <c r="B53" s="29" t="s">
        <v>155</v>
      </c>
      <c r="C53" s="29"/>
      <c r="D53" s="29"/>
      <c r="E53" s="29"/>
      <c r="F53" s="29"/>
      <c r="G53" s="29"/>
      <c r="H53" s="29"/>
      <c r="I53" s="29"/>
      <c r="J53" s="29"/>
      <c r="K53" s="29"/>
      <c r="L53" s="29"/>
      <c r="M53" s="29"/>
      <c r="N53" s="29"/>
      <c r="O53" s="29"/>
      <c r="P53" s="29"/>
      <c r="Q53" s="29"/>
      <c r="R53" s="43"/>
      <c r="S53" s="43"/>
      <c r="T53" s="44">
        <v>39401</v>
      </c>
      <c r="U53" s="25"/>
      <c r="V53" s="5"/>
    </row>
    <row r="54" spans="1:23" ht="15.6" x14ac:dyDescent="0.3">
      <c r="A54" s="24"/>
      <c r="B54" s="25" t="s">
        <v>130</v>
      </c>
      <c r="C54" s="25"/>
      <c r="D54" s="25"/>
      <c r="E54" s="25"/>
      <c r="F54" s="25"/>
      <c r="G54" s="25"/>
      <c r="H54" s="58"/>
      <c r="I54" s="58"/>
      <c r="J54" s="58"/>
      <c r="K54" s="58"/>
      <c r="L54" s="58"/>
      <c r="M54" s="58"/>
      <c r="N54" s="58"/>
      <c r="O54" s="58"/>
      <c r="P54" s="25">
        <f>+T54-R54+1</f>
        <v>92</v>
      </c>
      <c r="Q54" s="25"/>
      <c r="R54" s="45">
        <v>39217</v>
      </c>
      <c r="S54" s="46"/>
      <c r="T54" s="45">
        <v>39308</v>
      </c>
      <c r="U54" s="25"/>
      <c r="V54" s="5"/>
    </row>
    <row r="55" spans="1:23" ht="15.6" x14ac:dyDescent="0.3">
      <c r="A55" s="24"/>
      <c r="B55" s="25" t="s">
        <v>131</v>
      </c>
      <c r="C55" s="25"/>
      <c r="D55" s="25"/>
      <c r="E55" s="25"/>
      <c r="F55" s="25"/>
      <c r="G55" s="25"/>
      <c r="H55" s="25"/>
      <c r="I55" s="25"/>
      <c r="J55" s="25"/>
      <c r="K55" s="25"/>
      <c r="L55" s="25"/>
      <c r="M55" s="25"/>
      <c r="N55" s="25"/>
      <c r="O55" s="25"/>
      <c r="P55" s="25">
        <f>+T55-R55+1</f>
        <v>92</v>
      </c>
      <c r="Q55" s="25"/>
      <c r="R55" s="45">
        <v>39309</v>
      </c>
      <c r="S55" s="46"/>
      <c r="T55" s="45">
        <v>39400</v>
      </c>
      <c r="U55" s="25"/>
      <c r="V55" s="5"/>
    </row>
    <row r="56" spans="1:23" ht="15.6" x14ac:dyDescent="0.3">
      <c r="A56" s="24"/>
      <c r="B56" s="25" t="s">
        <v>213</v>
      </c>
      <c r="C56" s="25"/>
      <c r="D56" s="25"/>
      <c r="E56" s="25"/>
      <c r="F56" s="25"/>
      <c r="G56" s="25"/>
      <c r="H56" s="25"/>
      <c r="I56" s="25"/>
      <c r="J56" s="25"/>
      <c r="K56" s="25"/>
      <c r="L56" s="25"/>
      <c r="M56" s="25"/>
      <c r="N56" s="25"/>
      <c r="O56" s="25"/>
      <c r="P56" s="25"/>
      <c r="Q56" s="25"/>
      <c r="R56" s="45"/>
      <c r="S56" s="46"/>
      <c r="T56" s="45" t="s">
        <v>129</v>
      </c>
      <c r="U56" s="25"/>
      <c r="V56" s="5"/>
    </row>
    <row r="57" spans="1:23" ht="15.6" x14ac:dyDescent="0.3">
      <c r="A57" s="24"/>
      <c r="B57" s="25" t="s">
        <v>227</v>
      </c>
      <c r="C57" s="25"/>
      <c r="D57" s="25"/>
      <c r="E57" s="25"/>
      <c r="F57" s="25"/>
      <c r="G57" s="25"/>
      <c r="H57" s="25"/>
      <c r="I57" s="25"/>
      <c r="J57" s="25"/>
      <c r="K57" s="25"/>
      <c r="L57" s="25"/>
      <c r="M57" s="25"/>
      <c r="N57" s="25"/>
      <c r="O57" s="25"/>
      <c r="P57" s="25"/>
      <c r="Q57" s="25"/>
      <c r="R57" s="45"/>
      <c r="S57" s="46"/>
      <c r="T57" s="45" t="s">
        <v>169</v>
      </c>
      <c r="U57" s="25"/>
      <c r="V57" s="5"/>
      <c r="W57" s="137"/>
    </row>
    <row r="58" spans="1:23" ht="15.6" x14ac:dyDescent="0.3">
      <c r="A58" s="24"/>
      <c r="B58" s="25" t="s">
        <v>17</v>
      </c>
      <c r="C58" s="25"/>
      <c r="D58" s="25"/>
      <c r="E58" s="25"/>
      <c r="F58" s="25"/>
      <c r="G58" s="25"/>
      <c r="H58" s="25"/>
      <c r="I58" s="25"/>
      <c r="J58" s="25"/>
      <c r="K58" s="25"/>
      <c r="L58" s="25"/>
      <c r="M58" s="25"/>
      <c r="N58" s="25"/>
      <c r="O58" s="25"/>
      <c r="P58" s="25"/>
      <c r="Q58" s="25"/>
      <c r="R58" s="45"/>
      <c r="S58" s="46"/>
      <c r="T58" s="45">
        <v>39387</v>
      </c>
      <c r="U58" s="25"/>
      <c r="V58" s="5"/>
    </row>
    <row r="59" spans="1:23" ht="15.6" x14ac:dyDescent="0.3">
      <c r="A59" s="24"/>
      <c r="B59" s="25"/>
      <c r="C59" s="25"/>
      <c r="D59" s="25"/>
      <c r="E59" s="25"/>
      <c r="F59" s="25"/>
      <c r="G59" s="25"/>
      <c r="H59" s="25"/>
      <c r="I59" s="25"/>
      <c r="J59" s="25"/>
      <c r="K59" s="25"/>
      <c r="L59" s="25"/>
      <c r="M59" s="25"/>
      <c r="N59" s="25"/>
      <c r="O59" s="25"/>
      <c r="P59" s="25"/>
      <c r="Q59" s="25"/>
      <c r="R59" s="45"/>
      <c r="S59" s="46"/>
      <c r="T59" s="45"/>
      <c r="U59" s="25"/>
      <c r="V59" s="5"/>
    </row>
    <row r="60" spans="1:23" ht="15.6" x14ac:dyDescent="0.3">
      <c r="A60" s="6"/>
      <c r="B60" s="8"/>
      <c r="C60" s="8"/>
      <c r="D60" s="8"/>
      <c r="E60" s="8"/>
      <c r="F60" s="8"/>
      <c r="G60" s="8"/>
      <c r="H60" s="8"/>
      <c r="I60" s="8"/>
      <c r="J60" s="8"/>
      <c r="K60" s="8"/>
      <c r="L60" s="8"/>
      <c r="M60" s="8"/>
      <c r="N60" s="8"/>
      <c r="O60" s="8"/>
      <c r="P60" s="8"/>
      <c r="Q60" s="8"/>
      <c r="R60" s="47"/>
      <c r="S60" s="48"/>
      <c r="T60" s="47"/>
      <c r="U60" s="8"/>
      <c r="V60" s="5"/>
    </row>
    <row r="61" spans="1:23" ht="18" thickBot="1" x14ac:dyDescent="0.35">
      <c r="A61" s="102"/>
      <c r="B61" s="103" t="s">
        <v>276</v>
      </c>
      <c r="C61" s="104"/>
      <c r="D61" s="104"/>
      <c r="E61" s="104"/>
      <c r="F61" s="104"/>
      <c r="G61" s="104"/>
      <c r="H61" s="104"/>
      <c r="I61" s="104"/>
      <c r="J61" s="104"/>
      <c r="K61" s="104"/>
      <c r="L61" s="104"/>
      <c r="M61" s="104"/>
      <c r="N61" s="104"/>
      <c r="O61" s="104"/>
      <c r="P61" s="104"/>
      <c r="Q61" s="104"/>
      <c r="R61" s="104"/>
      <c r="S61" s="104"/>
      <c r="T61" s="105"/>
      <c r="U61" s="106"/>
      <c r="V61" s="5"/>
    </row>
    <row r="62" spans="1:23" ht="15.6" x14ac:dyDescent="0.3">
      <c r="A62" s="2"/>
      <c r="B62" s="4"/>
      <c r="C62" s="4"/>
      <c r="D62" s="4"/>
      <c r="E62" s="4"/>
      <c r="F62" s="4"/>
      <c r="G62" s="4"/>
      <c r="H62" s="4"/>
      <c r="I62" s="4"/>
      <c r="J62" s="4"/>
      <c r="K62" s="4"/>
      <c r="L62" s="4"/>
      <c r="M62" s="4"/>
      <c r="N62" s="4"/>
      <c r="O62" s="4"/>
      <c r="P62" s="4"/>
      <c r="Q62" s="4"/>
      <c r="R62" s="4"/>
      <c r="S62" s="4"/>
      <c r="T62" s="50"/>
      <c r="U62" s="4"/>
      <c r="V62" s="5"/>
    </row>
    <row r="63" spans="1:23" ht="15.6" x14ac:dyDescent="0.3">
      <c r="A63" s="6"/>
      <c r="B63" s="51" t="s">
        <v>18</v>
      </c>
      <c r="C63" s="8"/>
      <c r="D63" s="8"/>
      <c r="E63" s="8"/>
      <c r="F63" s="8"/>
      <c r="G63" s="8"/>
      <c r="H63" s="8"/>
      <c r="I63" s="8"/>
      <c r="J63" s="8"/>
      <c r="K63" s="8"/>
      <c r="L63" s="8"/>
      <c r="M63" s="8"/>
      <c r="N63" s="8"/>
      <c r="O63" s="8"/>
      <c r="P63" s="8"/>
      <c r="Q63" s="8"/>
      <c r="R63" s="8"/>
      <c r="S63" s="8"/>
      <c r="T63" s="52"/>
      <c r="U63" s="8"/>
      <c r="V63" s="5"/>
    </row>
    <row r="64" spans="1:23" ht="15.6" x14ac:dyDescent="0.3">
      <c r="A64" s="6"/>
      <c r="B64" s="13"/>
      <c r="C64" s="8"/>
      <c r="D64" s="8"/>
      <c r="E64" s="8"/>
      <c r="F64" s="8"/>
      <c r="G64" s="8"/>
      <c r="H64" s="8"/>
      <c r="I64" s="8"/>
      <c r="J64" s="8"/>
      <c r="K64" s="8"/>
      <c r="L64" s="8"/>
      <c r="M64" s="8"/>
      <c r="N64" s="8"/>
      <c r="O64" s="8"/>
      <c r="P64" s="8"/>
      <c r="Q64" s="8"/>
      <c r="R64" s="8"/>
      <c r="S64" s="8"/>
      <c r="T64" s="52"/>
      <c r="U64" s="8"/>
      <c r="V64" s="5"/>
    </row>
    <row r="65" spans="1:22" ht="46.8" x14ac:dyDescent="0.3">
      <c r="A65" s="6"/>
      <c r="B65" s="115" t="s">
        <v>19</v>
      </c>
      <c r="C65" s="116"/>
      <c r="D65" s="116"/>
      <c r="E65" s="116"/>
      <c r="F65" s="116"/>
      <c r="G65" s="116"/>
      <c r="H65" s="116"/>
      <c r="I65" s="116"/>
      <c r="J65" s="116" t="s">
        <v>100</v>
      </c>
      <c r="K65" s="116"/>
      <c r="L65" s="116" t="s">
        <v>102</v>
      </c>
      <c r="M65" s="116"/>
      <c r="N65" s="116" t="s">
        <v>104</v>
      </c>
      <c r="O65" s="116"/>
      <c r="P65" s="116" t="s">
        <v>106</v>
      </c>
      <c r="Q65" s="116"/>
      <c r="R65" s="116" t="s">
        <v>113</v>
      </c>
      <c r="S65" s="116"/>
      <c r="T65" s="117" t="s">
        <v>121</v>
      </c>
      <c r="U65" s="118"/>
      <c r="V65" s="5"/>
    </row>
    <row r="66" spans="1:22" ht="15.6" x14ac:dyDescent="0.3">
      <c r="A66" s="24"/>
      <c r="B66" s="25" t="s">
        <v>20</v>
      </c>
      <c r="C66" s="34"/>
      <c r="D66" s="34"/>
      <c r="E66" s="34"/>
      <c r="F66" s="34"/>
      <c r="G66" s="34"/>
      <c r="H66" s="34"/>
      <c r="I66" s="34"/>
      <c r="J66" s="34">
        <v>699958</v>
      </c>
      <c r="K66" s="34"/>
      <c r="L66" s="53">
        <v>493122</v>
      </c>
      <c r="M66" s="34"/>
      <c r="N66" s="34">
        <f>47516+3463+673+1</f>
        <v>51653</v>
      </c>
      <c r="O66" s="34"/>
      <c r="P66" s="34">
        <f>3463+673</f>
        <v>4136</v>
      </c>
      <c r="Q66" s="34"/>
      <c r="R66" s="34">
        <v>0</v>
      </c>
      <c r="S66" s="34"/>
      <c r="T66" s="53">
        <f>+L66-N66+P66-R66</f>
        <v>445605</v>
      </c>
      <c r="U66" s="25"/>
      <c r="V66" s="5"/>
    </row>
    <row r="67" spans="1:22" ht="15.6" x14ac:dyDescent="0.3">
      <c r="A67" s="24"/>
      <c r="B67" s="25" t="s">
        <v>21</v>
      </c>
      <c r="C67" s="34"/>
      <c r="D67" s="34"/>
      <c r="E67" s="34"/>
      <c r="F67" s="34"/>
      <c r="G67" s="34"/>
      <c r="H67" s="34"/>
      <c r="I67" s="34"/>
      <c r="J67" s="34">
        <v>42</v>
      </c>
      <c r="K67" s="34"/>
      <c r="L67" s="53">
        <v>0</v>
      </c>
      <c r="M67" s="34"/>
      <c r="N67" s="34">
        <v>0</v>
      </c>
      <c r="O67" s="34"/>
      <c r="P67" s="34">
        <v>0</v>
      </c>
      <c r="Q67" s="34"/>
      <c r="R67" s="34">
        <v>0</v>
      </c>
      <c r="S67" s="34"/>
      <c r="T67" s="53">
        <f>+L67-N67</f>
        <v>0</v>
      </c>
      <c r="U67" s="25"/>
      <c r="V67" s="5"/>
    </row>
    <row r="68" spans="1:22" ht="15.6" x14ac:dyDescent="0.3">
      <c r="A68" s="24"/>
      <c r="B68" s="25"/>
      <c r="C68" s="34"/>
      <c r="D68" s="34"/>
      <c r="E68" s="34"/>
      <c r="F68" s="34"/>
      <c r="G68" s="34"/>
      <c r="H68" s="34"/>
      <c r="I68" s="34"/>
      <c r="J68" s="34"/>
      <c r="K68" s="34"/>
      <c r="L68" s="53"/>
      <c r="M68" s="34"/>
      <c r="N68" s="34"/>
      <c r="O68" s="34"/>
      <c r="P68" s="34"/>
      <c r="Q68" s="34"/>
      <c r="R68" s="34"/>
      <c r="S68" s="34"/>
      <c r="T68" s="53"/>
      <c r="U68" s="25"/>
      <c r="V68" s="5"/>
    </row>
    <row r="69" spans="1:22" ht="15.6" x14ac:dyDescent="0.3">
      <c r="A69" s="24"/>
      <c r="B69" s="25" t="s">
        <v>22</v>
      </c>
      <c r="C69" s="34"/>
      <c r="D69" s="34"/>
      <c r="E69" s="34"/>
      <c r="F69" s="34"/>
      <c r="G69" s="34"/>
      <c r="H69" s="34"/>
      <c r="I69" s="34"/>
      <c r="J69" s="34">
        <f>SUM(J66:J68)</f>
        <v>700000</v>
      </c>
      <c r="K69" s="34"/>
      <c r="L69" s="54">
        <f>L66+L67</f>
        <v>493122</v>
      </c>
      <c r="M69" s="34"/>
      <c r="N69" s="34">
        <f>SUM(N66:N68)</f>
        <v>51653</v>
      </c>
      <c r="O69" s="34"/>
      <c r="P69" s="34">
        <f>SUM(P66:P68)</f>
        <v>4136</v>
      </c>
      <c r="Q69" s="34"/>
      <c r="R69" s="34">
        <f>SUM(R66:R68)</f>
        <v>0</v>
      </c>
      <c r="S69" s="34"/>
      <c r="T69" s="54">
        <f>SUM(T66:T68)</f>
        <v>445605</v>
      </c>
      <c r="U69" s="25"/>
      <c r="V69" s="5"/>
    </row>
    <row r="70" spans="1:22" ht="15.6" x14ac:dyDescent="0.3">
      <c r="A70" s="24"/>
      <c r="B70" s="25"/>
      <c r="C70" s="34"/>
      <c r="D70" s="34"/>
      <c r="E70" s="34"/>
      <c r="F70" s="34"/>
      <c r="G70" s="34"/>
      <c r="H70" s="34"/>
      <c r="I70" s="34"/>
      <c r="J70" s="34"/>
      <c r="K70" s="34"/>
      <c r="L70" s="34"/>
      <c r="M70" s="34"/>
      <c r="N70" s="34"/>
      <c r="O70" s="34"/>
      <c r="P70" s="34"/>
      <c r="Q70" s="34"/>
      <c r="R70" s="34"/>
      <c r="S70" s="34"/>
      <c r="T70" s="54"/>
      <c r="U70" s="25"/>
      <c r="V70" s="5"/>
    </row>
    <row r="71" spans="1:22" ht="15.6" x14ac:dyDescent="0.3">
      <c r="A71" s="6"/>
      <c r="B71" s="112" t="s">
        <v>23</v>
      </c>
      <c r="C71" s="55"/>
      <c r="D71" s="55"/>
      <c r="E71" s="55"/>
      <c r="F71" s="55"/>
      <c r="G71" s="55"/>
      <c r="H71" s="55"/>
      <c r="I71" s="55"/>
      <c r="J71" s="55"/>
      <c r="K71" s="55"/>
      <c r="L71" s="55"/>
      <c r="M71" s="55"/>
      <c r="N71" s="55"/>
      <c r="O71" s="55"/>
      <c r="P71" s="55"/>
      <c r="Q71" s="55"/>
      <c r="R71" s="55"/>
      <c r="S71" s="55"/>
      <c r="T71" s="56"/>
      <c r="U71" s="8"/>
      <c r="V71" s="5"/>
    </row>
    <row r="72" spans="1:22" ht="15.6" x14ac:dyDescent="0.3">
      <c r="A72" s="6"/>
      <c r="B72" s="8"/>
      <c r="C72" s="55"/>
      <c r="D72" s="55"/>
      <c r="E72" s="55"/>
      <c r="F72" s="55"/>
      <c r="G72" s="55"/>
      <c r="H72" s="55"/>
      <c r="I72" s="55"/>
      <c r="J72" s="55"/>
      <c r="K72" s="55"/>
      <c r="L72" s="55"/>
      <c r="M72" s="55"/>
      <c r="N72" s="55"/>
      <c r="O72" s="55"/>
      <c r="P72" s="55"/>
      <c r="Q72" s="55"/>
      <c r="R72" s="55"/>
      <c r="S72" s="55"/>
      <c r="T72" s="56"/>
      <c r="U72" s="8"/>
      <c r="V72" s="5"/>
    </row>
    <row r="73" spans="1:22" ht="15.6" x14ac:dyDescent="0.3">
      <c r="A73" s="24"/>
      <c r="B73" s="25" t="s">
        <v>20</v>
      </c>
      <c r="C73" s="34"/>
      <c r="D73" s="34"/>
      <c r="E73" s="34"/>
      <c r="F73" s="34"/>
      <c r="G73" s="34"/>
      <c r="H73" s="34"/>
      <c r="I73" s="34"/>
      <c r="J73" s="34"/>
      <c r="K73" s="34"/>
      <c r="L73" s="34"/>
      <c r="M73" s="34"/>
      <c r="N73" s="34"/>
      <c r="O73" s="34"/>
      <c r="P73" s="34"/>
      <c r="Q73" s="34"/>
      <c r="R73" s="34"/>
      <c r="S73" s="34"/>
      <c r="T73" s="54"/>
      <c r="U73" s="25"/>
      <c r="V73" s="5"/>
    </row>
    <row r="74" spans="1:22" ht="15.6" x14ac:dyDescent="0.3">
      <c r="A74" s="24"/>
      <c r="B74" s="25" t="s">
        <v>21</v>
      </c>
      <c r="C74" s="34"/>
      <c r="D74" s="34"/>
      <c r="E74" s="34"/>
      <c r="F74" s="34"/>
      <c r="G74" s="34"/>
      <c r="H74" s="34"/>
      <c r="I74" s="34"/>
      <c r="J74" s="34"/>
      <c r="K74" s="34"/>
      <c r="L74" s="34"/>
      <c r="M74" s="34"/>
      <c r="N74" s="34"/>
      <c r="O74" s="34"/>
      <c r="P74" s="34"/>
      <c r="Q74" s="34"/>
      <c r="R74" s="34"/>
      <c r="S74" s="34"/>
      <c r="T74" s="54"/>
      <c r="U74" s="25"/>
      <c r="V74" s="5"/>
    </row>
    <row r="75" spans="1:22" ht="15.6" x14ac:dyDescent="0.3">
      <c r="A75" s="24"/>
      <c r="B75" s="25"/>
      <c r="C75" s="34"/>
      <c r="D75" s="34"/>
      <c r="E75" s="34"/>
      <c r="F75" s="34"/>
      <c r="G75" s="34"/>
      <c r="H75" s="34"/>
      <c r="I75" s="34"/>
      <c r="J75" s="34"/>
      <c r="K75" s="34"/>
      <c r="L75" s="34"/>
      <c r="M75" s="34"/>
      <c r="N75" s="34"/>
      <c r="O75" s="34"/>
      <c r="P75" s="34"/>
      <c r="Q75" s="34"/>
      <c r="R75" s="34"/>
      <c r="S75" s="34"/>
      <c r="T75" s="54"/>
      <c r="U75" s="25"/>
      <c r="V75" s="5"/>
    </row>
    <row r="76" spans="1:22" ht="15.6" x14ac:dyDescent="0.3">
      <c r="A76" s="24"/>
      <c r="B76" s="25" t="s">
        <v>22</v>
      </c>
      <c r="C76" s="34"/>
      <c r="D76" s="34"/>
      <c r="E76" s="34"/>
      <c r="F76" s="34"/>
      <c r="G76" s="34"/>
      <c r="H76" s="34"/>
      <c r="I76" s="34"/>
      <c r="J76" s="34"/>
      <c r="K76" s="34"/>
      <c r="L76" s="34"/>
      <c r="M76" s="34"/>
      <c r="N76" s="34"/>
      <c r="O76" s="34"/>
      <c r="P76" s="34"/>
      <c r="Q76" s="34"/>
      <c r="R76" s="34"/>
      <c r="S76" s="34"/>
      <c r="T76" s="34"/>
      <c r="U76" s="25"/>
      <c r="V76" s="5"/>
    </row>
    <row r="77" spans="1:22" ht="15.6" x14ac:dyDescent="0.3">
      <c r="A77" s="24"/>
      <c r="B77" s="25"/>
      <c r="C77" s="34"/>
      <c r="D77" s="34"/>
      <c r="E77" s="34"/>
      <c r="F77" s="34"/>
      <c r="G77" s="34"/>
      <c r="H77" s="34"/>
      <c r="I77" s="34"/>
      <c r="J77" s="34"/>
      <c r="K77" s="34"/>
      <c r="L77" s="34"/>
      <c r="M77" s="34"/>
      <c r="N77" s="34"/>
      <c r="O77" s="34"/>
      <c r="P77" s="34"/>
      <c r="Q77" s="34"/>
      <c r="R77" s="34"/>
      <c r="S77" s="34"/>
      <c r="T77" s="34"/>
      <c r="U77" s="25"/>
      <c r="V77" s="5"/>
    </row>
    <row r="78" spans="1:22" ht="15.6" x14ac:dyDescent="0.3">
      <c r="A78" s="24"/>
      <c r="B78" s="25" t="s">
        <v>24</v>
      </c>
      <c r="C78" s="34"/>
      <c r="D78" s="34"/>
      <c r="E78" s="34"/>
      <c r="F78" s="34"/>
      <c r="G78" s="34"/>
      <c r="H78" s="34"/>
      <c r="I78" s="34"/>
      <c r="J78" s="34">
        <v>0</v>
      </c>
      <c r="K78" s="34"/>
      <c r="L78" s="34">
        <v>0</v>
      </c>
      <c r="M78" s="34"/>
      <c r="N78" s="34"/>
      <c r="O78" s="34"/>
      <c r="P78" s="34"/>
      <c r="Q78" s="34"/>
      <c r="R78" s="34"/>
      <c r="S78" s="34"/>
      <c r="T78" s="53">
        <v>0</v>
      </c>
      <c r="U78" s="25"/>
      <c r="V78" s="5"/>
    </row>
    <row r="79" spans="1:22" ht="15.6" x14ac:dyDescent="0.3">
      <c r="A79" s="24"/>
      <c r="B79" s="25" t="s">
        <v>126</v>
      </c>
      <c r="C79" s="34"/>
      <c r="D79" s="34"/>
      <c r="E79" s="34"/>
      <c r="F79" s="34"/>
      <c r="G79" s="34"/>
      <c r="H79" s="34"/>
      <c r="I79" s="34"/>
      <c r="J79" s="34">
        <v>0</v>
      </c>
      <c r="K79" s="34"/>
      <c r="L79" s="34">
        <v>0</v>
      </c>
      <c r="M79" s="34"/>
      <c r="N79" s="34"/>
      <c r="O79" s="34"/>
      <c r="P79" s="34"/>
      <c r="Q79" s="34"/>
      <c r="R79" s="34"/>
      <c r="S79" s="34"/>
      <c r="T79" s="54">
        <f>SUM(J79:P79)</f>
        <v>0</v>
      </c>
      <c r="U79" s="25"/>
      <c r="V79" s="5"/>
    </row>
    <row r="80" spans="1:22" ht="15.6" x14ac:dyDescent="0.3">
      <c r="A80" s="24"/>
      <c r="B80" s="25" t="s">
        <v>157</v>
      </c>
      <c r="C80" s="34"/>
      <c r="D80" s="34"/>
      <c r="E80" s="34"/>
      <c r="F80" s="34"/>
      <c r="G80" s="34"/>
      <c r="H80" s="34"/>
      <c r="I80" s="34"/>
      <c r="J80" s="34">
        <v>0</v>
      </c>
      <c r="K80" s="34"/>
      <c r="L80" s="34">
        <v>0</v>
      </c>
      <c r="M80" s="34"/>
      <c r="N80" s="34"/>
      <c r="O80" s="34"/>
      <c r="P80" s="34"/>
      <c r="Q80" s="34"/>
      <c r="R80" s="34"/>
      <c r="S80" s="34"/>
      <c r="T80" s="54">
        <v>0</v>
      </c>
      <c r="U80" s="25"/>
      <c r="V80" s="5"/>
    </row>
    <row r="81" spans="1:22" ht="15.6" x14ac:dyDescent="0.3">
      <c r="A81" s="24"/>
      <c r="B81" s="25" t="s">
        <v>26</v>
      </c>
      <c r="C81" s="34"/>
      <c r="D81" s="34"/>
      <c r="E81" s="34"/>
      <c r="F81" s="34"/>
      <c r="G81" s="34"/>
      <c r="H81" s="34"/>
      <c r="I81" s="34"/>
      <c r="J81" s="34">
        <v>0</v>
      </c>
      <c r="K81" s="34"/>
      <c r="L81" s="34">
        <v>0</v>
      </c>
      <c r="M81" s="34"/>
      <c r="N81" s="34"/>
      <c r="O81" s="34"/>
      <c r="P81" s="34"/>
      <c r="Q81" s="34"/>
      <c r="R81" s="34"/>
      <c r="S81" s="34"/>
      <c r="T81" s="54">
        <v>0</v>
      </c>
      <c r="U81" s="25"/>
      <c r="V81" s="5"/>
    </row>
    <row r="82" spans="1:22" ht="15.6" x14ac:dyDescent="0.3">
      <c r="A82" s="24"/>
      <c r="B82" s="25" t="s">
        <v>27</v>
      </c>
      <c r="C82" s="34"/>
      <c r="D82" s="34"/>
      <c r="E82" s="34"/>
      <c r="F82" s="54"/>
      <c r="G82" s="34"/>
      <c r="H82" s="54"/>
      <c r="I82" s="54"/>
      <c r="J82" s="54">
        <f>SUM(J69:J81)</f>
        <v>700000</v>
      </c>
      <c r="K82" s="34"/>
      <c r="L82" s="54">
        <f>SUM(L69:L81)</f>
        <v>493122</v>
      </c>
      <c r="M82" s="34"/>
      <c r="N82" s="34"/>
      <c r="O82" s="34"/>
      <c r="P82" s="34"/>
      <c r="Q82" s="34"/>
      <c r="R82" s="54"/>
      <c r="S82" s="34"/>
      <c r="T82" s="54">
        <f>SUM(T69:T81)</f>
        <v>445605</v>
      </c>
      <c r="U82" s="25"/>
      <c r="V82" s="5"/>
    </row>
    <row r="83" spans="1:22" ht="15.6" x14ac:dyDescent="0.3">
      <c r="A83" s="24"/>
      <c r="B83" s="25"/>
      <c r="C83" s="34"/>
      <c r="D83" s="34"/>
      <c r="E83" s="34"/>
      <c r="F83" s="34"/>
      <c r="G83" s="34"/>
      <c r="H83" s="34"/>
      <c r="I83" s="34"/>
      <c r="J83" s="34"/>
      <c r="K83" s="34"/>
      <c r="L83" s="34"/>
      <c r="M83" s="34"/>
      <c r="N83" s="34"/>
      <c r="O83" s="34"/>
      <c r="P83" s="34"/>
      <c r="Q83" s="34"/>
      <c r="R83" s="34"/>
      <c r="S83" s="34"/>
      <c r="T83" s="54"/>
      <c r="U83" s="25"/>
      <c r="V83" s="5"/>
    </row>
    <row r="84" spans="1:22" ht="15.6" x14ac:dyDescent="0.3">
      <c r="A84" s="6"/>
      <c r="B84" s="8"/>
      <c r="C84" s="8"/>
      <c r="D84" s="8"/>
      <c r="E84" s="8"/>
      <c r="F84" s="8"/>
      <c r="G84" s="8"/>
      <c r="H84" s="8"/>
      <c r="I84" s="8"/>
      <c r="J84" s="8"/>
      <c r="K84" s="8"/>
      <c r="L84" s="8"/>
      <c r="M84" s="8"/>
      <c r="N84" s="8"/>
      <c r="O84" s="8"/>
      <c r="P84" s="8"/>
      <c r="Q84" s="8"/>
      <c r="R84" s="8"/>
      <c r="S84" s="8"/>
      <c r="T84" s="8"/>
      <c r="U84" s="8"/>
      <c r="V84" s="5"/>
    </row>
    <row r="85" spans="1:22" ht="15.6" x14ac:dyDescent="0.3">
      <c r="A85" s="6"/>
      <c r="B85" s="51" t="s">
        <v>28</v>
      </c>
      <c r="C85" s="14"/>
      <c r="D85" s="14"/>
      <c r="E85" s="14"/>
      <c r="F85" s="14"/>
      <c r="G85" s="14"/>
      <c r="H85" s="17"/>
      <c r="I85" s="17"/>
      <c r="J85" s="158" t="s">
        <v>101</v>
      </c>
      <c r="K85" s="17"/>
      <c r="L85" s="157">
        <f>+R194</f>
        <v>39386</v>
      </c>
      <c r="M85" s="17"/>
      <c r="N85" s="17"/>
      <c r="O85" s="17"/>
      <c r="P85" s="17"/>
      <c r="Q85" s="17"/>
      <c r="R85" s="17" t="s">
        <v>114</v>
      </c>
      <c r="S85" s="17"/>
      <c r="T85" s="17" t="s">
        <v>122</v>
      </c>
      <c r="U85" s="8"/>
      <c r="V85" s="5"/>
    </row>
    <row r="86" spans="1:22" ht="15.6" x14ac:dyDescent="0.3">
      <c r="A86" s="24"/>
      <c r="B86" s="25" t="s">
        <v>29</v>
      </c>
      <c r="C86" s="25"/>
      <c r="D86" s="25"/>
      <c r="E86" s="25"/>
      <c r="F86" s="25"/>
      <c r="G86" s="25"/>
      <c r="H86" s="25"/>
      <c r="I86" s="25"/>
      <c r="J86" s="25"/>
      <c r="K86" s="25"/>
      <c r="L86" s="25"/>
      <c r="M86" s="25"/>
      <c r="N86" s="25"/>
      <c r="O86" s="25"/>
      <c r="P86" s="25"/>
      <c r="Q86" s="25"/>
      <c r="R86" s="34">
        <v>0</v>
      </c>
      <c r="S86" s="25"/>
      <c r="T86" s="53">
        <v>0</v>
      </c>
      <c r="U86" s="25"/>
      <c r="V86" s="5"/>
    </row>
    <row r="87" spans="1:22" ht="15.6" x14ac:dyDescent="0.3">
      <c r="A87" s="24"/>
      <c r="B87" s="25" t="s">
        <v>30</v>
      </c>
      <c r="C87" s="25"/>
      <c r="D87" s="25"/>
      <c r="E87" s="25"/>
      <c r="F87" s="25"/>
      <c r="G87" s="25"/>
      <c r="H87" s="40"/>
      <c r="I87" s="57"/>
      <c r="J87" s="40"/>
      <c r="K87" s="25"/>
      <c r="L87" s="128"/>
      <c r="M87" s="25"/>
      <c r="N87" s="25"/>
      <c r="O87" s="25"/>
      <c r="P87" s="25"/>
      <c r="Q87" s="25"/>
      <c r="R87" s="34">
        <f>51653-91</f>
        <v>51562</v>
      </c>
      <c r="S87" s="25"/>
      <c r="T87" s="53"/>
      <c r="U87" s="25"/>
      <c r="V87" s="5"/>
    </row>
    <row r="88" spans="1:22" ht="15.6" x14ac:dyDescent="0.3">
      <c r="A88" s="24"/>
      <c r="B88" s="25" t="s">
        <v>254</v>
      </c>
      <c r="C88" s="25"/>
      <c r="D88" s="25"/>
      <c r="E88" s="25"/>
      <c r="F88" s="25"/>
      <c r="G88" s="25"/>
      <c r="H88" s="40"/>
      <c r="I88" s="57"/>
      <c r="J88" s="40"/>
      <c r="K88" s="25"/>
      <c r="L88" s="128"/>
      <c r="M88" s="25"/>
      <c r="N88" s="25"/>
      <c r="O88" s="25"/>
      <c r="P88" s="25"/>
      <c r="Q88" s="25"/>
      <c r="R88" s="34"/>
      <c r="S88" s="25"/>
      <c r="T88" s="53">
        <f>6151+3588-1152-871</f>
        <v>7716</v>
      </c>
      <c r="U88" s="25"/>
      <c r="V88" s="5"/>
    </row>
    <row r="89" spans="1:22" ht="15.6" x14ac:dyDescent="0.3">
      <c r="A89" s="24"/>
      <c r="B89" s="25" t="s">
        <v>255</v>
      </c>
      <c r="C89" s="25"/>
      <c r="D89" s="25"/>
      <c r="E89" s="25"/>
      <c r="F89" s="25"/>
      <c r="G89" s="25"/>
      <c r="H89" s="40"/>
      <c r="I89" s="57"/>
      <c r="J89" s="40"/>
      <c r="K89" s="25"/>
      <c r="L89" s="128"/>
      <c r="M89" s="25"/>
      <c r="N89" s="25"/>
      <c r="O89" s="25"/>
      <c r="P89" s="25"/>
      <c r="Q89" s="25"/>
      <c r="R89" s="34"/>
      <c r="S89" s="25"/>
      <c r="T89" s="53">
        <f>310+701</f>
        <v>1011</v>
      </c>
      <c r="U89" s="25"/>
      <c r="V89" s="5"/>
    </row>
    <row r="90" spans="1:22" ht="15.6" x14ac:dyDescent="0.3">
      <c r="A90" s="24"/>
      <c r="B90" s="25" t="s">
        <v>256</v>
      </c>
      <c r="C90" s="25"/>
      <c r="D90" s="25"/>
      <c r="E90" s="25"/>
      <c r="F90" s="25"/>
      <c r="G90" s="25"/>
      <c r="H90" s="40"/>
      <c r="I90" s="57"/>
      <c r="J90" s="40"/>
      <c r="K90" s="25"/>
      <c r="L90" s="128"/>
      <c r="M90" s="25"/>
      <c r="N90" s="25"/>
      <c r="O90" s="25"/>
      <c r="P90" s="25"/>
      <c r="Q90" s="25"/>
      <c r="R90" s="34"/>
      <c r="S90" s="25"/>
      <c r="T90" s="53">
        <v>646</v>
      </c>
      <c r="U90" s="25"/>
      <c r="V90" s="5"/>
    </row>
    <row r="91" spans="1:22" ht="15.6" x14ac:dyDescent="0.3">
      <c r="A91" s="24"/>
      <c r="B91" s="25" t="s">
        <v>270</v>
      </c>
      <c r="C91" s="25"/>
      <c r="D91" s="25"/>
      <c r="E91" s="25"/>
      <c r="F91" s="25"/>
      <c r="G91" s="25"/>
      <c r="H91" s="40"/>
      <c r="I91" s="57"/>
      <c r="J91" s="40"/>
      <c r="K91" s="25"/>
      <c r="L91" s="128"/>
      <c r="M91" s="25"/>
      <c r="N91" s="25"/>
      <c r="O91" s="25"/>
      <c r="P91" s="25"/>
      <c r="Q91" s="25"/>
      <c r="R91" s="34"/>
      <c r="S91" s="25"/>
      <c r="T91" s="53">
        <f>458+3</f>
        <v>461</v>
      </c>
      <c r="U91" s="25"/>
      <c r="V91" s="5"/>
    </row>
    <row r="92" spans="1:22" ht="15.6" x14ac:dyDescent="0.3">
      <c r="A92" s="24"/>
      <c r="B92" s="25" t="s">
        <v>144</v>
      </c>
      <c r="C92" s="25"/>
      <c r="D92" s="25"/>
      <c r="E92" s="25"/>
      <c r="F92" s="25"/>
      <c r="G92" s="25"/>
      <c r="H92" s="25"/>
      <c r="I92" s="25"/>
      <c r="J92" s="25"/>
      <c r="K92" s="25"/>
      <c r="L92" s="25"/>
      <c r="M92" s="25"/>
      <c r="N92" s="25"/>
      <c r="O92" s="25"/>
      <c r="P92" s="25"/>
      <c r="Q92" s="25"/>
      <c r="R92" s="34"/>
      <c r="S92" s="25"/>
      <c r="T92" s="53">
        <v>0</v>
      </c>
      <c r="U92" s="25"/>
      <c r="V92" s="5"/>
    </row>
    <row r="93" spans="1:22" ht="15.6" x14ac:dyDescent="0.3">
      <c r="A93" s="24"/>
      <c r="B93" s="25" t="s">
        <v>233</v>
      </c>
      <c r="C93" s="25"/>
      <c r="D93" s="25"/>
      <c r="E93" s="25"/>
      <c r="F93" s="25"/>
      <c r="G93" s="25"/>
      <c r="H93" s="25"/>
      <c r="I93" s="25"/>
      <c r="J93" s="25"/>
      <c r="K93" s="25"/>
      <c r="L93" s="25"/>
      <c r="M93" s="25"/>
      <c r="N93" s="25"/>
      <c r="O93" s="25"/>
      <c r="P93" s="25"/>
      <c r="Q93" s="25"/>
      <c r="R93" s="34"/>
      <c r="S93" s="25"/>
      <c r="T93" s="53">
        <v>0</v>
      </c>
      <c r="U93" s="25"/>
      <c r="V93" s="5"/>
    </row>
    <row r="94" spans="1:22" ht="15.6" x14ac:dyDescent="0.3">
      <c r="A94" s="24"/>
      <c r="B94" s="25" t="s">
        <v>32</v>
      </c>
      <c r="C94" s="25"/>
      <c r="D94" s="25"/>
      <c r="E94" s="25"/>
      <c r="F94" s="25"/>
      <c r="G94" s="25"/>
      <c r="H94" s="25"/>
      <c r="I94" s="25"/>
      <c r="J94" s="25"/>
      <c r="K94" s="25"/>
      <c r="L94" s="25"/>
      <c r="M94" s="25"/>
      <c r="N94" s="25"/>
      <c r="O94" s="25"/>
      <c r="P94" s="25"/>
      <c r="Q94" s="25"/>
      <c r="R94" s="34">
        <f>SUM(R86:R93)</f>
        <v>51562</v>
      </c>
      <c r="S94" s="25"/>
      <c r="T94" s="54">
        <f>SUM(T86:T93)</f>
        <v>9834</v>
      </c>
      <c r="U94" s="25"/>
      <c r="V94" s="5"/>
    </row>
    <row r="95" spans="1:22" ht="15.6" x14ac:dyDescent="0.3">
      <c r="A95" s="24"/>
      <c r="B95" s="25" t="s">
        <v>176</v>
      </c>
      <c r="C95" s="25"/>
      <c r="D95" s="25"/>
      <c r="E95" s="25"/>
      <c r="F95" s="25"/>
      <c r="G95" s="25"/>
      <c r="H95" s="25"/>
      <c r="I95" s="25"/>
      <c r="J95" s="25"/>
      <c r="K95" s="25"/>
      <c r="L95" s="25"/>
      <c r="M95" s="25"/>
      <c r="N95" s="25"/>
      <c r="O95" s="25"/>
      <c r="P95" s="25"/>
      <c r="Q95" s="25"/>
      <c r="R95" s="34">
        <v>-179</v>
      </c>
      <c r="S95" s="25"/>
      <c r="T95" s="54">
        <f>-R95</f>
        <v>179</v>
      </c>
      <c r="U95" s="25"/>
      <c r="V95" s="5"/>
    </row>
    <row r="96" spans="1:22" ht="15.6" x14ac:dyDescent="0.3">
      <c r="A96" s="24"/>
      <c r="B96" s="25" t="s">
        <v>33</v>
      </c>
      <c r="C96" s="25"/>
      <c r="D96" s="25"/>
      <c r="E96" s="25"/>
      <c r="F96" s="25"/>
      <c r="G96" s="25"/>
      <c r="H96" s="25"/>
      <c r="I96" s="25"/>
      <c r="J96" s="25"/>
      <c r="K96" s="25"/>
      <c r="L96" s="25"/>
      <c r="M96" s="25"/>
      <c r="N96" s="25"/>
      <c r="O96" s="25"/>
      <c r="P96" s="25"/>
      <c r="Q96" s="25"/>
      <c r="R96" s="34">
        <f>-T96</f>
        <v>0</v>
      </c>
      <c r="S96" s="25"/>
      <c r="T96" s="53">
        <v>0</v>
      </c>
      <c r="U96" s="25"/>
      <c r="V96" s="5"/>
    </row>
    <row r="97" spans="1:23" ht="15.6" x14ac:dyDescent="0.3">
      <c r="A97" s="24"/>
      <c r="B97" s="25" t="s">
        <v>34</v>
      </c>
      <c r="C97" s="25"/>
      <c r="D97" s="25"/>
      <c r="E97" s="25"/>
      <c r="F97" s="25"/>
      <c r="G97" s="25"/>
      <c r="H97" s="25"/>
      <c r="I97" s="25"/>
      <c r="J97" s="25"/>
      <c r="K97" s="25"/>
      <c r="L97" s="25"/>
      <c r="M97" s="25"/>
      <c r="N97" s="25"/>
      <c r="O97" s="25"/>
      <c r="P97" s="25"/>
      <c r="Q97" s="25"/>
      <c r="R97" s="34">
        <f>R94+R96+R95</f>
        <v>51383</v>
      </c>
      <c r="S97" s="25"/>
      <c r="T97" s="54">
        <f>T94+T96+T95</f>
        <v>10013</v>
      </c>
      <c r="U97" s="25"/>
      <c r="V97" s="5"/>
      <c r="W97" s="166"/>
    </row>
    <row r="98" spans="1:23" ht="15.6" x14ac:dyDescent="0.3">
      <c r="A98" s="24"/>
      <c r="B98" s="119" t="s">
        <v>35</v>
      </c>
      <c r="C98" s="25"/>
      <c r="D98" s="25"/>
      <c r="E98" s="25"/>
      <c r="F98" s="25"/>
      <c r="G98" s="25"/>
      <c r="H98" s="25"/>
      <c r="I98" s="25"/>
      <c r="J98" s="25"/>
      <c r="K98" s="25"/>
      <c r="L98" s="25"/>
      <c r="M98" s="25"/>
      <c r="N98" s="25"/>
      <c r="O98" s="25"/>
      <c r="P98" s="25"/>
      <c r="Q98" s="25"/>
      <c r="R98" s="34"/>
      <c r="S98" s="25"/>
      <c r="T98" s="53"/>
      <c r="U98" s="25"/>
      <c r="V98" s="5"/>
    </row>
    <row r="99" spans="1:23" ht="15.6" x14ac:dyDescent="0.3">
      <c r="A99" s="24">
        <v>1</v>
      </c>
      <c r="B99" s="25" t="s">
        <v>36</v>
      </c>
      <c r="C99" s="25"/>
      <c r="D99" s="25"/>
      <c r="E99" s="25"/>
      <c r="F99" s="25"/>
      <c r="G99" s="25"/>
      <c r="H99" s="25"/>
      <c r="I99" s="25"/>
      <c r="J99" s="25"/>
      <c r="K99" s="25"/>
      <c r="L99" s="25"/>
      <c r="M99" s="25"/>
      <c r="N99" s="25"/>
      <c r="O99" s="25"/>
      <c r="P99" s="25"/>
      <c r="Q99" s="25"/>
      <c r="R99" s="25"/>
      <c r="S99" s="25"/>
      <c r="T99" s="53">
        <v>0</v>
      </c>
      <c r="U99" s="25"/>
      <c r="V99" s="5"/>
    </row>
    <row r="100" spans="1:23" ht="15.6" x14ac:dyDescent="0.3">
      <c r="A100" s="24">
        <f>+A99+1</f>
        <v>2</v>
      </c>
      <c r="B100" s="25" t="s">
        <v>37</v>
      </c>
      <c r="C100" s="25"/>
      <c r="D100" s="25"/>
      <c r="E100" s="25"/>
      <c r="F100" s="25"/>
      <c r="G100" s="25"/>
      <c r="H100" s="25"/>
      <c r="I100" s="25"/>
      <c r="J100" s="25"/>
      <c r="K100" s="25"/>
      <c r="L100" s="25"/>
      <c r="M100" s="25"/>
      <c r="N100" s="25"/>
      <c r="O100" s="25"/>
      <c r="P100" s="25"/>
      <c r="Q100" s="25"/>
      <c r="R100" s="25"/>
      <c r="S100" s="25"/>
      <c r="T100" s="53">
        <v>-2</v>
      </c>
      <c r="U100" s="25"/>
      <c r="V100" s="5"/>
    </row>
    <row r="101" spans="1:23" ht="15.6" x14ac:dyDescent="0.3">
      <c r="A101" s="24">
        <f>+A100+1</f>
        <v>3</v>
      </c>
      <c r="B101" s="25" t="s">
        <v>160</v>
      </c>
      <c r="C101" s="25"/>
      <c r="D101" s="25"/>
      <c r="E101" s="25"/>
      <c r="F101" s="25"/>
      <c r="G101" s="25"/>
      <c r="H101" s="25"/>
      <c r="I101" s="25"/>
      <c r="J101" s="25"/>
      <c r="K101" s="25"/>
      <c r="L101" s="25"/>
      <c r="M101" s="25"/>
      <c r="N101" s="25"/>
      <c r="O101" s="25"/>
      <c r="P101" s="25"/>
      <c r="Q101" s="25"/>
      <c r="R101" s="25"/>
      <c r="S101" s="25"/>
      <c r="T101" s="53">
        <f>-186-35-6</f>
        <v>-227</v>
      </c>
      <c r="U101" s="25"/>
      <c r="V101" s="5"/>
    </row>
    <row r="102" spans="1:23" ht="15.6" x14ac:dyDescent="0.3">
      <c r="A102" s="24" t="s">
        <v>136</v>
      </c>
      <c r="B102" s="25" t="s">
        <v>125</v>
      </c>
      <c r="C102" s="25"/>
      <c r="D102" s="25"/>
      <c r="E102" s="25"/>
      <c r="F102" s="25"/>
      <c r="G102" s="25"/>
      <c r="H102" s="25"/>
      <c r="I102" s="25"/>
      <c r="J102" s="25"/>
      <c r="K102" s="25"/>
      <c r="L102" s="25"/>
      <c r="M102" s="25"/>
      <c r="N102" s="25"/>
      <c r="O102" s="25"/>
      <c r="P102" s="25"/>
      <c r="Q102" s="25"/>
      <c r="R102" s="25"/>
      <c r="S102" s="25"/>
      <c r="T102" s="53">
        <v>0</v>
      </c>
      <c r="U102" s="25"/>
      <c r="V102" s="5"/>
    </row>
    <row r="103" spans="1:23" ht="15.6" x14ac:dyDescent="0.3">
      <c r="A103" s="24" t="s">
        <v>137</v>
      </c>
      <c r="B103" s="25" t="s">
        <v>267</v>
      </c>
      <c r="C103" s="25"/>
      <c r="D103" s="25"/>
      <c r="E103" s="25"/>
      <c r="F103" s="25"/>
      <c r="G103" s="25"/>
      <c r="H103" s="25"/>
      <c r="I103" s="25"/>
      <c r="J103" s="25"/>
      <c r="K103" s="25"/>
      <c r="L103" s="25"/>
      <c r="M103" s="25"/>
      <c r="N103" s="25"/>
      <c r="O103" s="25"/>
      <c r="P103" s="25"/>
      <c r="Q103" s="25"/>
      <c r="R103" s="25"/>
      <c r="S103" s="25"/>
      <c r="T103" s="53">
        <v>-2</v>
      </c>
      <c r="U103" s="25"/>
      <c r="V103" s="5"/>
    </row>
    <row r="104" spans="1:23" ht="15.6" x14ac:dyDescent="0.3">
      <c r="A104" s="24" t="s">
        <v>162</v>
      </c>
      <c r="B104" s="25" t="s">
        <v>218</v>
      </c>
      <c r="C104" s="25"/>
      <c r="D104" s="25"/>
      <c r="E104" s="25"/>
      <c r="F104" s="25"/>
      <c r="G104" s="25"/>
      <c r="H104" s="25"/>
      <c r="I104" s="25"/>
      <c r="J104" s="25"/>
      <c r="K104" s="25"/>
      <c r="L104" s="25"/>
      <c r="M104" s="25"/>
      <c r="N104" s="25"/>
      <c r="O104" s="25"/>
      <c r="P104" s="25"/>
      <c r="Q104" s="25"/>
      <c r="R104" s="25"/>
      <c r="S104" s="25"/>
      <c r="T104" s="53">
        <v>-3830</v>
      </c>
      <c r="U104" s="25"/>
      <c r="V104" s="5"/>
      <c r="W104" s="110"/>
    </row>
    <row r="105" spans="1:23" ht="15.6" x14ac:dyDescent="0.3">
      <c r="A105" s="24" t="s">
        <v>163</v>
      </c>
      <c r="B105" s="25" t="s">
        <v>219</v>
      </c>
      <c r="C105" s="25"/>
      <c r="D105" s="25"/>
      <c r="E105" s="25"/>
      <c r="F105" s="25"/>
      <c r="G105" s="25"/>
      <c r="H105" s="25"/>
      <c r="I105" s="25"/>
      <c r="J105" s="25"/>
      <c r="K105" s="25"/>
      <c r="L105" s="25"/>
      <c r="M105" s="25"/>
      <c r="N105" s="25"/>
      <c r="O105" s="25"/>
      <c r="P105" s="25"/>
      <c r="Q105" s="25"/>
      <c r="R105" s="25"/>
      <c r="S105" s="25"/>
      <c r="T105" s="53">
        <v>-2710</v>
      </c>
      <c r="U105" s="25"/>
      <c r="V105" s="5"/>
      <c r="W105" s="110"/>
    </row>
    <row r="106" spans="1:23" ht="15.6" x14ac:dyDescent="0.3">
      <c r="A106" s="24" t="s">
        <v>252</v>
      </c>
      <c r="B106" s="25" t="s">
        <v>242</v>
      </c>
      <c r="C106" s="25"/>
      <c r="D106" s="25"/>
      <c r="E106" s="25"/>
      <c r="F106" s="25"/>
      <c r="G106" s="25"/>
      <c r="H106" s="25"/>
      <c r="I106" s="25"/>
      <c r="J106" s="25"/>
      <c r="K106" s="25"/>
      <c r="L106" s="25"/>
      <c r="M106" s="25"/>
      <c r="N106" s="25"/>
      <c r="O106" s="25"/>
      <c r="P106" s="25"/>
      <c r="Q106" s="25"/>
      <c r="R106" s="25"/>
      <c r="S106" s="25"/>
      <c r="T106" s="53">
        <v>-377</v>
      </c>
      <c r="U106" s="25"/>
      <c r="V106" s="170"/>
      <c r="W106" s="110"/>
    </row>
    <row r="107" spans="1:23" ht="15.6" x14ac:dyDescent="0.3">
      <c r="A107" s="24" t="s">
        <v>245</v>
      </c>
      <c r="B107" s="25" t="s">
        <v>220</v>
      </c>
      <c r="C107" s="25"/>
      <c r="D107" s="25"/>
      <c r="E107" s="25"/>
      <c r="F107" s="25"/>
      <c r="G107" s="25"/>
      <c r="H107" s="25"/>
      <c r="I107" s="25"/>
      <c r="J107" s="25"/>
      <c r="K107" s="25"/>
      <c r="L107" s="25"/>
      <c r="M107" s="25"/>
      <c r="N107" s="25"/>
      <c r="O107" s="25"/>
      <c r="P107" s="25"/>
      <c r="Q107" s="25"/>
      <c r="R107" s="25"/>
      <c r="S107" s="25"/>
      <c r="T107" s="53">
        <v>-118</v>
      </c>
      <c r="U107" s="25"/>
      <c r="V107" s="5"/>
      <c r="W107" s="110"/>
    </row>
    <row r="108" spans="1:23" ht="15.6" x14ac:dyDescent="0.3">
      <c r="A108" s="24" t="s">
        <v>246</v>
      </c>
      <c r="B108" s="25" t="s">
        <v>221</v>
      </c>
      <c r="C108" s="25"/>
      <c r="D108" s="25"/>
      <c r="E108" s="25"/>
      <c r="F108" s="25"/>
      <c r="G108" s="25"/>
      <c r="H108" s="25"/>
      <c r="I108" s="25"/>
      <c r="J108" s="25"/>
      <c r="K108" s="25"/>
      <c r="L108" s="25"/>
      <c r="M108" s="25"/>
      <c r="N108" s="25"/>
      <c r="O108" s="25"/>
      <c r="P108" s="25"/>
      <c r="Q108" s="25"/>
      <c r="R108" s="25"/>
      <c r="S108" s="25"/>
      <c r="T108" s="53">
        <v>-343</v>
      </c>
      <c r="U108" s="25"/>
      <c r="V108" s="5"/>
      <c r="W108" s="110"/>
    </row>
    <row r="109" spans="1:23" ht="15.6" x14ac:dyDescent="0.3">
      <c r="A109" s="24" t="s">
        <v>247</v>
      </c>
      <c r="B109" s="25" t="s">
        <v>222</v>
      </c>
      <c r="C109" s="25"/>
      <c r="D109" s="25"/>
      <c r="E109" s="25"/>
      <c r="F109" s="25"/>
      <c r="G109" s="25"/>
      <c r="H109" s="25"/>
      <c r="I109" s="25"/>
      <c r="J109" s="25"/>
      <c r="K109" s="25"/>
      <c r="L109" s="25"/>
      <c r="M109" s="25"/>
      <c r="N109" s="25"/>
      <c r="O109" s="25"/>
      <c r="P109" s="25"/>
      <c r="Q109" s="25"/>
      <c r="R109" s="25"/>
      <c r="S109" s="25"/>
      <c r="T109" s="53">
        <v>-52</v>
      </c>
      <c r="U109" s="25"/>
      <c r="V109" s="5"/>
      <c r="W109" s="110"/>
    </row>
    <row r="110" spans="1:23" ht="15.6" x14ac:dyDescent="0.3">
      <c r="A110" s="24" t="s">
        <v>248</v>
      </c>
      <c r="B110" s="25" t="s">
        <v>223</v>
      </c>
      <c r="C110" s="25"/>
      <c r="D110" s="25"/>
      <c r="E110" s="25"/>
      <c r="F110" s="25"/>
      <c r="G110" s="25"/>
      <c r="H110" s="25"/>
      <c r="I110" s="25"/>
      <c r="J110" s="25"/>
      <c r="K110" s="25"/>
      <c r="L110" s="25"/>
      <c r="M110" s="25"/>
      <c r="N110" s="25"/>
      <c r="O110" s="25"/>
      <c r="P110" s="25"/>
      <c r="Q110" s="25"/>
      <c r="R110" s="25"/>
      <c r="S110" s="25"/>
      <c r="T110" s="53">
        <v>-794</v>
      </c>
      <c r="U110" s="25"/>
      <c r="V110" s="5"/>
      <c r="W110" s="110"/>
    </row>
    <row r="111" spans="1:23" ht="15.6" x14ac:dyDescent="0.3">
      <c r="A111" s="24">
        <v>7</v>
      </c>
      <c r="B111" s="25" t="s">
        <v>38</v>
      </c>
      <c r="C111" s="25"/>
      <c r="D111" s="25"/>
      <c r="E111" s="25"/>
      <c r="F111" s="25"/>
      <c r="G111" s="25"/>
      <c r="H111" s="25"/>
      <c r="I111" s="25"/>
      <c r="J111" s="25"/>
      <c r="K111" s="25"/>
      <c r="L111" s="25"/>
      <c r="M111" s="25"/>
      <c r="N111" s="25"/>
      <c r="O111" s="25"/>
      <c r="P111" s="25"/>
      <c r="Q111" s="25"/>
      <c r="R111" s="25"/>
      <c r="S111" s="25"/>
      <c r="T111" s="53">
        <v>-8</v>
      </c>
      <c r="U111" s="25"/>
      <c r="V111" s="5"/>
    </row>
    <row r="112" spans="1:23" ht="15.6" x14ac:dyDescent="0.3">
      <c r="A112" s="24">
        <f t="shared" ref="A112:A117" si="0">+A111+1</f>
        <v>8</v>
      </c>
      <c r="B112" s="25" t="s">
        <v>49</v>
      </c>
      <c r="C112" s="25"/>
      <c r="D112" s="25"/>
      <c r="E112" s="25"/>
      <c r="F112" s="25"/>
      <c r="G112" s="25"/>
      <c r="H112" s="25"/>
      <c r="I112" s="25"/>
      <c r="J112" s="25"/>
      <c r="K112" s="25"/>
      <c r="L112" s="25"/>
      <c r="M112" s="25"/>
      <c r="N112" s="25"/>
      <c r="O112" s="25"/>
      <c r="P112" s="25"/>
      <c r="Q112" s="25"/>
      <c r="R112" s="34">
        <f>-T112</f>
        <v>91</v>
      </c>
      <c r="S112" s="25"/>
      <c r="T112" s="53">
        <v>-91</v>
      </c>
      <c r="U112" s="25"/>
      <c r="V112" s="5"/>
    </row>
    <row r="113" spans="1:22" ht="15.6" x14ac:dyDescent="0.3">
      <c r="A113" s="24">
        <f t="shared" si="0"/>
        <v>9</v>
      </c>
      <c r="B113" s="25" t="s">
        <v>134</v>
      </c>
      <c r="C113" s="25"/>
      <c r="D113" s="25"/>
      <c r="E113" s="25"/>
      <c r="F113" s="25"/>
      <c r="G113" s="25"/>
      <c r="H113" s="25"/>
      <c r="I113" s="25"/>
      <c r="J113" s="25"/>
      <c r="K113" s="25"/>
      <c r="L113" s="25"/>
      <c r="M113" s="25"/>
      <c r="N113" s="25"/>
      <c r="O113" s="25"/>
      <c r="P113" s="25"/>
      <c r="Q113" s="25"/>
      <c r="R113" s="25"/>
      <c r="S113" s="25"/>
      <c r="T113" s="53">
        <v>0</v>
      </c>
      <c r="U113" s="25"/>
      <c r="V113" s="5"/>
    </row>
    <row r="114" spans="1:22" ht="15.6" x14ac:dyDescent="0.3">
      <c r="A114" s="24">
        <f t="shared" si="0"/>
        <v>10</v>
      </c>
      <c r="B114" s="25" t="s">
        <v>39</v>
      </c>
      <c r="C114" s="25"/>
      <c r="D114" s="25"/>
      <c r="E114" s="25"/>
      <c r="F114" s="25"/>
      <c r="G114" s="25"/>
      <c r="H114" s="25"/>
      <c r="I114" s="25"/>
      <c r="J114" s="25"/>
      <c r="K114" s="25"/>
      <c r="L114" s="25"/>
      <c r="M114" s="25"/>
      <c r="N114" s="25"/>
      <c r="O114" s="25"/>
      <c r="P114" s="25"/>
      <c r="Q114" s="25"/>
      <c r="R114" s="25"/>
      <c r="S114" s="25"/>
      <c r="T114" s="53">
        <v>0</v>
      </c>
      <c r="U114" s="25"/>
      <c r="V114" s="5"/>
    </row>
    <row r="115" spans="1:22" ht="15.6" x14ac:dyDescent="0.3">
      <c r="A115" s="24">
        <f t="shared" si="0"/>
        <v>11</v>
      </c>
      <c r="B115" s="25" t="s">
        <v>40</v>
      </c>
      <c r="C115" s="25"/>
      <c r="D115" s="25"/>
      <c r="E115" s="25"/>
      <c r="F115" s="25"/>
      <c r="G115" s="25"/>
      <c r="H115" s="25"/>
      <c r="I115" s="25"/>
      <c r="J115" s="25"/>
      <c r="K115" s="25"/>
      <c r="L115" s="25"/>
      <c r="M115" s="25"/>
      <c r="N115" s="25"/>
      <c r="O115" s="25"/>
      <c r="P115" s="25"/>
      <c r="Q115" s="25"/>
      <c r="R115" s="25"/>
      <c r="S115" s="25"/>
      <c r="T115" s="53">
        <v>0</v>
      </c>
      <c r="U115" s="25"/>
      <c r="V115" s="5"/>
    </row>
    <row r="116" spans="1:22" ht="15.6" x14ac:dyDescent="0.3">
      <c r="A116" s="24">
        <f t="shared" si="0"/>
        <v>12</v>
      </c>
      <c r="B116" s="25" t="s">
        <v>161</v>
      </c>
      <c r="C116" s="25"/>
      <c r="D116" s="25"/>
      <c r="E116" s="25"/>
      <c r="F116" s="25"/>
      <c r="G116" s="25"/>
      <c r="H116" s="25"/>
      <c r="I116" s="25"/>
      <c r="J116" s="25"/>
      <c r="K116" s="25"/>
      <c r="L116" s="25"/>
      <c r="M116" s="25"/>
      <c r="N116" s="25"/>
      <c r="O116" s="25"/>
      <c r="P116" s="25"/>
      <c r="Q116" s="25"/>
      <c r="R116" s="25"/>
      <c r="S116" s="25"/>
      <c r="T116" s="53">
        <v>-187</v>
      </c>
      <c r="U116" s="25"/>
      <c r="V116" s="5"/>
    </row>
    <row r="117" spans="1:22" ht="15.6" x14ac:dyDescent="0.3">
      <c r="A117" s="24">
        <f t="shared" si="0"/>
        <v>13</v>
      </c>
      <c r="B117" s="25" t="s">
        <v>135</v>
      </c>
      <c r="C117" s="25"/>
      <c r="D117" s="25"/>
      <c r="E117" s="25"/>
      <c r="F117" s="25"/>
      <c r="G117" s="25"/>
      <c r="H117" s="25"/>
      <c r="I117" s="25"/>
      <c r="J117" s="25"/>
      <c r="K117" s="25"/>
      <c r="L117" s="25"/>
      <c r="M117" s="25"/>
      <c r="N117" s="25"/>
      <c r="O117" s="25"/>
      <c r="P117" s="25"/>
      <c r="Q117" s="25"/>
      <c r="R117" s="25"/>
      <c r="S117" s="25"/>
      <c r="T117" s="53">
        <f>-T97-SUM(T99:T116)</f>
        <v>-1272</v>
      </c>
      <c r="U117" s="25"/>
      <c r="V117" s="5"/>
    </row>
    <row r="118" spans="1:22" ht="15.6" x14ac:dyDescent="0.3">
      <c r="A118" s="24"/>
      <c r="B118" s="119" t="s">
        <v>41</v>
      </c>
      <c r="C118" s="25"/>
      <c r="D118" s="25"/>
      <c r="E118" s="25"/>
      <c r="F118" s="25"/>
      <c r="G118" s="25"/>
      <c r="H118" s="25"/>
      <c r="I118" s="25"/>
      <c r="J118" s="25"/>
      <c r="K118" s="25"/>
      <c r="L118" s="25"/>
      <c r="M118" s="25"/>
      <c r="N118" s="25"/>
      <c r="O118" s="25"/>
      <c r="P118" s="25"/>
      <c r="Q118" s="25"/>
      <c r="R118" s="25"/>
      <c r="S118" s="25"/>
      <c r="T118" s="59"/>
      <c r="U118" s="25"/>
      <c r="V118" s="5"/>
    </row>
    <row r="119" spans="1:22" ht="15.6" x14ac:dyDescent="0.3">
      <c r="A119" s="24"/>
      <c r="B119" s="25" t="s">
        <v>229</v>
      </c>
      <c r="C119" s="25"/>
      <c r="D119" s="25"/>
      <c r="E119" s="25"/>
      <c r="F119" s="25"/>
      <c r="G119" s="25"/>
      <c r="H119" s="25"/>
      <c r="I119" s="25"/>
      <c r="J119" s="25"/>
      <c r="K119" s="25"/>
      <c r="L119" s="25"/>
      <c r="M119" s="25"/>
      <c r="N119" s="25"/>
      <c r="O119" s="25"/>
      <c r="P119" s="25"/>
      <c r="Q119" s="25"/>
      <c r="R119" s="34">
        <f>-R178</f>
        <v>-26</v>
      </c>
      <c r="S119" s="34"/>
      <c r="T119" s="53"/>
      <c r="U119" s="25"/>
      <c r="V119" s="5"/>
    </row>
    <row r="120" spans="1:22" ht="15.6" x14ac:dyDescent="0.3">
      <c r="A120" s="24"/>
      <c r="B120" s="25" t="s">
        <v>230</v>
      </c>
      <c r="C120" s="25"/>
      <c r="D120" s="25"/>
      <c r="E120" s="25"/>
      <c r="F120" s="25"/>
      <c r="G120" s="25"/>
      <c r="H120" s="25"/>
      <c r="I120" s="25"/>
      <c r="J120" s="25"/>
      <c r="K120" s="25"/>
      <c r="L120" s="25"/>
      <c r="M120" s="25"/>
      <c r="N120" s="25"/>
      <c r="O120" s="25"/>
      <c r="P120" s="25"/>
      <c r="Q120" s="25"/>
      <c r="R120" s="34">
        <v>-97</v>
      </c>
      <c r="S120" s="34"/>
      <c r="T120" s="53"/>
      <c r="U120" s="25"/>
      <c r="V120" s="5"/>
    </row>
    <row r="121" spans="1:22" ht="15.6" x14ac:dyDescent="0.3">
      <c r="A121" s="24"/>
      <c r="B121" s="25" t="s">
        <v>42</v>
      </c>
      <c r="C121" s="25"/>
      <c r="D121" s="25"/>
      <c r="E121" s="25"/>
      <c r="F121" s="25"/>
      <c r="G121" s="25"/>
      <c r="H121" s="25"/>
      <c r="I121" s="25"/>
      <c r="J121" s="25"/>
      <c r="K121" s="25"/>
      <c r="L121" s="25"/>
      <c r="M121" s="25"/>
      <c r="N121" s="25"/>
      <c r="O121" s="25"/>
      <c r="P121" s="25"/>
      <c r="Q121" s="25"/>
      <c r="R121" s="34">
        <f>-Q178</f>
        <v>-3834</v>
      </c>
      <c r="S121" s="34"/>
      <c r="T121" s="53"/>
      <c r="U121" s="25"/>
      <c r="V121" s="5"/>
    </row>
    <row r="122" spans="1:22" ht="15.6" x14ac:dyDescent="0.3">
      <c r="A122" s="24"/>
      <c r="B122" s="25" t="s">
        <v>235</v>
      </c>
      <c r="C122" s="25"/>
      <c r="D122" s="25"/>
      <c r="E122" s="25"/>
      <c r="F122" s="25"/>
      <c r="G122" s="25"/>
      <c r="H122" s="25"/>
      <c r="I122" s="25"/>
      <c r="J122" s="25"/>
      <c r="K122" s="25"/>
      <c r="L122" s="25"/>
      <c r="M122" s="25"/>
      <c r="N122" s="25"/>
      <c r="O122" s="25"/>
      <c r="P122" s="25"/>
      <c r="Q122" s="25"/>
      <c r="R122" s="34">
        <v>-26330</v>
      </c>
      <c r="S122" s="34"/>
      <c r="T122" s="53"/>
      <c r="U122" s="25"/>
      <c r="V122" s="5"/>
    </row>
    <row r="123" spans="1:22" ht="15.6" x14ac:dyDescent="0.3">
      <c r="A123" s="24"/>
      <c r="B123" s="25" t="s">
        <v>236</v>
      </c>
      <c r="C123" s="25"/>
      <c r="D123" s="25"/>
      <c r="E123" s="25"/>
      <c r="F123" s="25"/>
      <c r="G123" s="25"/>
      <c r="H123" s="25"/>
      <c r="I123" s="25"/>
      <c r="J123" s="25"/>
      <c r="K123" s="25"/>
      <c r="L123" s="25"/>
      <c r="M123" s="25"/>
      <c r="N123" s="25"/>
      <c r="O123" s="25"/>
      <c r="P123" s="25"/>
      <c r="Q123" s="25"/>
      <c r="R123" s="34">
        <v>-18607</v>
      </c>
      <c r="S123" s="34"/>
      <c r="T123" s="53"/>
      <c r="U123" s="25"/>
      <c r="V123" s="5"/>
    </row>
    <row r="124" spans="1:22" ht="15.6" x14ac:dyDescent="0.3">
      <c r="A124" s="24"/>
      <c r="B124" s="25" t="s">
        <v>241</v>
      </c>
      <c r="C124" s="25"/>
      <c r="D124" s="25"/>
      <c r="E124" s="25"/>
      <c r="F124" s="25"/>
      <c r="G124" s="25"/>
      <c r="H124" s="25"/>
      <c r="I124" s="25"/>
      <c r="J124" s="25"/>
      <c r="K124" s="25"/>
      <c r="L124" s="25"/>
      <c r="M124" s="25"/>
      <c r="N124" s="25"/>
      <c r="O124" s="25"/>
      <c r="P124" s="25"/>
      <c r="Q124" s="25"/>
      <c r="R124" s="34">
        <v>-2580</v>
      </c>
      <c r="S124" s="34"/>
      <c r="T124" s="53"/>
      <c r="U124" s="25"/>
      <c r="V124" s="5"/>
    </row>
    <row r="125" spans="1:22" ht="15.6" x14ac:dyDescent="0.3">
      <c r="A125" s="24"/>
      <c r="B125" s="25" t="s">
        <v>237</v>
      </c>
      <c r="C125" s="25"/>
      <c r="D125" s="25"/>
      <c r="E125" s="25"/>
      <c r="F125" s="25"/>
      <c r="G125" s="25"/>
      <c r="H125" s="25"/>
      <c r="I125" s="25"/>
      <c r="J125" s="25"/>
      <c r="K125" s="25"/>
      <c r="L125" s="25"/>
      <c r="M125" s="25"/>
      <c r="N125" s="25"/>
      <c r="O125" s="25"/>
      <c r="P125" s="25"/>
      <c r="Q125" s="25"/>
      <c r="R125" s="34">
        <v>0</v>
      </c>
      <c r="S125" s="34"/>
      <c r="T125" s="53"/>
      <c r="U125" s="25"/>
      <c r="V125" s="5"/>
    </row>
    <row r="126" spans="1:22" ht="15.6" x14ac:dyDescent="0.3">
      <c r="A126" s="24"/>
      <c r="B126" s="25" t="s">
        <v>238</v>
      </c>
      <c r="C126" s="25"/>
      <c r="D126" s="25"/>
      <c r="E126" s="25"/>
      <c r="F126" s="25"/>
      <c r="G126" s="25"/>
      <c r="H126" s="25"/>
      <c r="I126" s="25"/>
      <c r="J126" s="25"/>
      <c r="K126" s="25"/>
      <c r="L126" s="25"/>
      <c r="M126" s="25"/>
      <c r="N126" s="25"/>
      <c r="O126" s="25"/>
      <c r="P126" s="25"/>
      <c r="Q126" s="25"/>
      <c r="R126" s="34">
        <v>0</v>
      </c>
      <c r="S126" s="34"/>
      <c r="T126" s="53"/>
      <c r="U126" s="25"/>
      <c r="V126" s="5"/>
    </row>
    <row r="127" spans="1:22" ht="15.6" x14ac:dyDescent="0.3">
      <c r="A127" s="24"/>
      <c r="B127" s="25" t="s">
        <v>239</v>
      </c>
      <c r="C127" s="25"/>
      <c r="D127" s="25"/>
      <c r="E127" s="25"/>
      <c r="F127" s="25"/>
      <c r="G127" s="25"/>
      <c r="H127" s="25"/>
      <c r="I127" s="25"/>
      <c r="J127" s="25"/>
      <c r="K127" s="25"/>
      <c r="L127" s="25"/>
      <c r="M127" s="25"/>
      <c r="N127" s="25"/>
      <c r="O127" s="25"/>
      <c r="P127" s="25"/>
      <c r="Q127" s="25"/>
      <c r="R127" s="34">
        <v>0</v>
      </c>
      <c r="S127" s="34"/>
      <c r="T127" s="53"/>
      <c r="U127" s="25"/>
      <c r="V127" s="5"/>
    </row>
    <row r="128" spans="1:22" ht="15.6" x14ac:dyDescent="0.3">
      <c r="A128" s="24"/>
      <c r="B128" s="25" t="s">
        <v>240</v>
      </c>
      <c r="C128" s="25"/>
      <c r="D128" s="25"/>
      <c r="E128" s="25"/>
      <c r="F128" s="25"/>
      <c r="G128" s="25"/>
      <c r="H128" s="25"/>
      <c r="I128" s="25"/>
      <c r="J128" s="25"/>
      <c r="K128" s="25"/>
      <c r="L128" s="25"/>
      <c r="M128" s="25"/>
      <c r="N128" s="25"/>
      <c r="O128" s="25"/>
      <c r="P128" s="25"/>
      <c r="Q128" s="25"/>
      <c r="R128" s="34">
        <v>0</v>
      </c>
      <c r="S128" s="34"/>
      <c r="T128" s="53"/>
      <c r="U128" s="25"/>
      <c r="V128" s="5"/>
    </row>
    <row r="129" spans="1:22" ht="15.6" x14ac:dyDescent="0.3">
      <c r="A129" s="24"/>
      <c r="B129" s="25" t="s">
        <v>43</v>
      </c>
      <c r="C129" s="25"/>
      <c r="D129" s="25"/>
      <c r="E129" s="25"/>
      <c r="F129" s="25"/>
      <c r="G129" s="25"/>
      <c r="H129" s="25"/>
      <c r="I129" s="25"/>
      <c r="J129" s="25"/>
      <c r="K129" s="25"/>
      <c r="L129" s="25"/>
      <c r="M129" s="25"/>
      <c r="N129" s="25"/>
      <c r="O129" s="25"/>
      <c r="P129" s="25"/>
      <c r="Q129" s="25"/>
      <c r="R129" s="34">
        <f>SUM(R119:R128)</f>
        <v>-51474</v>
      </c>
      <c r="S129" s="34"/>
      <c r="T129" s="34">
        <f>SUM(T98:T127)</f>
        <v>-10013</v>
      </c>
      <c r="U129" s="25"/>
      <c r="V129" s="5"/>
    </row>
    <row r="130" spans="1:22" ht="15.6" x14ac:dyDescent="0.3">
      <c r="A130" s="24"/>
      <c r="B130" s="25" t="s">
        <v>44</v>
      </c>
      <c r="C130" s="25"/>
      <c r="D130" s="25"/>
      <c r="E130" s="25"/>
      <c r="F130" s="25"/>
      <c r="G130" s="25"/>
      <c r="H130" s="25"/>
      <c r="I130" s="25"/>
      <c r="J130" s="25"/>
      <c r="K130" s="25"/>
      <c r="L130" s="25"/>
      <c r="M130" s="25"/>
      <c r="N130" s="25"/>
      <c r="O130" s="25"/>
      <c r="P130" s="25"/>
      <c r="Q130" s="25"/>
      <c r="R130" s="34">
        <f>R97+R129+R112</f>
        <v>0</v>
      </c>
      <c r="S130" s="34"/>
      <c r="T130" s="34">
        <f>T97+T129</f>
        <v>0</v>
      </c>
      <c r="U130" s="25"/>
      <c r="V130" s="5"/>
    </row>
    <row r="131" spans="1:22" ht="15.6" x14ac:dyDescent="0.3">
      <c r="A131" s="24"/>
      <c r="B131" s="25"/>
      <c r="C131" s="25"/>
      <c r="D131" s="25"/>
      <c r="E131" s="25"/>
      <c r="F131" s="25"/>
      <c r="G131" s="25"/>
      <c r="H131" s="25"/>
      <c r="I131" s="25"/>
      <c r="J131" s="25"/>
      <c r="K131" s="25"/>
      <c r="L131" s="25"/>
      <c r="M131" s="25"/>
      <c r="N131" s="25"/>
      <c r="O131" s="25"/>
      <c r="P131" s="25"/>
      <c r="Q131" s="25"/>
      <c r="R131" s="34"/>
      <c r="S131" s="34"/>
      <c r="T131" s="34"/>
      <c r="U131" s="25"/>
      <c r="V131" s="5"/>
    </row>
    <row r="132" spans="1:22" ht="15.6" x14ac:dyDescent="0.3">
      <c r="A132" s="6"/>
      <c r="B132" s="8"/>
      <c r="C132" s="8"/>
      <c r="D132" s="8"/>
      <c r="E132" s="8"/>
      <c r="F132" s="8"/>
      <c r="G132" s="8"/>
      <c r="H132" s="8"/>
      <c r="I132" s="8"/>
      <c r="J132" s="8"/>
      <c r="K132" s="8"/>
      <c r="L132" s="8"/>
      <c r="M132" s="8"/>
      <c r="N132" s="8"/>
      <c r="O132" s="8"/>
      <c r="P132" s="8"/>
      <c r="Q132" s="8"/>
      <c r="R132" s="8"/>
      <c r="S132" s="8"/>
      <c r="T132" s="52"/>
      <c r="U132" s="8"/>
      <c r="V132" s="5"/>
    </row>
    <row r="133" spans="1:22" ht="18" thickBot="1" x14ac:dyDescent="0.35">
      <c r="A133" s="102"/>
      <c r="B133" s="103" t="str">
        <f>B61</f>
        <v>PM9 INVESTOR REPORT QUARTER ENDING OCTOBER 2007</v>
      </c>
      <c r="C133" s="104"/>
      <c r="D133" s="104"/>
      <c r="E133" s="104"/>
      <c r="F133" s="104"/>
      <c r="G133" s="104"/>
      <c r="H133" s="104"/>
      <c r="I133" s="104"/>
      <c r="J133" s="104"/>
      <c r="K133" s="104"/>
      <c r="L133" s="104"/>
      <c r="M133" s="104"/>
      <c r="N133" s="104"/>
      <c r="O133" s="104"/>
      <c r="P133" s="104"/>
      <c r="Q133" s="104"/>
      <c r="R133" s="104"/>
      <c r="S133" s="104"/>
      <c r="T133" s="107"/>
      <c r="U133" s="106"/>
      <c r="V133" s="5"/>
    </row>
    <row r="134" spans="1:22" ht="15.6" x14ac:dyDescent="0.3">
      <c r="A134" s="2"/>
      <c r="B134" s="60" t="s">
        <v>45</v>
      </c>
      <c r="C134" s="4"/>
      <c r="D134" s="4"/>
      <c r="E134" s="4"/>
      <c r="F134" s="4"/>
      <c r="G134" s="4"/>
      <c r="H134" s="4"/>
      <c r="I134" s="4"/>
      <c r="J134" s="4"/>
      <c r="K134" s="4"/>
      <c r="L134" s="4"/>
      <c r="M134" s="4"/>
      <c r="N134" s="4"/>
      <c r="O134" s="4"/>
      <c r="P134" s="4"/>
      <c r="Q134" s="4"/>
      <c r="R134" s="4"/>
      <c r="S134" s="4"/>
      <c r="T134" s="50"/>
      <c r="U134" s="4"/>
      <c r="V134" s="5"/>
    </row>
    <row r="135" spans="1:22" ht="15.6" x14ac:dyDescent="0.3">
      <c r="A135" s="6"/>
      <c r="B135" s="21"/>
      <c r="C135" s="8"/>
      <c r="D135" s="8"/>
      <c r="E135" s="8"/>
      <c r="F135" s="8"/>
      <c r="G135" s="8"/>
      <c r="H135" s="8"/>
      <c r="I135" s="8"/>
      <c r="J135" s="8"/>
      <c r="K135" s="8"/>
      <c r="L135" s="8"/>
      <c r="M135" s="8"/>
      <c r="N135" s="8"/>
      <c r="O135" s="8"/>
      <c r="P135" s="8"/>
      <c r="Q135" s="8"/>
      <c r="R135" s="8"/>
      <c r="S135" s="8"/>
      <c r="T135" s="52"/>
      <c r="U135" s="8"/>
      <c r="V135" s="5"/>
    </row>
    <row r="136" spans="1:22" ht="15.6" x14ac:dyDescent="0.3">
      <c r="A136" s="6"/>
      <c r="B136" s="120" t="s">
        <v>46</v>
      </c>
      <c r="C136" s="8"/>
      <c r="D136" s="8"/>
      <c r="E136" s="8"/>
      <c r="F136" s="8"/>
      <c r="G136" s="8"/>
      <c r="H136" s="8"/>
      <c r="I136" s="8"/>
      <c r="J136" s="8"/>
      <c r="K136" s="8"/>
      <c r="L136" s="8"/>
      <c r="M136" s="8"/>
      <c r="N136" s="8"/>
      <c r="O136" s="8"/>
      <c r="P136" s="8"/>
      <c r="Q136" s="8"/>
      <c r="R136" s="8"/>
      <c r="S136" s="8"/>
      <c r="T136" s="52"/>
      <c r="U136" s="8"/>
      <c r="V136" s="5"/>
    </row>
    <row r="137" spans="1:22" ht="15.6" x14ac:dyDescent="0.3">
      <c r="A137" s="24"/>
      <c r="B137" s="25" t="s">
        <v>47</v>
      </c>
      <c r="C137" s="25"/>
      <c r="D137" s="25"/>
      <c r="E137" s="25"/>
      <c r="F137" s="25"/>
      <c r="G137" s="25"/>
      <c r="H137" s="25"/>
      <c r="I137" s="25"/>
      <c r="J137" s="25"/>
      <c r="K137" s="25"/>
      <c r="L137" s="25"/>
      <c r="M137" s="25"/>
      <c r="N137" s="25"/>
      <c r="O137" s="25"/>
      <c r="P137" s="25"/>
      <c r="Q137" s="25"/>
      <c r="R137" s="25"/>
      <c r="S137" s="25"/>
      <c r="T137" s="53">
        <f>+T32*0.0176</f>
        <v>12320</v>
      </c>
      <c r="U137" s="25"/>
      <c r="V137" s="5"/>
    </row>
    <row r="138" spans="1:22" ht="15.6" x14ac:dyDescent="0.3">
      <c r="A138" s="24"/>
      <c r="B138" s="25" t="s">
        <v>48</v>
      </c>
      <c r="C138" s="25"/>
      <c r="D138" s="25"/>
      <c r="E138" s="25"/>
      <c r="F138" s="25"/>
      <c r="G138" s="25"/>
      <c r="H138" s="25"/>
      <c r="I138" s="25"/>
      <c r="J138" s="25"/>
      <c r="K138" s="25"/>
      <c r="L138" s="25"/>
      <c r="M138" s="25"/>
      <c r="N138" s="25"/>
      <c r="O138" s="25"/>
      <c r="P138" s="25"/>
      <c r="Q138" s="25"/>
      <c r="R138" s="25"/>
      <c r="S138" s="25"/>
      <c r="T138" s="53">
        <v>12320</v>
      </c>
      <c r="U138" s="25"/>
      <c r="V138" s="5"/>
    </row>
    <row r="139" spans="1:22" ht="15.6" x14ac:dyDescent="0.3">
      <c r="A139" s="24"/>
      <c r="B139" s="25" t="s">
        <v>145</v>
      </c>
      <c r="C139" s="25"/>
      <c r="D139" s="25"/>
      <c r="E139" s="25"/>
      <c r="F139" s="25"/>
      <c r="G139" s="25"/>
      <c r="H139" s="25"/>
      <c r="I139" s="25"/>
      <c r="J139" s="25"/>
      <c r="K139" s="25"/>
      <c r="L139" s="25"/>
      <c r="M139" s="25"/>
      <c r="N139" s="25"/>
      <c r="O139" s="25"/>
      <c r="P139" s="25"/>
      <c r="Q139" s="25"/>
      <c r="R139" s="25"/>
      <c r="S139" s="25"/>
      <c r="T139" s="53">
        <v>0</v>
      </c>
      <c r="U139" s="25"/>
      <c r="V139" s="5"/>
    </row>
    <row r="140" spans="1:22" ht="15.6" x14ac:dyDescent="0.3">
      <c r="A140" s="24"/>
      <c r="B140" s="25" t="s">
        <v>132</v>
      </c>
      <c r="C140" s="25"/>
      <c r="D140" s="25"/>
      <c r="E140" s="25"/>
      <c r="F140" s="25"/>
      <c r="G140" s="25"/>
      <c r="H140" s="25"/>
      <c r="I140" s="25"/>
      <c r="J140" s="25"/>
      <c r="K140" s="25"/>
      <c r="L140" s="25"/>
      <c r="M140" s="25"/>
      <c r="N140" s="25"/>
      <c r="O140" s="25"/>
      <c r="P140" s="25"/>
      <c r="Q140" s="25"/>
      <c r="R140" s="25"/>
      <c r="S140" s="25"/>
      <c r="T140" s="53">
        <v>0</v>
      </c>
      <c r="U140" s="25"/>
      <c r="V140" s="5"/>
    </row>
    <row r="141" spans="1:22" ht="15.6" x14ac:dyDescent="0.3">
      <c r="A141" s="24"/>
      <c r="B141" s="25" t="s">
        <v>133</v>
      </c>
      <c r="C141" s="25"/>
      <c r="D141" s="25"/>
      <c r="E141" s="25"/>
      <c r="F141" s="25"/>
      <c r="G141" s="25"/>
      <c r="H141" s="25"/>
      <c r="I141" s="25"/>
      <c r="J141" s="25"/>
      <c r="K141" s="25"/>
      <c r="L141" s="25"/>
      <c r="M141" s="25"/>
      <c r="N141" s="25"/>
      <c r="O141" s="25"/>
      <c r="P141" s="25"/>
      <c r="Q141" s="25"/>
      <c r="R141" s="25"/>
      <c r="S141" s="25"/>
      <c r="T141" s="53">
        <v>0</v>
      </c>
      <c r="U141" s="25"/>
      <c r="V141" s="5"/>
    </row>
    <row r="142" spans="1:22" ht="15.6" x14ac:dyDescent="0.3">
      <c r="A142" s="24"/>
      <c r="B142" s="25" t="s">
        <v>232</v>
      </c>
      <c r="C142" s="25"/>
      <c r="D142" s="25"/>
      <c r="E142" s="25"/>
      <c r="F142" s="25"/>
      <c r="G142" s="25"/>
      <c r="H142" s="25"/>
      <c r="I142" s="25"/>
      <c r="J142" s="25"/>
      <c r="K142" s="25"/>
      <c r="L142" s="25"/>
      <c r="M142" s="25"/>
      <c r="N142" s="25"/>
      <c r="O142" s="25"/>
      <c r="P142" s="25"/>
      <c r="Q142" s="25"/>
      <c r="R142" s="25"/>
      <c r="S142" s="25"/>
      <c r="T142" s="53">
        <v>0</v>
      </c>
      <c r="U142" s="25"/>
      <c r="V142" s="5"/>
    </row>
    <row r="143" spans="1:22" ht="15.6" x14ac:dyDescent="0.3">
      <c r="A143" s="24"/>
      <c r="B143" s="25" t="s">
        <v>49</v>
      </c>
      <c r="C143" s="25"/>
      <c r="D143" s="25"/>
      <c r="E143" s="25"/>
      <c r="F143" s="25"/>
      <c r="G143" s="25"/>
      <c r="H143" s="25"/>
      <c r="I143" s="25"/>
      <c r="J143" s="25"/>
      <c r="K143" s="25"/>
      <c r="L143" s="25"/>
      <c r="M143" s="25"/>
      <c r="N143" s="25"/>
      <c r="O143" s="25"/>
      <c r="P143" s="25"/>
      <c r="Q143" s="25"/>
      <c r="R143" s="25"/>
      <c r="S143" s="25"/>
      <c r="T143" s="53">
        <v>0</v>
      </c>
      <c r="U143" s="25"/>
      <c r="V143" s="5"/>
    </row>
    <row r="144" spans="1:22" ht="15.6" x14ac:dyDescent="0.3">
      <c r="A144" s="24"/>
      <c r="B144" s="25" t="s">
        <v>138</v>
      </c>
      <c r="C144" s="25"/>
      <c r="D144" s="25"/>
      <c r="E144" s="25"/>
      <c r="F144" s="25"/>
      <c r="G144" s="25"/>
      <c r="H144" s="25"/>
      <c r="I144" s="25"/>
      <c r="J144" s="25"/>
      <c r="K144" s="25"/>
      <c r="L144" s="25"/>
      <c r="M144" s="25"/>
      <c r="N144" s="25"/>
      <c r="O144" s="25"/>
      <c r="P144" s="25"/>
      <c r="Q144" s="25"/>
      <c r="R144" s="25"/>
      <c r="S144" s="25"/>
      <c r="T144" s="53">
        <v>0</v>
      </c>
      <c r="U144" s="25"/>
      <c r="V144" s="5"/>
    </row>
    <row r="145" spans="1:23" ht="15.6" x14ac:dyDescent="0.3">
      <c r="A145" s="24"/>
      <c r="B145" s="25" t="s">
        <v>231</v>
      </c>
      <c r="C145" s="25"/>
      <c r="D145" s="25"/>
      <c r="E145" s="25"/>
      <c r="F145" s="25"/>
      <c r="G145" s="25"/>
      <c r="H145" s="25"/>
      <c r="I145" s="25"/>
      <c r="J145" s="25"/>
      <c r="K145" s="25"/>
      <c r="L145" s="25"/>
      <c r="M145" s="25"/>
      <c r="N145" s="25"/>
      <c r="O145" s="25"/>
      <c r="P145" s="25"/>
      <c r="Q145" s="25"/>
      <c r="R145" s="25"/>
      <c r="S145" s="25"/>
      <c r="T145" s="53">
        <v>0</v>
      </c>
      <c r="U145" s="25"/>
      <c r="V145" s="5"/>
      <c r="W145" s="110"/>
    </row>
    <row r="146" spans="1:23" ht="15.6" x14ac:dyDescent="0.3">
      <c r="A146" s="24"/>
      <c r="B146" s="25" t="s">
        <v>50</v>
      </c>
      <c r="C146" s="25"/>
      <c r="D146" s="25"/>
      <c r="E146" s="25"/>
      <c r="F146" s="25"/>
      <c r="G146" s="25"/>
      <c r="H146" s="25"/>
      <c r="I146" s="25"/>
      <c r="J146" s="25"/>
      <c r="K146" s="25"/>
      <c r="L146" s="25"/>
      <c r="M146" s="25"/>
      <c r="N146" s="25"/>
      <c r="O146" s="25"/>
      <c r="P146" s="25"/>
      <c r="Q146" s="25"/>
      <c r="R146" s="25"/>
      <c r="S146" s="25"/>
      <c r="T146" s="53">
        <f>SUM(T138:T145)</f>
        <v>12320</v>
      </c>
      <c r="U146" s="25"/>
      <c r="V146" s="5"/>
    </row>
    <row r="147" spans="1:23" ht="15.6" x14ac:dyDescent="0.3">
      <c r="A147" s="24"/>
      <c r="B147" s="25"/>
      <c r="C147" s="25"/>
      <c r="D147" s="25"/>
      <c r="E147" s="25"/>
      <c r="F147" s="25"/>
      <c r="G147" s="25"/>
      <c r="H147" s="25"/>
      <c r="I147" s="25"/>
      <c r="J147" s="25"/>
      <c r="K147" s="25"/>
      <c r="L147" s="25"/>
      <c r="M147" s="25"/>
      <c r="N147" s="25"/>
      <c r="O147" s="25"/>
      <c r="P147" s="25"/>
      <c r="Q147" s="25"/>
      <c r="R147" s="25"/>
      <c r="S147" s="25"/>
      <c r="T147" s="53"/>
      <c r="U147" s="25"/>
      <c r="V147" s="5"/>
    </row>
    <row r="148" spans="1:23" ht="15.6" x14ac:dyDescent="0.3">
      <c r="A148" s="24"/>
      <c r="B148" s="141" t="s">
        <v>264</v>
      </c>
      <c r="C148" s="25"/>
      <c r="D148" s="25"/>
      <c r="E148" s="25"/>
      <c r="F148" s="25"/>
      <c r="G148" s="25"/>
      <c r="H148" s="25"/>
      <c r="I148" s="25"/>
      <c r="J148" s="25"/>
      <c r="K148" s="25"/>
      <c r="L148" s="25"/>
      <c r="M148" s="25"/>
      <c r="N148" s="25"/>
      <c r="O148" s="25"/>
      <c r="P148" s="25"/>
      <c r="Q148" s="25"/>
      <c r="R148" s="25"/>
      <c r="S148" s="25"/>
      <c r="T148" s="53"/>
      <c r="U148" s="25"/>
      <c r="V148" s="5"/>
    </row>
    <row r="149" spans="1:23" ht="15.6" x14ac:dyDescent="0.3">
      <c r="A149" s="24"/>
      <c r="B149" s="25" t="s">
        <v>170</v>
      </c>
      <c r="C149" s="25"/>
      <c r="D149" s="25"/>
      <c r="E149" s="25"/>
      <c r="F149" s="25"/>
      <c r="G149" s="25"/>
      <c r="H149" s="25"/>
      <c r="I149" s="25"/>
      <c r="J149" s="25"/>
      <c r="K149" s="25"/>
      <c r="L149" s="25"/>
      <c r="M149" s="25"/>
      <c r="N149" s="25"/>
      <c r="O149" s="25"/>
      <c r="P149" s="25"/>
      <c r="Q149" s="25"/>
      <c r="R149" s="25"/>
      <c r="S149" s="25"/>
      <c r="T149" s="53">
        <v>10000</v>
      </c>
      <c r="U149" s="25"/>
      <c r="V149" s="5"/>
    </row>
    <row r="150" spans="1:23" ht="15.6" x14ac:dyDescent="0.3">
      <c r="A150" s="24"/>
      <c r="B150" s="25" t="s">
        <v>260</v>
      </c>
      <c r="C150" s="25"/>
      <c r="D150" s="25"/>
      <c r="E150" s="25"/>
      <c r="F150" s="25"/>
      <c r="G150" s="25"/>
      <c r="H150" s="25"/>
      <c r="I150" s="25"/>
      <c r="J150" s="25"/>
      <c r="K150" s="25"/>
      <c r="L150" s="25"/>
      <c r="M150" s="25"/>
      <c r="N150" s="25"/>
      <c r="O150" s="25"/>
      <c r="P150" s="25"/>
      <c r="Q150" s="25"/>
      <c r="R150" s="25"/>
      <c r="S150" s="25"/>
      <c r="T150" s="53">
        <v>6000</v>
      </c>
      <c r="U150" s="25"/>
      <c r="V150" s="5"/>
    </row>
    <row r="151" spans="1:23" ht="15.6" x14ac:dyDescent="0.3">
      <c r="A151" s="24"/>
      <c r="B151" s="25" t="s">
        <v>228</v>
      </c>
      <c r="C151" s="25"/>
      <c r="D151" s="25"/>
      <c r="E151" s="25"/>
      <c r="F151" s="25"/>
      <c r="G151" s="25"/>
      <c r="H151" s="25"/>
      <c r="I151" s="25"/>
      <c r="J151" s="25"/>
      <c r="K151" s="25"/>
      <c r="L151" s="25"/>
      <c r="M151" s="25"/>
      <c r="N151" s="25"/>
      <c r="O151" s="25"/>
      <c r="P151" s="25"/>
      <c r="Q151" s="25"/>
      <c r="R151" s="25"/>
      <c r="S151" s="25"/>
      <c r="T151" s="53">
        <v>0</v>
      </c>
      <c r="U151" s="25"/>
      <c r="V151" s="5"/>
    </row>
    <row r="152" spans="1:23" ht="15.6" x14ac:dyDescent="0.3">
      <c r="A152" s="24"/>
      <c r="B152" s="25" t="s">
        <v>266</v>
      </c>
      <c r="C152" s="25"/>
      <c r="D152" s="25"/>
      <c r="E152" s="25"/>
      <c r="F152" s="25"/>
      <c r="G152" s="25"/>
      <c r="H152" s="25"/>
      <c r="I152" s="25"/>
      <c r="J152" s="25"/>
      <c r="K152" s="25"/>
      <c r="L152" s="25"/>
      <c r="M152" s="25"/>
      <c r="N152" s="25"/>
      <c r="O152" s="25"/>
      <c r="P152" s="25"/>
      <c r="Q152" s="25"/>
      <c r="R152" s="25"/>
      <c r="S152" s="25"/>
      <c r="T152" s="53">
        <v>6000</v>
      </c>
      <c r="U152" s="25"/>
      <c r="V152" s="5"/>
    </row>
    <row r="153" spans="1:23" ht="15.6" x14ac:dyDescent="0.3">
      <c r="A153" s="24"/>
      <c r="B153" s="25"/>
      <c r="C153" s="25"/>
      <c r="D153" s="25"/>
      <c r="E153" s="25"/>
      <c r="F153" s="25"/>
      <c r="G153" s="25"/>
      <c r="H153" s="25"/>
      <c r="I153" s="25"/>
      <c r="J153" s="25"/>
      <c r="K153" s="25"/>
      <c r="L153" s="25"/>
      <c r="M153" s="25"/>
      <c r="N153" s="25"/>
      <c r="O153" s="25"/>
      <c r="P153" s="25"/>
      <c r="Q153" s="25"/>
      <c r="R153" s="25"/>
      <c r="S153" s="25"/>
      <c r="T153" s="53"/>
      <c r="U153" s="25"/>
      <c r="V153" s="5"/>
    </row>
    <row r="154" spans="1:23" ht="15.6" x14ac:dyDescent="0.3">
      <c r="A154" s="24"/>
      <c r="B154" s="25"/>
      <c r="C154" s="25"/>
      <c r="D154" s="25"/>
      <c r="E154" s="25"/>
      <c r="F154" s="25"/>
      <c r="G154" s="25"/>
      <c r="H154" s="25"/>
      <c r="I154" s="25"/>
      <c r="J154" s="25"/>
      <c r="K154" s="25"/>
      <c r="L154" s="25"/>
      <c r="M154" s="25"/>
      <c r="N154" s="25"/>
      <c r="O154" s="25"/>
      <c r="P154" s="25"/>
      <c r="Q154" s="25"/>
      <c r="R154" s="25"/>
      <c r="S154" s="25"/>
      <c r="T154" s="61"/>
      <c r="U154" s="25"/>
      <c r="V154" s="5"/>
    </row>
    <row r="155" spans="1:23" ht="15.6" x14ac:dyDescent="0.3">
      <c r="A155" s="6"/>
      <c r="B155" s="120" t="s">
        <v>25</v>
      </c>
      <c r="C155" s="8"/>
      <c r="D155" s="8"/>
      <c r="E155" s="8"/>
      <c r="F155" s="8"/>
      <c r="G155" s="8"/>
      <c r="H155" s="8"/>
      <c r="I155" s="8"/>
      <c r="J155" s="8"/>
      <c r="K155" s="8"/>
      <c r="L155" s="8"/>
      <c r="M155" s="8"/>
      <c r="N155" s="8"/>
      <c r="O155" s="8"/>
      <c r="P155" s="8"/>
      <c r="Q155" s="8"/>
      <c r="R155" s="8"/>
      <c r="S155" s="8"/>
      <c r="T155" s="52"/>
      <c r="U155" s="8"/>
      <c r="V155" s="5"/>
    </row>
    <row r="156" spans="1:23" ht="15.6" x14ac:dyDescent="0.3">
      <c r="A156" s="24"/>
      <c r="B156" s="25" t="s">
        <v>51</v>
      </c>
      <c r="C156" s="25"/>
      <c r="D156" s="25"/>
      <c r="E156" s="25"/>
      <c r="F156" s="25"/>
      <c r="G156" s="25"/>
      <c r="H156" s="25"/>
      <c r="I156" s="25"/>
      <c r="J156" s="25"/>
      <c r="K156" s="25"/>
      <c r="L156" s="25"/>
      <c r="M156" s="25"/>
      <c r="N156" s="25"/>
      <c r="O156" s="25"/>
      <c r="P156" s="25"/>
      <c r="Q156" s="25"/>
      <c r="R156" s="25"/>
      <c r="S156" s="25"/>
      <c r="T156" s="59" t="s">
        <v>127</v>
      </c>
      <c r="U156" s="25"/>
      <c r="V156" s="5"/>
    </row>
    <row r="157" spans="1:23" ht="15.6" x14ac:dyDescent="0.3">
      <c r="A157" s="24"/>
      <c r="B157" s="25" t="s">
        <v>52</v>
      </c>
      <c r="C157" s="160"/>
      <c r="D157" s="160"/>
      <c r="E157" s="160"/>
      <c r="F157" s="160"/>
      <c r="G157" s="160"/>
      <c r="H157" s="160"/>
      <c r="I157" s="160"/>
      <c r="J157" s="160"/>
      <c r="K157" s="160"/>
      <c r="L157" s="160"/>
      <c r="M157" s="160"/>
      <c r="N157" s="160"/>
      <c r="O157" s="160"/>
      <c r="P157" s="160"/>
      <c r="Q157" s="160"/>
      <c r="R157" s="160"/>
      <c r="S157" s="160"/>
      <c r="T157" s="59" t="s">
        <v>127</v>
      </c>
      <c r="U157" s="25"/>
      <c r="V157" s="5"/>
    </row>
    <row r="158" spans="1:23" ht="15.6" x14ac:dyDescent="0.3">
      <c r="A158" s="24"/>
      <c r="B158" s="25" t="s">
        <v>53</v>
      </c>
      <c r="C158" s="25"/>
      <c r="D158" s="25"/>
      <c r="E158" s="25"/>
      <c r="F158" s="25"/>
      <c r="G158" s="25"/>
      <c r="H158" s="25"/>
      <c r="I158" s="25"/>
      <c r="J158" s="25"/>
      <c r="K158" s="25"/>
      <c r="L158" s="25"/>
      <c r="M158" s="25"/>
      <c r="N158" s="25"/>
      <c r="O158" s="25"/>
      <c r="P158" s="25"/>
      <c r="Q158" s="25"/>
      <c r="R158" s="25"/>
      <c r="S158" s="25"/>
      <c r="T158" s="59" t="s">
        <v>127</v>
      </c>
      <c r="U158" s="25"/>
      <c r="V158" s="5"/>
    </row>
    <row r="159" spans="1:23" ht="15.6" x14ac:dyDescent="0.3">
      <c r="A159" s="24"/>
      <c r="B159" s="25" t="s">
        <v>54</v>
      </c>
      <c r="C159" s="25"/>
      <c r="D159" s="25"/>
      <c r="E159" s="25"/>
      <c r="F159" s="25"/>
      <c r="G159" s="25"/>
      <c r="H159" s="25"/>
      <c r="I159" s="25"/>
      <c r="J159" s="25"/>
      <c r="K159" s="25"/>
      <c r="L159" s="25"/>
      <c r="M159" s="25"/>
      <c r="N159" s="25"/>
      <c r="O159" s="25"/>
      <c r="P159" s="25"/>
      <c r="Q159" s="25"/>
      <c r="R159" s="25"/>
      <c r="S159" s="25"/>
      <c r="T159" s="59" t="s">
        <v>127</v>
      </c>
      <c r="U159" s="25"/>
      <c r="V159" s="5"/>
    </row>
    <row r="160" spans="1:23" ht="15.6" x14ac:dyDescent="0.3">
      <c r="A160" s="24"/>
      <c r="B160" s="25"/>
      <c r="C160" s="25"/>
      <c r="D160" s="25"/>
      <c r="E160" s="25"/>
      <c r="F160" s="25"/>
      <c r="G160" s="25"/>
      <c r="H160" s="25"/>
      <c r="I160" s="25"/>
      <c r="J160" s="25"/>
      <c r="K160" s="25"/>
      <c r="L160" s="25"/>
      <c r="M160" s="25"/>
      <c r="N160" s="25"/>
      <c r="O160" s="25"/>
      <c r="P160" s="25"/>
      <c r="Q160" s="25"/>
      <c r="R160" s="25"/>
      <c r="S160" s="25"/>
      <c r="T160" s="61"/>
      <c r="U160" s="25"/>
      <c r="V160" s="5"/>
    </row>
    <row r="161" spans="1:22" ht="15.6" x14ac:dyDescent="0.3">
      <c r="A161" s="6"/>
      <c r="B161" s="120" t="s">
        <v>55</v>
      </c>
      <c r="C161" s="8"/>
      <c r="D161" s="8"/>
      <c r="E161" s="8"/>
      <c r="F161" s="8"/>
      <c r="G161" s="8"/>
      <c r="H161" s="8"/>
      <c r="I161" s="8"/>
      <c r="J161" s="8"/>
      <c r="K161" s="8"/>
      <c r="L161" s="8"/>
      <c r="M161" s="8"/>
      <c r="N161" s="8"/>
      <c r="O161" s="8"/>
      <c r="P161" s="8"/>
      <c r="Q161" s="8"/>
      <c r="R161" s="8"/>
      <c r="S161" s="8"/>
      <c r="T161" s="63"/>
      <c r="U161" s="8"/>
      <c r="V161" s="5"/>
    </row>
    <row r="162" spans="1:22" ht="15.6" x14ac:dyDescent="0.3">
      <c r="A162" s="24"/>
      <c r="B162" s="25" t="s">
        <v>56</v>
      </c>
      <c r="C162" s="25"/>
      <c r="D162" s="25"/>
      <c r="E162" s="25"/>
      <c r="F162" s="25"/>
      <c r="G162" s="25"/>
      <c r="H162" s="25"/>
      <c r="I162" s="25"/>
      <c r="J162" s="25"/>
      <c r="K162" s="25"/>
      <c r="L162" s="25"/>
      <c r="M162" s="25"/>
      <c r="N162" s="25"/>
      <c r="O162" s="25"/>
      <c r="P162" s="25"/>
      <c r="Q162" s="25"/>
      <c r="R162" s="25"/>
      <c r="S162" s="25"/>
      <c r="T162" s="53">
        <v>0</v>
      </c>
      <c r="U162" s="25"/>
      <c r="V162" s="5"/>
    </row>
    <row r="163" spans="1:22" ht="15.6" x14ac:dyDescent="0.3">
      <c r="A163" s="24"/>
      <c r="B163" s="25" t="s">
        <v>57</v>
      </c>
      <c r="C163" s="25"/>
      <c r="D163" s="25"/>
      <c r="E163" s="25"/>
      <c r="F163" s="25"/>
      <c r="G163" s="25"/>
      <c r="H163" s="25"/>
      <c r="I163" s="25"/>
      <c r="J163" s="25"/>
      <c r="K163" s="25"/>
      <c r="L163" s="25"/>
      <c r="M163" s="25"/>
      <c r="N163" s="25"/>
      <c r="O163" s="25"/>
      <c r="P163" s="25"/>
      <c r="Q163" s="25"/>
      <c r="R163" s="25"/>
      <c r="S163" s="25"/>
      <c r="T163" s="53">
        <f>-T112</f>
        <v>91</v>
      </c>
      <c r="U163" s="25"/>
      <c r="V163" s="5"/>
    </row>
    <row r="164" spans="1:22" ht="15.6" x14ac:dyDescent="0.3">
      <c r="A164" s="24"/>
      <c r="B164" s="25" t="s">
        <v>58</v>
      </c>
      <c r="C164" s="25"/>
      <c r="D164" s="25"/>
      <c r="E164" s="25"/>
      <c r="F164" s="25"/>
      <c r="G164" s="25"/>
      <c r="H164" s="25"/>
      <c r="I164" s="25"/>
      <c r="J164" s="25"/>
      <c r="K164" s="25"/>
      <c r="L164" s="25"/>
      <c r="M164" s="25"/>
      <c r="N164" s="25"/>
      <c r="O164" s="25"/>
      <c r="P164" s="25"/>
      <c r="Q164" s="25"/>
      <c r="R164" s="25"/>
      <c r="S164" s="25"/>
      <c r="T164" s="53">
        <f>T163+T162</f>
        <v>91</v>
      </c>
      <c r="U164" s="25"/>
      <c r="V164" s="5"/>
    </row>
    <row r="165" spans="1:22" ht="15.6" x14ac:dyDescent="0.3">
      <c r="A165" s="24"/>
      <c r="B165" s="25" t="s">
        <v>309</v>
      </c>
      <c r="C165" s="25"/>
      <c r="D165" s="25"/>
      <c r="E165" s="25"/>
      <c r="F165" s="25"/>
      <c r="G165" s="25"/>
      <c r="H165" s="25"/>
      <c r="I165" s="25"/>
      <c r="J165" s="25"/>
      <c r="K165" s="25"/>
      <c r="L165" s="25"/>
      <c r="M165" s="25"/>
      <c r="N165" s="25"/>
      <c r="O165" s="25"/>
      <c r="P165" s="25"/>
      <c r="Q165" s="25"/>
      <c r="R165" s="25"/>
      <c r="S165" s="25"/>
      <c r="T165" s="53">
        <f>T112</f>
        <v>-91</v>
      </c>
      <c r="U165" s="25"/>
      <c r="V165" s="5"/>
    </row>
    <row r="166" spans="1:22" ht="15.6" x14ac:dyDescent="0.3">
      <c r="A166" s="24"/>
      <c r="B166" s="25" t="s">
        <v>59</v>
      </c>
      <c r="C166" s="25"/>
      <c r="D166" s="25"/>
      <c r="E166" s="25"/>
      <c r="F166" s="25"/>
      <c r="G166" s="25"/>
      <c r="H166" s="25"/>
      <c r="I166" s="25"/>
      <c r="J166" s="25"/>
      <c r="K166" s="25"/>
      <c r="L166" s="25"/>
      <c r="M166" s="25"/>
      <c r="N166" s="25"/>
      <c r="O166" s="25"/>
      <c r="P166" s="25"/>
      <c r="Q166" s="25"/>
      <c r="R166" s="25"/>
      <c r="S166" s="25"/>
      <c r="T166" s="53">
        <f>T164+T165</f>
        <v>0</v>
      </c>
      <c r="U166" s="25"/>
      <c r="V166" s="5"/>
    </row>
    <row r="167" spans="1:22" ht="16.2" thickBot="1" x14ac:dyDescent="0.35">
      <c r="A167" s="24"/>
      <c r="B167" s="25"/>
      <c r="C167" s="25"/>
      <c r="D167" s="25"/>
      <c r="E167" s="25"/>
      <c r="F167" s="25"/>
      <c r="G167" s="25"/>
      <c r="H167" s="25"/>
      <c r="I167" s="25"/>
      <c r="J167" s="25"/>
      <c r="K167" s="25"/>
      <c r="L167" s="25"/>
      <c r="M167" s="25"/>
      <c r="N167" s="25"/>
      <c r="O167" s="25"/>
      <c r="P167" s="25"/>
      <c r="Q167" s="25"/>
      <c r="R167" s="25"/>
      <c r="S167" s="25"/>
      <c r="T167" s="61"/>
      <c r="U167" s="25"/>
      <c r="V167" s="5"/>
    </row>
    <row r="168" spans="1:22" ht="15.6" x14ac:dyDescent="0.3">
      <c r="A168" s="2"/>
      <c r="B168" s="4"/>
      <c r="C168" s="4"/>
      <c r="D168" s="4"/>
      <c r="E168" s="4"/>
      <c r="F168" s="4"/>
      <c r="G168" s="4"/>
      <c r="H168" s="4"/>
      <c r="I168" s="4"/>
      <c r="J168" s="4"/>
      <c r="K168" s="4"/>
      <c r="L168" s="4"/>
      <c r="M168" s="4"/>
      <c r="N168" s="4"/>
      <c r="O168" s="4"/>
      <c r="P168" s="4"/>
      <c r="Q168" s="4"/>
      <c r="R168" s="4"/>
      <c r="S168" s="4"/>
      <c r="T168" s="50"/>
      <c r="U168" s="4"/>
      <c r="V168" s="5"/>
    </row>
    <row r="169" spans="1:22" ht="15.6" x14ac:dyDescent="0.3">
      <c r="A169" s="6"/>
      <c r="B169" s="120" t="s">
        <v>60</v>
      </c>
      <c r="C169" s="8"/>
      <c r="D169" s="8"/>
      <c r="E169" s="8"/>
      <c r="F169" s="8"/>
      <c r="G169" s="8"/>
      <c r="H169" s="8"/>
      <c r="I169" s="8"/>
      <c r="J169" s="8"/>
      <c r="K169" s="8"/>
      <c r="L169" s="8"/>
      <c r="M169" s="8"/>
      <c r="N169" s="8"/>
      <c r="O169" s="8"/>
      <c r="P169" s="8"/>
      <c r="Q169" s="8"/>
      <c r="R169" s="8"/>
      <c r="S169" s="8"/>
      <c r="T169" s="52"/>
      <c r="U169" s="8"/>
      <c r="V169" s="5"/>
    </row>
    <row r="170" spans="1:22" ht="15.6" x14ac:dyDescent="0.3">
      <c r="A170" s="6"/>
      <c r="B170" s="21"/>
      <c r="C170" s="8"/>
      <c r="D170" s="8"/>
      <c r="E170" s="8"/>
      <c r="F170" s="8"/>
      <c r="G170" s="8"/>
      <c r="H170" s="8"/>
      <c r="I170" s="8"/>
      <c r="J170" s="8"/>
      <c r="K170" s="8"/>
      <c r="L170" s="8"/>
      <c r="M170" s="8"/>
      <c r="N170" s="8"/>
      <c r="O170" s="8"/>
      <c r="P170" s="8"/>
      <c r="Q170" s="8"/>
      <c r="R170" s="8"/>
      <c r="S170" s="8"/>
      <c r="T170" s="52"/>
      <c r="U170" s="8"/>
      <c r="V170" s="5"/>
    </row>
    <row r="171" spans="1:22" ht="15.6" x14ac:dyDescent="0.3">
      <c r="A171" s="24"/>
      <c r="B171" s="25" t="s">
        <v>61</v>
      </c>
      <c r="C171" s="25"/>
      <c r="D171" s="25"/>
      <c r="E171" s="25"/>
      <c r="F171" s="25"/>
      <c r="G171" s="25"/>
      <c r="H171" s="25"/>
      <c r="I171" s="25"/>
      <c r="J171" s="25"/>
      <c r="K171" s="25"/>
      <c r="L171" s="25"/>
      <c r="M171" s="25"/>
      <c r="N171" s="25"/>
      <c r="O171" s="25"/>
      <c r="P171" s="25"/>
      <c r="Q171" s="25"/>
      <c r="R171" s="25"/>
      <c r="S171" s="25"/>
      <c r="T171" s="53">
        <f>T69</f>
        <v>445605</v>
      </c>
      <c r="U171" s="25"/>
      <c r="V171" s="5"/>
    </row>
    <row r="172" spans="1:22" ht="15.6" x14ac:dyDescent="0.3">
      <c r="A172" s="24"/>
      <c r="B172" s="25" t="s">
        <v>62</v>
      </c>
      <c r="C172" s="25"/>
      <c r="D172" s="25"/>
      <c r="E172" s="25"/>
      <c r="F172" s="25"/>
      <c r="G172" s="25"/>
      <c r="H172" s="25"/>
      <c r="I172" s="25"/>
      <c r="J172" s="25"/>
      <c r="K172" s="25"/>
      <c r="L172" s="25"/>
      <c r="M172" s="25"/>
      <c r="N172" s="25"/>
      <c r="O172" s="25"/>
      <c r="P172" s="25"/>
      <c r="Q172" s="25"/>
      <c r="R172" s="25"/>
      <c r="S172" s="25"/>
      <c r="T172" s="53">
        <f>T82</f>
        <v>445605</v>
      </c>
      <c r="U172" s="25"/>
      <c r="V172" s="5"/>
    </row>
    <row r="173" spans="1:22" ht="16.2" thickBot="1" x14ac:dyDescent="0.35">
      <c r="A173" s="24"/>
      <c r="B173" s="25"/>
      <c r="C173" s="25"/>
      <c r="D173" s="25"/>
      <c r="E173" s="25"/>
      <c r="F173" s="25"/>
      <c r="G173" s="25"/>
      <c r="H173" s="25"/>
      <c r="I173" s="25"/>
      <c r="J173" s="25"/>
      <c r="K173" s="25"/>
      <c r="L173" s="25"/>
      <c r="M173" s="25"/>
      <c r="N173" s="25"/>
      <c r="O173" s="25"/>
      <c r="P173" s="25"/>
      <c r="Q173" s="25"/>
      <c r="R173" s="25"/>
      <c r="S173" s="25"/>
      <c r="T173" s="61"/>
      <c r="U173" s="25"/>
      <c r="V173" s="5"/>
    </row>
    <row r="174" spans="1:22" ht="15.6" x14ac:dyDescent="0.3">
      <c r="A174" s="2"/>
      <c r="B174" s="4"/>
      <c r="C174" s="4"/>
      <c r="D174" s="4"/>
      <c r="E174" s="4"/>
      <c r="F174" s="4"/>
      <c r="G174" s="4"/>
      <c r="H174" s="4"/>
      <c r="I174" s="4"/>
      <c r="J174" s="4"/>
      <c r="K174" s="4"/>
      <c r="L174" s="4"/>
      <c r="M174" s="4"/>
      <c r="N174" s="4"/>
      <c r="O174" s="4"/>
      <c r="P174" s="4"/>
      <c r="Q174" s="4"/>
      <c r="R174" s="4"/>
      <c r="S174" s="4"/>
      <c r="T174" s="50"/>
      <c r="U174" s="4"/>
      <c r="V174" s="5"/>
    </row>
    <row r="175" spans="1:22" ht="15.6" x14ac:dyDescent="0.3">
      <c r="A175" s="6"/>
      <c r="B175" s="120" t="s">
        <v>63</v>
      </c>
      <c r="C175" s="118"/>
      <c r="D175" s="118"/>
      <c r="E175" s="118"/>
      <c r="F175" s="118"/>
      <c r="G175" s="118"/>
      <c r="H175" s="121"/>
      <c r="I175" s="121"/>
      <c r="J175" s="121"/>
      <c r="K175" s="121"/>
      <c r="L175" s="121"/>
      <c r="M175" s="121"/>
      <c r="N175" s="121"/>
      <c r="O175" s="121"/>
      <c r="P175" s="121"/>
      <c r="Q175" s="121" t="s">
        <v>107</v>
      </c>
      <c r="R175" s="121" t="s">
        <v>234</v>
      </c>
      <c r="S175" s="112"/>
      <c r="T175" s="122" t="s">
        <v>123</v>
      </c>
      <c r="U175" s="10"/>
      <c r="V175" s="5"/>
    </row>
    <row r="176" spans="1:22" ht="15.6" x14ac:dyDescent="0.3">
      <c r="A176" s="24"/>
      <c r="B176" s="25" t="s">
        <v>64</v>
      </c>
      <c r="C176" s="25"/>
      <c r="D176" s="25"/>
      <c r="E176" s="25"/>
      <c r="F176" s="25"/>
      <c r="G176" s="25"/>
      <c r="H176" s="25"/>
      <c r="I176" s="25"/>
      <c r="J176" s="25"/>
      <c r="K176" s="25"/>
      <c r="L176" s="25"/>
      <c r="M176" s="25"/>
      <c r="N176" s="25"/>
      <c r="O176" s="25"/>
      <c r="P176" s="25"/>
      <c r="Q176" s="53">
        <v>112000</v>
      </c>
      <c r="R176" s="40"/>
      <c r="S176" s="25"/>
      <c r="T176" s="53"/>
      <c r="U176" s="25"/>
      <c r="V176" s="5"/>
    </row>
    <row r="177" spans="1:22" ht="15.6" x14ac:dyDescent="0.3">
      <c r="A177" s="24"/>
      <c r="B177" s="25" t="s">
        <v>65</v>
      </c>
      <c r="C177" s="25"/>
      <c r="D177" s="25"/>
      <c r="E177" s="25"/>
      <c r="F177" s="25"/>
      <c r="G177" s="25"/>
      <c r="H177" s="25"/>
      <c r="I177" s="25"/>
      <c r="J177" s="25"/>
      <c r="K177" s="25"/>
      <c r="L177" s="25"/>
      <c r="M177" s="25"/>
      <c r="N177" s="25"/>
      <c r="O177" s="25"/>
      <c r="P177" s="25"/>
      <c r="Q177" s="53">
        <f>'July 07'!Q179</f>
        <v>30441</v>
      </c>
      <c r="R177" s="53">
        <f>'July 07'!R179</f>
        <v>2353</v>
      </c>
      <c r="S177" s="25"/>
      <c r="T177" s="53">
        <f>Q177+R177</f>
        <v>32794</v>
      </c>
      <c r="U177" s="25"/>
      <c r="V177" s="5"/>
    </row>
    <row r="178" spans="1:22" ht="15.6" x14ac:dyDescent="0.3">
      <c r="A178" s="24"/>
      <c r="B178" s="25" t="s">
        <v>66</v>
      </c>
      <c r="C178" s="25"/>
      <c r="D178" s="25"/>
      <c r="E178" s="25"/>
      <c r="F178" s="25"/>
      <c r="G178" s="25"/>
      <c r="H178" s="25"/>
      <c r="I178" s="25"/>
      <c r="J178" s="25"/>
      <c r="K178" s="25"/>
      <c r="L178" s="25"/>
      <c r="M178" s="25"/>
      <c r="N178" s="25"/>
      <c r="O178" s="25"/>
      <c r="P178" s="25"/>
      <c r="Q178" s="34">
        <v>3834</v>
      </c>
      <c r="R178" s="34">
        <v>26</v>
      </c>
      <c r="S178" s="25"/>
      <c r="T178" s="53">
        <f>Q178+R178</f>
        <v>3860</v>
      </c>
      <c r="U178" s="25"/>
      <c r="V178" s="5"/>
    </row>
    <row r="179" spans="1:22" ht="15.6" x14ac:dyDescent="0.3">
      <c r="A179" s="24"/>
      <c r="B179" s="25" t="s">
        <v>67</v>
      </c>
      <c r="C179" s="25"/>
      <c r="D179" s="25"/>
      <c r="E179" s="25"/>
      <c r="F179" s="25"/>
      <c r="G179" s="25"/>
      <c r="H179" s="25"/>
      <c r="I179" s="25"/>
      <c r="J179" s="25"/>
      <c r="K179" s="25"/>
      <c r="L179" s="25"/>
      <c r="M179" s="25"/>
      <c r="N179" s="25"/>
      <c r="O179" s="25"/>
      <c r="P179" s="25"/>
      <c r="Q179" s="53">
        <f>Q177+Q178</f>
        <v>34275</v>
      </c>
      <c r="R179" s="53">
        <f>R178+R177</f>
        <v>2379</v>
      </c>
      <c r="S179" s="25"/>
      <c r="T179" s="53">
        <f>Q179+R179</f>
        <v>36654</v>
      </c>
      <c r="U179" s="25"/>
      <c r="V179" s="5"/>
    </row>
    <row r="180" spans="1:22" ht="15.6" x14ac:dyDescent="0.3">
      <c r="A180" s="24"/>
      <c r="B180" s="25" t="s">
        <v>68</v>
      </c>
      <c r="C180" s="25"/>
      <c r="D180" s="25"/>
      <c r="E180" s="25"/>
      <c r="F180" s="25"/>
      <c r="G180" s="25"/>
      <c r="H180" s="25"/>
      <c r="I180" s="25"/>
      <c r="J180" s="25"/>
      <c r="K180" s="25"/>
      <c r="L180" s="25"/>
      <c r="M180" s="25"/>
      <c r="N180" s="25"/>
      <c r="O180" s="25"/>
      <c r="P180" s="25"/>
      <c r="Q180" s="53">
        <f>Q176-Q179-R179</f>
        <v>75346</v>
      </c>
      <c r="R180" s="40"/>
      <c r="S180" s="25"/>
      <c r="T180" s="53"/>
      <c r="U180" s="25"/>
      <c r="V180" s="5"/>
    </row>
    <row r="181" spans="1:22" ht="16.2" thickBot="1" x14ac:dyDescent="0.35">
      <c r="A181" s="24"/>
      <c r="B181" s="25"/>
      <c r="C181" s="25"/>
      <c r="D181" s="25"/>
      <c r="E181" s="25"/>
      <c r="F181" s="25"/>
      <c r="G181" s="25"/>
      <c r="H181" s="25"/>
      <c r="I181" s="25"/>
      <c r="J181" s="25"/>
      <c r="K181" s="25"/>
      <c r="L181" s="25"/>
      <c r="M181" s="25"/>
      <c r="N181" s="25"/>
      <c r="O181" s="25"/>
      <c r="P181" s="25"/>
      <c r="Q181" s="25"/>
      <c r="R181" s="25"/>
      <c r="S181" s="25"/>
      <c r="T181" s="61"/>
      <c r="U181" s="25"/>
      <c r="V181" s="5"/>
    </row>
    <row r="182" spans="1:22" ht="15.6" x14ac:dyDescent="0.3">
      <c r="A182" s="2"/>
      <c r="B182" s="4"/>
      <c r="C182" s="4"/>
      <c r="D182" s="4"/>
      <c r="E182" s="4"/>
      <c r="F182" s="4"/>
      <c r="G182" s="4"/>
      <c r="H182" s="4"/>
      <c r="I182" s="4"/>
      <c r="J182" s="4"/>
      <c r="K182" s="4"/>
      <c r="L182" s="4"/>
      <c r="M182" s="4"/>
      <c r="N182" s="4"/>
      <c r="O182" s="4"/>
      <c r="P182" s="4"/>
      <c r="Q182" s="4"/>
      <c r="R182" s="4"/>
      <c r="S182" s="4"/>
      <c r="T182" s="50"/>
      <c r="U182" s="4"/>
      <c r="V182" s="5"/>
    </row>
    <row r="183" spans="1:22" ht="15.6" x14ac:dyDescent="0.3">
      <c r="A183" s="6"/>
      <c r="B183" s="120" t="s">
        <v>69</v>
      </c>
      <c r="C183" s="8"/>
      <c r="D183" s="8"/>
      <c r="E183" s="8"/>
      <c r="F183" s="8"/>
      <c r="G183" s="8"/>
      <c r="H183" s="8"/>
      <c r="I183" s="8"/>
      <c r="J183" s="8"/>
      <c r="K183" s="8"/>
      <c r="L183" s="8"/>
      <c r="M183" s="8"/>
      <c r="N183" s="8"/>
      <c r="O183" s="8"/>
      <c r="P183" s="8"/>
      <c r="Q183" s="8"/>
      <c r="R183" s="8"/>
      <c r="S183" s="8"/>
      <c r="T183" s="65"/>
      <c r="U183" s="8"/>
      <c r="V183" s="5"/>
    </row>
    <row r="184" spans="1:22" ht="15.6" x14ac:dyDescent="0.3">
      <c r="A184" s="24"/>
      <c r="B184" s="25" t="s">
        <v>70</v>
      </c>
      <c r="C184" s="25"/>
      <c r="D184" s="25"/>
      <c r="E184" s="25"/>
      <c r="F184" s="25"/>
      <c r="G184" s="25"/>
      <c r="H184" s="25"/>
      <c r="I184" s="25"/>
      <c r="J184" s="25"/>
      <c r="K184" s="25"/>
      <c r="L184" s="25"/>
      <c r="M184" s="25"/>
      <c r="N184" s="25"/>
      <c r="O184" s="25"/>
      <c r="P184" s="25"/>
      <c r="Q184" s="25"/>
      <c r="R184" s="25"/>
      <c r="S184" s="25"/>
      <c r="T184" s="59">
        <f>(T97+T99+T100+T101+T102+T103)/-(T104+T105+T106)</f>
        <v>1.4141969061731965</v>
      </c>
      <c r="U184" s="25" t="s">
        <v>124</v>
      </c>
      <c r="V184" s="5"/>
    </row>
    <row r="185" spans="1:22" ht="15.6" x14ac:dyDescent="0.3">
      <c r="A185" s="24"/>
      <c r="B185" s="25" t="s">
        <v>71</v>
      </c>
      <c r="C185" s="25"/>
      <c r="D185" s="25"/>
      <c r="E185" s="25"/>
      <c r="F185" s="25"/>
      <c r="G185" s="25"/>
      <c r="H185" s="25"/>
      <c r="I185" s="25"/>
      <c r="J185" s="25"/>
      <c r="K185" s="25"/>
      <c r="L185" s="25"/>
      <c r="M185" s="25"/>
      <c r="N185" s="25"/>
      <c r="O185" s="25"/>
      <c r="P185" s="25"/>
      <c r="Q185" s="25"/>
      <c r="R185" s="25"/>
      <c r="S185" s="25"/>
      <c r="T185" s="66">
        <v>1.38</v>
      </c>
      <c r="U185" s="25" t="s">
        <v>124</v>
      </c>
      <c r="V185" s="5"/>
    </row>
    <row r="186" spans="1:22" ht="15.6" x14ac:dyDescent="0.3">
      <c r="A186" s="24"/>
      <c r="B186" s="25" t="s">
        <v>72</v>
      </c>
      <c r="C186" s="25"/>
      <c r="D186" s="25"/>
      <c r="E186" s="25"/>
      <c r="F186" s="25"/>
      <c r="G186" s="25"/>
      <c r="H186" s="25"/>
      <c r="I186" s="25"/>
      <c r="J186" s="25"/>
      <c r="K186" s="25"/>
      <c r="L186" s="25"/>
      <c r="M186" s="25"/>
      <c r="N186" s="25"/>
      <c r="O186" s="25"/>
      <c r="P186" s="25"/>
      <c r="Q186" s="25"/>
      <c r="R186" s="25"/>
      <c r="S186" s="25"/>
      <c r="T186" s="59">
        <f>(T97+T99+T100+T101+T102+T103+T104+T105+T106)/-(T107+T108)</f>
        <v>6.214750542299349</v>
      </c>
      <c r="U186" s="25" t="s">
        <v>124</v>
      </c>
      <c r="V186" s="5"/>
    </row>
    <row r="187" spans="1:22" ht="15.6" x14ac:dyDescent="0.3">
      <c r="A187" s="24"/>
      <c r="B187" s="25" t="s">
        <v>73</v>
      </c>
      <c r="C187" s="25"/>
      <c r="D187" s="25"/>
      <c r="E187" s="25"/>
      <c r="F187" s="25"/>
      <c r="G187" s="25"/>
      <c r="H187" s="25"/>
      <c r="I187" s="25"/>
      <c r="J187" s="25"/>
      <c r="K187" s="25"/>
      <c r="L187" s="25"/>
      <c r="M187" s="25"/>
      <c r="N187" s="25"/>
      <c r="O187" s="25"/>
      <c r="P187" s="25"/>
      <c r="Q187" s="25"/>
      <c r="R187" s="25"/>
      <c r="S187" s="25"/>
      <c r="T187" s="67">
        <v>7.34</v>
      </c>
      <c r="U187" s="25" t="s">
        <v>124</v>
      </c>
      <c r="V187" s="5"/>
    </row>
    <row r="188" spans="1:22" ht="15.6" x14ac:dyDescent="0.3">
      <c r="A188" s="24"/>
      <c r="B188" s="25" t="s">
        <v>243</v>
      </c>
      <c r="C188" s="25"/>
      <c r="D188" s="25"/>
      <c r="E188" s="25"/>
      <c r="F188" s="25"/>
      <c r="G188" s="25"/>
      <c r="H188" s="25"/>
      <c r="I188" s="25"/>
      <c r="J188" s="25"/>
      <c r="K188" s="25"/>
      <c r="L188" s="25"/>
      <c r="M188" s="25"/>
      <c r="N188" s="25"/>
      <c r="O188" s="25"/>
      <c r="P188" s="25"/>
      <c r="Q188" s="25"/>
      <c r="R188" s="25"/>
      <c r="S188" s="25"/>
      <c r="T188" s="59">
        <f>(T97+T99+T100+T101+T102+T103+T104+T105+T106+T107+T108)/-(T109+T110)</f>
        <v>2.8416075650118202</v>
      </c>
      <c r="U188" s="25" t="s">
        <v>124</v>
      </c>
      <c r="V188" s="5"/>
    </row>
    <row r="189" spans="1:22" ht="15.6" x14ac:dyDescent="0.3">
      <c r="A189" s="24"/>
      <c r="B189" s="25" t="s">
        <v>244</v>
      </c>
      <c r="C189" s="25"/>
      <c r="D189" s="25"/>
      <c r="E189" s="25"/>
      <c r="F189" s="25"/>
      <c r="G189" s="25"/>
      <c r="H189" s="25"/>
      <c r="I189" s="25"/>
      <c r="J189" s="25"/>
      <c r="K189" s="25"/>
      <c r="L189" s="25"/>
      <c r="M189" s="25"/>
      <c r="N189" s="25"/>
      <c r="O189" s="25"/>
      <c r="P189" s="25"/>
      <c r="Q189" s="25"/>
      <c r="R189" s="25"/>
      <c r="S189" s="25"/>
      <c r="T189" s="67">
        <v>3.43</v>
      </c>
      <c r="U189" s="25" t="s">
        <v>124</v>
      </c>
      <c r="V189" s="5"/>
    </row>
    <row r="190" spans="1:22" ht="15.6" x14ac:dyDescent="0.3">
      <c r="A190" s="24"/>
      <c r="B190" s="25"/>
      <c r="C190" s="25"/>
      <c r="D190" s="25"/>
      <c r="E190" s="25"/>
      <c r="F190" s="25"/>
      <c r="G190" s="25"/>
      <c r="H190" s="25"/>
      <c r="I190" s="25"/>
      <c r="J190" s="25"/>
      <c r="K190" s="25"/>
      <c r="L190" s="25"/>
      <c r="M190" s="25"/>
      <c r="N190" s="25"/>
      <c r="O190" s="25"/>
      <c r="P190" s="25"/>
      <c r="Q190" s="25"/>
      <c r="R190" s="25"/>
      <c r="S190" s="25"/>
      <c r="T190" s="25"/>
      <c r="U190" s="25"/>
      <c r="V190" s="5"/>
    </row>
    <row r="191" spans="1:22" ht="15.6" x14ac:dyDescent="0.3">
      <c r="A191" s="24"/>
      <c r="B191" s="25"/>
      <c r="C191" s="25"/>
      <c r="D191" s="25"/>
      <c r="E191" s="25"/>
      <c r="F191" s="25"/>
      <c r="G191" s="25"/>
      <c r="H191" s="25"/>
      <c r="I191" s="25"/>
      <c r="J191" s="25"/>
      <c r="K191" s="25"/>
      <c r="L191" s="25"/>
      <c r="M191" s="25"/>
      <c r="N191" s="25"/>
      <c r="O191" s="25"/>
      <c r="P191" s="25"/>
      <c r="Q191" s="25"/>
      <c r="R191" s="25"/>
      <c r="S191" s="25"/>
      <c r="T191" s="25"/>
      <c r="U191" s="25"/>
      <c r="V191" s="5"/>
    </row>
    <row r="192" spans="1:22" ht="15.6" x14ac:dyDescent="0.3">
      <c r="A192" s="6"/>
      <c r="B192" s="8"/>
      <c r="C192" s="8"/>
      <c r="D192" s="8"/>
      <c r="E192" s="8"/>
      <c r="F192" s="8"/>
      <c r="G192" s="8"/>
      <c r="H192" s="8"/>
      <c r="I192" s="8"/>
      <c r="J192" s="8"/>
      <c r="K192" s="8"/>
      <c r="L192" s="8"/>
      <c r="M192" s="8"/>
      <c r="N192" s="8"/>
      <c r="O192" s="8"/>
      <c r="P192" s="8"/>
      <c r="Q192" s="8"/>
      <c r="R192" s="8"/>
      <c r="S192" s="8"/>
      <c r="T192" s="8"/>
      <c r="U192" s="8"/>
      <c r="V192" s="5"/>
    </row>
    <row r="193" spans="1:22" ht="18" thickBot="1" x14ac:dyDescent="0.35">
      <c r="A193" s="102"/>
      <c r="B193" s="103" t="str">
        <f>B133</f>
        <v>PM9 INVESTOR REPORT QUARTER ENDING OCTOBER 2007</v>
      </c>
      <c r="C193" s="162"/>
      <c r="D193" s="162"/>
      <c r="E193" s="162"/>
      <c r="F193" s="162"/>
      <c r="G193" s="162"/>
      <c r="H193" s="162"/>
      <c r="I193" s="162"/>
      <c r="J193" s="162"/>
      <c r="K193" s="162"/>
      <c r="L193" s="162"/>
      <c r="M193" s="162"/>
      <c r="N193" s="162"/>
      <c r="O193" s="162"/>
      <c r="P193" s="162"/>
      <c r="Q193" s="162"/>
      <c r="R193" s="162"/>
      <c r="S193" s="162"/>
      <c r="T193" s="162"/>
      <c r="U193" s="163"/>
      <c r="V193" s="5"/>
    </row>
    <row r="194" spans="1:22" ht="15.6" x14ac:dyDescent="0.3">
      <c r="A194" s="68"/>
      <c r="B194" s="60" t="s">
        <v>74</v>
      </c>
      <c r="C194" s="69"/>
      <c r="D194" s="69"/>
      <c r="E194" s="69"/>
      <c r="F194" s="69"/>
      <c r="G194" s="70"/>
      <c r="H194" s="70"/>
      <c r="I194" s="70"/>
      <c r="J194" s="70"/>
      <c r="K194" s="70"/>
      <c r="L194" s="70"/>
      <c r="M194" s="70"/>
      <c r="N194" s="70"/>
      <c r="O194" s="70"/>
      <c r="P194" s="70"/>
      <c r="Q194" s="70"/>
      <c r="R194" s="71">
        <v>39386</v>
      </c>
      <c r="S194" s="4"/>
      <c r="T194" s="4"/>
      <c r="U194" s="4"/>
      <c r="V194" s="5"/>
    </row>
    <row r="195" spans="1:22" ht="15.6" x14ac:dyDescent="0.3">
      <c r="A195" s="72"/>
      <c r="B195" s="73"/>
      <c r="C195" s="74"/>
      <c r="D195" s="74"/>
      <c r="E195" s="74"/>
      <c r="F195" s="74"/>
      <c r="G195" s="75"/>
      <c r="H195" s="75"/>
      <c r="I195" s="75"/>
      <c r="J195" s="75"/>
      <c r="K195" s="75"/>
      <c r="L195" s="75"/>
      <c r="M195" s="75"/>
      <c r="N195" s="75"/>
      <c r="O195" s="75"/>
      <c r="P195" s="75"/>
      <c r="Q195" s="75"/>
      <c r="R195" s="75"/>
      <c r="S195" s="8"/>
      <c r="T195" s="8"/>
      <c r="U195" s="8"/>
      <c r="V195" s="5"/>
    </row>
    <row r="196" spans="1:22" ht="15.6" x14ac:dyDescent="0.3">
      <c r="A196" s="76"/>
      <c r="B196" s="77" t="s">
        <v>75</v>
      </c>
      <c r="C196" s="78"/>
      <c r="D196" s="78"/>
      <c r="E196" s="78"/>
      <c r="F196" s="78"/>
      <c r="G196" s="64"/>
      <c r="H196" s="64"/>
      <c r="I196" s="64"/>
      <c r="J196" s="64"/>
      <c r="K196" s="64"/>
      <c r="L196" s="64"/>
      <c r="M196" s="64"/>
      <c r="N196" s="64"/>
      <c r="O196" s="64"/>
      <c r="P196" s="64"/>
      <c r="Q196" s="64"/>
      <c r="R196" s="79">
        <v>5.8209999999999998E-2</v>
      </c>
      <c r="S196" s="25"/>
      <c r="T196" s="25"/>
      <c r="U196" s="25"/>
      <c r="V196" s="5"/>
    </row>
    <row r="197" spans="1:22" ht="15.6" x14ac:dyDescent="0.3">
      <c r="A197" s="76"/>
      <c r="B197" s="77" t="s">
        <v>164</v>
      </c>
      <c r="C197" s="78"/>
      <c r="D197" s="78"/>
      <c r="E197" s="78"/>
      <c r="F197" s="78"/>
      <c r="G197" s="64"/>
      <c r="H197" s="64"/>
      <c r="I197" s="64"/>
      <c r="J197" s="64"/>
      <c r="K197" s="64"/>
      <c r="L197" s="64"/>
      <c r="M197" s="64"/>
      <c r="N197" s="64"/>
      <c r="O197" s="64"/>
      <c r="P197" s="64"/>
      <c r="Q197" s="64"/>
      <c r="R197" s="39">
        <f>'Oct 05'!R193</f>
        <v>4.8438496428571419E-2</v>
      </c>
      <c r="S197" s="25"/>
      <c r="T197" s="25"/>
      <c r="U197" s="25"/>
      <c r="V197" s="5"/>
    </row>
    <row r="198" spans="1:22" ht="15.6" x14ac:dyDescent="0.3">
      <c r="A198" s="76"/>
      <c r="B198" s="77" t="s">
        <v>76</v>
      </c>
      <c r="C198" s="78"/>
      <c r="D198" s="78"/>
      <c r="E198" s="78"/>
      <c r="F198" s="78"/>
      <c r="G198" s="64"/>
      <c r="H198" s="64"/>
      <c r="I198" s="64"/>
      <c r="J198" s="64"/>
      <c r="K198" s="64"/>
      <c r="L198" s="64"/>
      <c r="M198" s="64"/>
      <c r="N198" s="64"/>
      <c r="O198" s="64"/>
      <c r="P198" s="64"/>
      <c r="Q198" s="64"/>
      <c r="R198" s="79">
        <f>R196-R197</f>
        <v>9.7715035714285789E-3</v>
      </c>
      <c r="S198" s="25"/>
      <c r="T198" s="25"/>
      <c r="U198" s="25"/>
      <c r="V198" s="5"/>
    </row>
    <row r="199" spans="1:22" ht="15.6" x14ac:dyDescent="0.3">
      <c r="A199" s="76"/>
      <c r="B199" s="77" t="s">
        <v>77</v>
      </c>
      <c r="C199" s="78"/>
      <c r="D199" s="78"/>
      <c r="E199" s="78"/>
      <c r="F199" s="78"/>
      <c r="G199" s="64"/>
      <c r="H199" s="64"/>
      <c r="I199" s="64"/>
      <c r="J199" s="64"/>
      <c r="K199" s="64"/>
      <c r="L199" s="64"/>
      <c r="M199" s="64"/>
      <c r="N199" s="64"/>
      <c r="O199" s="64"/>
      <c r="P199" s="64"/>
      <c r="Q199" s="64"/>
      <c r="R199" s="79">
        <v>6.9320000000000007E-2</v>
      </c>
      <c r="S199" s="25"/>
      <c r="T199" s="25"/>
      <c r="U199" s="25"/>
      <c r="V199" s="5"/>
    </row>
    <row r="200" spans="1:22" ht="15.6" x14ac:dyDescent="0.3">
      <c r="A200" s="76"/>
      <c r="B200" s="77" t="s">
        <v>257</v>
      </c>
      <c r="C200" s="78"/>
      <c r="D200" s="78"/>
      <c r="E200" s="78"/>
      <c r="F200" s="78"/>
      <c r="G200" s="64"/>
      <c r="H200" s="64"/>
      <c r="I200" s="64"/>
      <c r="J200" s="64"/>
      <c r="K200" s="64"/>
      <c r="L200" s="64"/>
      <c r="M200" s="64"/>
      <c r="N200" s="64"/>
      <c r="O200" s="64"/>
      <c r="P200" s="64"/>
      <c r="Q200" s="64"/>
      <c r="R200" s="79">
        <f>+T41</f>
        <v>6.6165210509728942E-2</v>
      </c>
      <c r="S200" s="25"/>
      <c r="T200" s="25"/>
      <c r="U200" s="25"/>
      <c r="V200" s="5"/>
    </row>
    <row r="201" spans="1:22" ht="15.6" x14ac:dyDescent="0.3">
      <c r="A201" s="76"/>
      <c r="B201" s="77" t="s">
        <v>78</v>
      </c>
      <c r="C201" s="78"/>
      <c r="D201" s="78"/>
      <c r="E201" s="78"/>
      <c r="F201" s="78"/>
      <c r="G201" s="64"/>
      <c r="H201" s="64"/>
      <c r="I201" s="64"/>
      <c r="J201" s="64"/>
      <c r="K201" s="64"/>
      <c r="L201" s="64"/>
      <c r="M201" s="64"/>
      <c r="N201" s="64"/>
      <c r="O201" s="64"/>
      <c r="P201" s="64"/>
      <c r="Q201" s="64"/>
      <c r="R201" s="79">
        <f>R199-R200</f>
        <v>3.1547894902710649E-3</v>
      </c>
      <c r="S201" s="25"/>
      <c r="T201" s="25"/>
      <c r="U201" s="25"/>
      <c r="V201" s="5"/>
    </row>
    <row r="202" spans="1:22" ht="15.6" x14ac:dyDescent="0.3">
      <c r="A202" s="76"/>
      <c r="B202" s="77" t="s">
        <v>268</v>
      </c>
      <c r="C202" s="78"/>
      <c r="D202" s="78"/>
      <c r="E202" s="78"/>
      <c r="F202" s="78"/>
      <c r="G202" s="64"/>
      <c r="H202" s="64"/>
      <c r="I202" s="64"/>
      <c r="J202" s="64"/>
      <c r="K202" s="64"/>
      <c r="L202" s="64"/>
      <c r="M202" s="64"/>
      <c r="N202" s="64"/>
      <c r="O202" s="64"/>
      <c r="P202" s="64"/>
      <c r="Q202" s="64"/>
      <c r="R202" s="79">
        <f>+T97/L69</f>
        <v>2.0305319981667822E-2</v>
      </c>
      <c r="S202" s="25"/>
      <c r="T202" s="25"/>
      <c r="U202" s="25"/>
      <c r="V202" s="5"/>
    </row>
    <row r="203" spans="1:22" ht="15.6" x14ac:dyDescent="0.3">
      <c r="A203" s="76"/>
      <c r="B203" s="77" t="s">
        <v>249</v>
      </c>
      <c r="C203" s="78"/>
      <c r="D203" s="78"/>
      <c r="E203" s="78"/>
      <c r="F203" s="78"/>
      <c r="G203" s="64"/>
      <c r="H203" s="64"/>
      <c r="I203" s="64"/>
      <c r="J203" s="64"/>
      <c r="K203" s="64"/>
      <c r="L203" s="64"/>
      <c r="M203" s="64"/>
      <c r="N203" s="64"/>
      <c r="O203" s="64"/>
      <c r="P203" s="64"/>
      <c r="Q203" s="64"/>
      <c r="R203" s="132">
        <v>51622</v>
      </c>
      <c r="S203" s="25"/>
      <c r="T203" s="25"/>
      <c r="U203" s="25"/>
      <c r="V203" s="5"/>
    </row>
    <row r="204" spans="1:22" ht="15.6" x14ac:dyDescent="0.3">
      <c r="A204" s="76"/>
      <c r="B204" s="77" t="s">
        <v>250</v>
      </c>
      <c r="C204" s="78"/>
      <c r="D204" s="78"/>
      <c r="E204" s="78"/>
      <c r="F204" s="78"/>
      <c r="G204" s="64"/>
      <c r="H204" s="64"/>
      <c r="I204" s="64"/>
      <c r="J204" s="64"/>
      <c r="K204" s="64"/>
      <c r="L204" s="64"/>
      <c r="M204" s="64"/>
      <c r="N204" s="64"/>
      <c r="O204" s="64"/>
      <c r="P204" s="64"/>
      <c r="Q204" s="64"/>
      <c r="R204" s="132">
        <v>51622</v>
      </c>
      <c r="S204" s="25"/>
      <c r="T204" s="25"/>
      <c r="U204" s="25"/>
      <c r="V204" s="5"/>
    </row>
    <row r="205" spans="1:22" ht="15.6" x14ac:dyDescent="0.3">
      <c r="A205" s="76"/>
      <c r="B205" s="77" t="s">
        <v>251</v>
      </c>
      <c r="C205" s="78"/>
      <c r="D205" s="78"/>
      <c r="E205" s="78"/>
      <c r="F205" s="78"/>
      <c r="G205" s="64"/>
      <c r="H205" s="64"/>
      <c r="I205" s="64"/>
      <c r="J205" s="64"/>
      <c r="K205" s="64"/>
      <c r="L205" s="64"/>
      <c r="M205" s="64"/>
      <c r="N205" s="64"/>
      <c r="O205" s="64"/>
      <c r="P205" s="64"/>
      <c r="Q205" s="64"/>
      <c r="R205" s="132">
        <v>51622</v>
      </c>
      <c r="S205" s="25"/>
      <c r="T205" s="25"/>
      <c r="U205" s="25"/>
      <c r="V205" s="5"/>
    </row>
    <row r="206" spans="1:22" ht="15.6" x14ac:dyDescent="0.3">
      <c r="A206" s="76"/>
      <c r="B206" s="77" t="s">
        <v>79</v>
      </c>
      <c r="C206" s="78"/>
      <c r="D206" s="78"/>
      <c r="E206" s="78"/>
      <c r="F206" s="78"/>
      <c r="G206" s="64"/>
      <c r="H206" s="64"/>
      <c r="I206" s="64"/>
      <c r="J206" s="64"/>
      <c r="K206" s="64"/>
      <c r="L206" s="64"/>
      <c r="M206" s="64"/>
      <c r="N206" s="64"/>
      <c r="O206" s="64"/>
      <c r="P206" s="64"/>
      <c r="Q206" s="64"/>
      <c r="R206" s="136">
        <v>20.95</v>
      </c>
      <c r="S206" s="25" t="s">
        <v>119</v>
      </c>
      <c r="T206" s="25"/>
      <c r="U206" s="25"/>
      <c r="V206" s="5"/>
    </row>
    <row r="207" spans="1:22" ht="15.6" x14ac:dyDescent="0.3">
      <c r="A207" s="76"/>
      <c r="B207" s="77" t="s">
        <v>80</v>
      </c>
      <c r="C207" s="78"/>
      <c r="D207" s="78"/>
      <c r="E207" s="78"/>
      <c r="F207" s="78"/>
      <c r="G207" s="64"/>
      <c r="H207" s="64"/>
      <c r="I207" s="64"/>
      <c r="J207" s="64"/>
      <c r="K207" s="64"/>
      <c r="L207" s="64"/>
      <c r="M207" s="64"/>
      <c r="N207" s="64"/>
      <c r="O207" s="64"/>
      <c r="P207" s="64"/>
      <c r="Q207" s="64"/>
      <c r="R207" s="136">
        <v>18.809999999999999</v>
      </c>
      <c r="S207" s="25" t="s">
        <v>119</v>
      </c>
      <c r="T207" s="25"/>
      <c r="U207" s="25"/>
      <c r="V207" s="5"/>
    </row>
    <row r="208" spans="1:22" ht="15.6" x14ac:dyDescent="0.3">
      <c r="A208" s="76"/>
      <c r="B208" s="77" t="s">
        <v>81</v>
      </c>
      <c r="C208" s="78"/>
      <c r="D208" s="78"/>
      <c r="E208" s="78"/>
      <c r="F208" s="78"/>
      <c r="G208" s="64"/>
      <c r="H208" s="64"/>
      <c r="I208" s="64"/>
      <c r="J208" s="64"/>
      <c r="K208" s="64"/>
      <c r="L208" s="64"/>
      <c r="M208" s="64"/>
      <c r="N208" s="64"/>
      <c r="O208" s="64"/>
      <c r="P208" s="64"/>
      <c r="Q208" s="64"/>
      <c r="R208" s="79">
        <f>+N66/L66</f>
        <v>0.10474689833347528</v>
      </c>
      <c r="S208" s="25"/>
      <c r="T208" s="25"/>
      <c r="U208" s="25"/>
      <c r="V208" s="5"/>
    </row>
    <row r="209" spans="1:22" ht="15.6" x14ac:dyDescent="0.3">
      <c r="A209" s="76"/>
      <c r="B209" s="77" t="s">
        <v>82</v>
      </c>
      <c r="C209" s="78"/>
      <c r="D209" s="78"/>
      <c r="E209" s="78"/>
      <c r="F209" s="78"/>
      <c r="G209" s="64"/>
      <c r="H209" s="64"/>
      <c r="I209" s="64"/>
      <c r="J209" s="64"/>
      <c r="K209" s="64"/>
      <c r="L209" s="64"/>
      <c r="M209" s="64"/>
      <c r="N209" s="64"/>
      <c r="O209" s="64"/>
      <c r="P209" s="64"/>
      <c r="Q209" s="64"/>
      <c r="R209" s="79">
        <v>0.20019999999999999</v>
      </c>
      <c r="S209" s="25"/>
      <c r="T209" s="25"/>
      <c r="U209" s="25"/>
      <c r="V209" s="5"/>
    </row>
    <row r="210" spans="1:22" ht="15.6" x14ac:dyDescent="0.3">
      <c r="A210" s="76"/>
      <c r="B210" s="77"/>
      <c r="C210" s="77"/>
      <c r="D210" s="77"/>
      <c r="E210" s="77"/>
      <c r="F210" s="77"/>
      <c r="G210" s="25"/>
      <c r="H210" s="25"/>
      <c r="I210" s="25"/>
      <c r="J210" s="25"/>
      <c r="K210" s="25"/>
      <c r="L210" s="25"/>
      <c r="M210" s="25"/>
      <c r="N210" s="25"/>
      <c r="O210" s="25"/>
      <c r="P210" s="25"/>
      <c r="Q210" s="25"/>
      <c r="R210" s="61"/>
      <c r="S210" s="25"/>
      <c r="T210" s="80"/>
      <c r="U210" s="25"/>
      <c r="V210" s="5"/>
    </row>
    <row r="211" spans="1:22" ht="15.6" x14ac:dyDescent="0.3">
      <c r="A211" s="81"/>
      <c r="B211" s="14" t="s">
        <v>83</v>
      </c>
      <c r="C211" s="82"/>
      <c r="D211" s="82"/>
      <c r="E211" s="82"/>
      <c r="F211" s="83"/>
      <c r="G211" s="82"/>
      <c r="H211" s="17"/>
      <c r="I211" s="17"/>
      <c r="J211" s="17"/>
      <c r="K211" s="17"/>
      <c r="L211" s="17"/>
      <c r="M211" s="17"/>
      <c r="N211" s="17"/>
      <c r="O211" s="17"/>
      <c r="P211" s="17"/>
      <c r="Q211" s="17" t="s">
        <v>108</v>
      </c>
      <c r="R211" s="84" t="s">
        <v>115</v>
      </c>
      <c r="S211" s="8"/>
      <c r="T211" s="8"/>
      <c r="U211" s="8"/>
      <c r="V211" s="5"/>
    </row>
    <row r="212" spans="1:22" ht="15.6" x14ac:dyDescent="0.3">
      <c r="A212" s="85"/>
      <c r="B212" s="77" t="s">
        <v>84</v>
      </c>
      <c r="C212" s="54"/>
      <c r="D212" s="54"/>
      <c r="E212" s="54"/>
      <c r="F212" s="25"/>
      <c r="G212" s="25"/>
      <c r="H212" s="30"/>
      <c r="I212" s="30"/>
      <c r="J212" s="30"/>
      <c r="K212" s="30"/>
      <c r="L212" s="30"/>
      <c r="M212" s="30"/>
      <c r="N212" s="30"/>
      <c r="O212" s="30"/>
      <c r="P212" s="30"/>
      <c r="Q212" s="30">
        <v>1</v>
      </c>
      <c r="R212" s="86">
        <v>94</v>
      </c>
      <c r="S212" s="25"/>
      <c r="T212" s="80"/>
      <c r="U212" s="87"/>
      <c r="V212" s="5"/>
    </row>
    <row r="213" spans="1:22" ht="15.6" x14ac:dyDescent="0.3">
      <c r="A213" s="85"/>
      <c r="B213" s="77" t="s">
        <v>156</v>
      </c>
      <c r="C213" s="54"/>
      <c r="D213" s="54"/>
      <c r="E213" s="54"/>
      <c r="F213" s="25"/>
      <c r="G213" s="25"/>
      <c r="H213" s="30"/>
      <c r="I213" s="30"/>
      <c r="J213" s="30"/>
      <c r="K213" s="30"/>
      <c r="L213" s="30"/>
      <c r="M213" s="30"/>
      <c r="N213" s="30"/>
      <c r="O213" s="30"/>
      <c r="P213" s="30"/>
      <c r="Q213" s="156">
        <f>+P252</f>
        <v>33</v>
      </c>
      <c r="R213" s="86">
        <f>+R252</f>
        <v>4378</v>
      </c>
      <c r="S213" s="25"/>
      <c r="T213" s="80"/>
      <c r="U213" s="87"/>
      <c r="V213" s="5"/>
    </row>
    <row r="214" spans="1:22" ht="15.6" x14ac:dyDescent="0.3">
      <c r="A214" s="85"/>
      <c r="B214" s="77" t="s">
        <v>85</v>
      </c>
      <c r="C214" s="54"/>
      <c r="D214" s="54"/>
      <c r="E214" s="54"/>
      <c r="F214" s="25"/>
      <c r="G214" s="25"/>
      <c r="H214" s="30"/>
      <c r="I214" s="30"/>
      <c r="J214" s="30"/>
      <c r="K214" s="30"/>
      <c r="L214" s="30"/>
      <c r="M214" s="30"/>
      <c r="N214" s="30"/>
      <c r="O214" s="30"/>
      <c r="P214" s="30"/>
      <c r="Q214" s="30">
        <v>0</v>
      </c>
      <c r="R214" s="86">
        <v>0</v>
      </c>
      <c r="S214" s="25"/>
      <c r="T214" s="80"/>
      <c r="U214" s="87"/>
      <c r="V214" s="5"/>
    </row>
    <row r="215" spans="1:22" ht="15.6" x14ac:dyDescent="0.3">
      <c r="A215" s="85"/>
      <c r="B215" s="123" t="s">
        <v>86</v>
      </c>
      <c r="C215" s="54"/>
      <c r="D215" s="54"/>
      <c r="E215" s="54"/>
      <c r="F215" s="25"/>
      <c r="G215" s="25"/>
      <c r="H215" s="25"/>
      <c r="I215" s="25"/>
      <c r="J215" s="25"/>
      <c r="K215" s="25"/>
      <c r="L215" s="25"/>
      <c r="M215" s="25"/>
      <c r="N215" s="25"/>
      <c r="O215" s="25"/>
      <c r="P215" s="25"/>
      <c r="Q215" s="25"/>
      <c r="R215" s="86">
        <v>0</v>
      </c>
      <c r="S215" s="25"/>
      <c r="T215" s="80"/>
      <c r="U215" s="87"/>
      <c r="V215" s="5"/>
    </row>
    <row r="216" spans="1:22" ht="15.6" x14ac:dyDescent="0.3">
      <c r="A216" s="85"/>
      <c r="B216" s="123" t="s">
        <v>87</v>
      </c>
      <c r="C216" s="54"/>
      <c r="D216" s="54"/>
      <c r="E216" s="54"/>
      <c r="F216" s="25"/>
      <c r="G216" s="25"/>
      <c r="H216" s="25"/>
      <c r="I216" s="25"/>
      <c r="J216" s="25"/>
      <c r="K216" s="25"/>
      <c r="L216" s="25"/>
      <c r="M216" s="25"/>
      <c r="N216" s="25"/>
      <c r="O216" s="25"/>
      <c r="P216" s="25"/>
      <c r="Q216" s="25"/>
      <c r="R216" s="62" t="s">
        <v>116</v>
      </c>
      <c r="S216" s="25"/>
      <c r="T216" s="80"/>
      <c r="U216" s="87"/>
      <c r="V216" s="5"/>
    </row>
    <row r="217" spans="1:22" ht="15.6" x14ac:dyDescent="0.3">
      <c r="A217" s="88"/>
      <c r="B217" s="123" t="s">
        <v>88</v>
      </c>
      <c r="C217" s="77"/>
      <c r="D217" s="77"/>
      <c r="E217" s="77"/>
      <c r="F217" s="77"/>
      <c r="G217" s="25"/>
      <c r="H217" s="25"/>
      <c r="I217" s="25"/>
      <c r="J217" s="25"/>
      <c r="K217" s="25"/>
      <c r="L217" s="25"/>
      <c r="M217" s="25"/>
      <c r="N217" s="25"/>
      <c r="O217" s="25"/>
      <c r="P217" s="25"/>
      <c r="Q217" s="25"/>
      <c r="R217" s="86"/>
      <c r="S217" s="25"/>
      <c r="T217" s="80"/>
      <c r="U217" s="89"/>
      <c r="V217" s="5"/>
    </row>
    <row r="218" spans="1:22" ht="15.6" x14ac:dyDescent="0.3">
      <c r="A218" s="88"/>
      <c r="B218" s="134" t="s">
        <v>89</v>
      </c>
      <c r="C218" s="77"/>
      <c r="D218" s="77"/>
      <c r="E218" s="77"/>
      <c r="F218" s="77"/>
      <c r="G218" s="25"/>
      <c r="H218" s="25"/>
      <c r="I218" s="25"/>
      <c r="J218" s="25"/>
      <c r="K218" s="25"/>
      <c r="L218" s="25"/>
      <c r="M218" s="25"/>
      <c r="N218" s="25"/>
      <c r="O218" s="25"/>
      <c r="P218" s="25"/>
      <c r="Q218" s="30"/>
      <c r="R218" s="86">
        <f>T163</f>
        <v>91</v>
      </c>
      <c r="S218" s="25"/>
      <c r="T218" s="80"/>
      <c r="U218" s="89"/>
      <c r="V218" s="5"/>
    </row>
    <row r="219" spans="1:22" ht="15.6" x14ac:dyDescent="0.3">
      <c r="A219" s="85"/>
      <c r="B219" s="77" t="s">
        <v>90</v>
      </c>
      <c r="C219" s="54"/>
      <c r="D219" s="54"/>
      <c r="E219" s="54"/>
      <c r="F219" s="54"/>
      <c r="G219" s="25"/>
      <c r="H219" s="25"/>
      <c r="I219" s="25"/>
      <c r="J219" s="25"/>
      <c r="K219" s="25"/>
      <c r="L219" s="25"/>
      <c r="M219" s="25"/>
      <c r="N219" s="25"/>
      <c r="O219" s="25"/>
      <c r="P219" s="25"/>
      <c r="Q219" s="30"/>
      <c r="R219" s="86">
        <f>'July 07'!R219+'Oct 07'!R218</f>
        <v>304</v>
      </c>
      <c r="S219" s="25"/>
      <c r="T219" s="80"/>
      <c r="U219" s="89"/>
      <c r="V219" s="5"/>
    </row>
    <row r="220" spans="1:22" ht="15.6" x14ac:dyDescent="0.3">
      <c r="A220" s="88"/>
      <c r="B220" s="123" t="s">
        <v>288</v>
      </c>
      <c r="C220" s="77"/>
      <c r="D220" s="77"/>
      <c r="E220" s="77"/>
      <c r="F220" s="77"/>
      <c r="G220" s="25"/>
      <c r="H220" s="25"/>
      <c r="I220" s="25"/>
      <c r="J220" s="25"/>
      <c r="K220" s="25"/>
      <c r="L220" s="25"/>
      <c r="M220" s="25"/>
      <c r="N220" s="25"/>
      <c r="O220" s="25"/>
      <c r="P220" s="25"/>
      <c r="Q220" s="30"/>
      <c r="R220" s="86"/>
      <c r="S220" s="25"/>
      <c r="T220" s="80"/>
      <c r="U220" s="89"/>
      <c r="V220" s="5"/>
    </row>
    <row r="221" spans="1:22" ht="15.6" x14ac:dyDescent="0.3">
      <c r="A221" s="88"/>
      <c r="B221" s="77" t="s">
        <v>286</v>
      </c>
      <c r="C221" s="77"/>
      <c r="D221" s="77"/>
      <c r="E221" s="77"/>
      <c r="F221" s="77"/>
      <c r="G221" s="25"/>
      <c r="H221" s="25"/>
      <c r="I221" s="25"/>
      <c r="J221" s="25"/>
      <c r="K221" s="25"/>
      <c r="L221" s="25"/>
      <c r="M221" s="25"/>
      <c r="N221" s="25"/>
      <c r="O221" s="25"/>
      <c r="P221" s="25"/>
      <c r="Q221" s="30">
        <v>0</v>
      </c>
      <c r="R221" s="86">
        <v>0</v>
      </c>
      <c r="S221" s="25"/>
      <c r="T221" s="80"/>
      <c r="U221" s="89"/>
      <c r="V221" s="5"/>
    </row>
    <row r="222" spans="1:22" ht="15.6" x14ac:dyDescent="0.3">
      <c r="A222" s="85"/>
      <c r="B222" s="77" t="s">
        <v>92</v>
      </c>
      <c r="C222" s="90"/>
      <c r="D222" s="90"/>
      <c r="E222" s="90"/>
      <c r="F222" s="91"/>
      <c r="G222" s="25"/>
      <c r="H222" s="25"/>
      <c r="I222" s="25"/>
      <c r="J222" s="25"/>
      <c r="K222" s="25"/>
      <c r="L222" s="25"/>
      <c r="M222" s="25"/>
      <c r="N222" s="25"/>
      <c r="O222" s="25"/>
      <c r="P222" s="25"/>
      <c r="Q222" s="30"/>
      <c r="R222" s="62">
        <v>0</v>
      </c>
      <c r="S222" s="25"/>
      <c r="T222" s="80"/>
      <c r="U222" s="89"/>
      <c r="V222" s="5"/>
    </row>
    <row r="223" spans="1:22" ht="15.6" x14ac:dyDescent="0.3">
      <c r="A223" s="85"/>
      <c r="B223" s="77" t="s">
        <v>93</v>
      </c>
      <c r="C223" s="90"/>
      <c r="D223" s="90"/>
      <c r="E223" s="90"/>
      <c r="F223" s="91"/>
      <c r="G223" s="25"/>
      <c r="H223" s="25"/>
      <c r="I223" s="25"/>
      <c r="J223" s="25"/>
      <c r="K223" s="25"/>
      <c r="L223" s="25"/>
      <c r="M223" s="25"/>
      <c r="N223" s="25"/>
      <c r="O223" s="25"/>
      <c r="P223" s="25"/>
      <c r="Q223" s="30"/>
      <c r="R223" s="62">
        <v>0</v>
      </c>
      <c r="S223" s="25"/>
      <c r="T223" s="80"/>
      <c r="U223" s="89"/>
      <c r="V223" s="5"/>
    </row>
    <row r="224" spans="1:22" ht="15.6" x14ac:dyDescent="0.3">
      <c r="A224" s="85"/>
      <c r="B224" s="123" t="s">
        <v>258</v>
      </c>
      <c r="C224" s="90"/>
      <c r="D224" s="90"/>
      <c r="E224" s="90"/>
      <c r="F224" s="91"/>
      <c r="G224" s="25"/>
      <c r="H224" s="25"/>
      <c r="I224" s="25"/>
      <c r="J224" s="25"/>
      <c r="K224" s="25"/>
      <c r="L224" s="25"/>
      <c r="M224" s="25"/>
      <c r="N224" s="25"/>
      <c r="O224" s="25"/>
      <c r="P224" s="25"/>
      <c r="Q224" s="30"/>
      <c r="R224" s="92"/>
      <c r="S224" s="25"/>
      <c r="T224" s="80"/>
      <c r="U224" s="89"/>
      <c r="V224" s="5"/>
    </row>
    <row r="225" spans="1:23" ht="15.6" x14ac:dyDescent="0.3">
      <c r="A225" s="85"/>
      <c r="B225" s="77" t="s">
        <v>286</v>
      </c>
      <c r="C225" s="90"/>
      <c r="D225" s="90"/>
      <c r="E225" s="90"/>
      <c r="F225" s="91"/>
      <c r="G225" s="25"/>
      <c r="H225" s="25"/>
      <c r="I225" s="25"/>
      <c r="J225" s="25"/>
      <c r="K225" s="25"/>
      <c r="L225" s="25"/>
      <c r="M225" s="25"/>
      <c r="N225" s="25"/>
      <c r="O225" s="25"/>
      <c r="P225" s="25"/>
      <c r="Q225" s="30">
        <v>4</v>
      </c>
      <c r="R225" s="86">
        <v>576</v>
      </c>
      <c r="S225" s="25"/>
      <c r="T225" s="80"/>
      <c r="U225" s="89"/>
      <c r="V225" s="5"/>
    </row>
    <row r="226" spans="1:23" ht="15.6" x14ac:dyDescent="0.3">
      <c r="A226" s="85"/>
      <c r="B226" s="77" t="s">
        <v>259</v>
      </c>
      <c r="C226" s="90"/>
      <c r="D226" s="90"/>
      <c r="E226" s="90"/>
      <c r="F226" s="91"/>
      <c r="G226" s="25"/>
      <c r="H226" s="25"/>
      <c r="I226" s="25"/>
      <c r="J226" s="25"/>
      <c r="K226" s="25"/>
      <c r="L226" s="25"/>
      <c r="M226" s="25"/>
      <c r="N226" s="25"/>
      <c r="O226" s="25"/>
      <c r="P226" s="25"/>
      <c r="Q226" s="25"/>
      <c r="R226" s="62">
        <v>7.66</v>
      </c>
      <c r="S226" s="25"/>
      <c r="T226" s="80"/>
      <c r="U226" s="89"/>
      <c r="V226" s="5"/>
    </row>
    <row r="227" spans="1:23" ht="15.6" x14ac:dyDescent="0.3">
      <c r="A227" s="85"/>
      <c r="B227" s="77"/>
      <c r="C227" s="90"/>
      <c r="D227" s="90"/>
      <c r="E227" s="90"/>
      <c r="F227" s="91"/>
      <c r="G227" s="25"/>
      <c r="H227" s="25"/>
      <c r="I227" s="25"/>
      <c r="J227" s="25"/>
      <c r="K227" s="25"/>
      <c r="L227" s="25"/>
      <c r="M227" s="25"/>
      <c r="N227" s="25"/>
      <c r="O227" s="25"/>
      <c r="P227" s="25"/>
      <c r="Q227" s="25"/>
      <c r="R227" s="92"/>
      <c r="S227" s="25"/>
      <c r="T227" s="80"/>
      <c r="U227" s="89"/>
      <c r="V227" s="5"/>
    </row>
    <row r="228" spans="1:23" ht="17.399999999999999" x14ac:dyDescent="0.3">
      <c r="A228" s="85"/>
      <c r="B228" s="153" t="s">
        <v>208</v>
      </c>
      <c r="C228" s="90"/>
      <c r="D228" s="90"/>
      <c r="E228" s="90"/>
      <c r="F228" s="91"/>
      <c r="G228" s="25"/>
      <c r="H228" s="25"/>
      <c r="I228" s="25"/>
      <c r="J228" s="25"/>
      <c r="K228" s="25"/>
      <c r="L228" s="25"/>
      <c r="M228" s="25"/>
      <c r="N228" s="154" t="s">
        <v>207</v>
      </c>
      <c r="O228" s="25"/>
      <c r="P228" s="25"/>
      <c r="Q228" s="25"/>
      <c r="R228" s="92"/>
      <c r="S228" s="25"/>
      <c r="T228" s="80"/>
      <c r="U228" s="89"/>
      <c r="V228" s="5"/>
    </row>
    <row r="229" spans="1:23" ht="15.6" x14ac:dyDescent="0.3">
      <c r="A229" s="85"/>
      <c r="B229" s="77"/>
      <c r="C229" s="90"/>
      <c r="D229" s="90"/>
      <c r="E229" s="90"/>
      <c r="F229" s="91"/>
      <c r="G229" s="25"/>
      <c r="H229" s="25"/>
      <c r="I229" s="25"/>
      <c r="J229" s="25"/>
      <c r="K229" s="25"/>
      <c r="L229" s="25"/>
      <c r="M229" s="25"/>
      <c r="N229" s="25"/>
      <c r="O229" s="25"/>
      <c r="P229" s="25"/>
      <c r="Q229" s="25"/>
      <c r="R229" s="92"/>
      <c r="S229" s="25"/>
      <c r="T229" s="80"/>
      <c r="U229" s="89"/>
      <c r="V229" s="5"/>
    </row>
    <row r="230" spans="1:23" ht="15.6" x14ac:dyDescent="0.3">
      <c r="A230" s="6"/>
      <c r="B230" s="14" t="s">
        <v>177</v>
      </c>
      <c r="C230" s="82"/>
      <c r="D230" s="82"/>
      <c r="E230" s="82"/>
      <c r="F230" s="83"/>
      <c r="G230" s="82"/>
      <c r="H230" s="17"/>
      <c r="I230" s="17"/>
      <c r="J230" s="17"/>
      <c r="K230" s="17"/>
      <c r="L230" s="17"/>
      <c r="M230" s="17"/>
      <c r="N230" s="17"/>
      <c r="O230" s="17"/>
      <c r="P230" s="84" t="s">
        <v>108</v>
      </c>
      <c r="Q230" s="17" t="s">
        <v>109</v>
      </c>
      <c r="R230" s="84" t="s">
        <v>117</v>
      </c>
      <c r="S230" s="17" t="s">
        <v>109</v>
      </c>
      <c r="T230" s="8"/>
      <c r="U230" s="93"/>
      <c r="V230" s="5"/>
    </row>
    <row r="231" spans="1:23" ht="15.6" x14ac:dyDescent="0.3">
      <c r="A231" s="24"/>
      <c r="B231" s="54" t="s">
        <v>94</v>
      </c>
      <c r="C231" s="94"/>
      <c r="D231" s="94"/>
      <c r="E231" s="94"/>
      <c r="F231" s="25"/>
      <c r="G231" s="94"/>
      <c r="H231" s="94"/>
      <c r="I231" s="94"/>
      <c r="J231" s="94"/>
      <c r="K231" s="94"/>
      <c r="L231" s="94"/>
      <c r="M231" s="94"/>
      <c r="N231" s="94"/>
      <c r="O231" s="94"/>
      <c r="P231" s="54">
        <v>3823</v>
      </c>
      <c r="Q231" s="95">
        <f t="shared" ref="Q231:Q238" si="1">P231/$P$240</f>
        <v>0.99376137249805041</v>
      </c>
      <c r="R231" s="53">
        <v>437518</v>
      </c>
      <c r="S231" s="135">
        <f t="shared" ref="S231:S238" si="2">R231/$R$240</f>
        <v>0.99159389611243187</v>
      </c>
      <c r="T231" s="80"/>
      <c r="U231" s="89"/>
      <c r="V231" s="5"/>
    </row>
    <row r="232" spans="1:23" ht="15.6" x14ac:dyDescent="0.3">
      <c r="A232" s="24"/>
      <c r="B232" s="54" t="s">
        <v>95</v>
      </c>
      <c r="C232" s="94"/>
      <c r="D232" s="94"/>
      <c r="E232" s="94"/>
      <c r="F232" s="25"/>
      <c r="G232" s="95"/>
      <c r="H232" s="94"/>
      <c r="I232" s="94"/>
      <c r="J232" s="94"/>
      <c r="K232" s="94"/>
      <c r="L232" s="94"/>
      <c r="M232" s="94"/>
      <c r="N232" s="94"/>
      <c r="O232" s="94"/>
      <c r="P232" s="54">
        <v>19</v>
      </c>
      <c r="Q232" s="95">
        <f t="shared" si="1"/>
        <v>4.9389134390434106E-3</v>
      </c>
      <c r="R232" s="53">
        <v>3331</v>
      </c>
      <c r="S232" s="135">
        <f t="shared" si="2"/>
        <v>7.5494020084899607E-3</v>
      </c>
      <c r="T232" s="80"/>
      <c r="U232" s="89"/>
      <c r="V232" s="5"/>
      <c r="W232" s="110"/>
    </row>
    <row r="233" spans="1:23" ht="15.6" x14ac:dyDescent="0.3">
      <c r="A233" s="24"/>
      <c r="B233" s="54" t="s">
        <v>96</v>
      </c>
      <c r="C233" s="94"/>
      <c r="D233" s="94"/>
      <c r="E233" s="94"/>
      <c r="F233" s="25"/>
      <c r="G233" s="95"/>
      <c r="H233" s="94"/>
      <c r="I233" s="94"/>
      <c r="J233" s="94"/>
      <c r="K233" s="94"/>
      <c r="L233" s="94"/>
      <c r="M233" s="94"/>
      <c r="N233" s="94"/>
      <c r="O233" s="94"/>
      <c r="P233" s="54">
        <v>5</v>
      </c>
      <c r="Q233" s="95">
        <f t="shared" si="1"/>
        <v>1.2997140629061607E-3</v>
      </c>
      <c r="R233" s="53">
        <v>378</v>
      </c>
      <c r="S233" s="135">
        <f t="shared" si="2"/>
        <v>8.5670187907811626E-4</v>
      </c>
      <c r="T233" s="80"/>
      <c r="U233" s="89"/>
      <c r="V233" s="5"/>
    </row>
    <row r="234" spans="1:23" ht="15.6" x14ac:dyDescent="0.3">
      <c r="A234" s="24"/>
      <c r="B234" s="54" t="s">
        <v>171</v>
      </c>
      <c r="C234" s="94"/>
      <c r="D234" s="94"/>
      <c r="E234" s="94"/>
      <c r="F234" s="25"/>
      <c r="G234" s="95"/>
      <c r="H234" s="94"/>
      <c r="I234" s="94"/>
      <c r="J234" s="94"/>
      <c r="K234" s="94"/>
      <c r="L234" s="94"/>
      <c r="M234" s="94"/>
      <c r="N234" s="94"/>
      <c r="O234" s="94"/>
      <c r="P234" s="54">
        <v>0</v>
      </c>
      <c r="Q234" s="95">
        <f t="shared" si="1"/>
        <v>0</v>
      </c>
      <c r="R234" s="53">
        <v>0</v>
      </c>
      <c r="S234" s="135">
        <f t="shared" si="2"/>
        <v>0</v>
      </c>
      <c r="T234" s="80"/>
      <c r="U234" s="89"/>
      <c r="V234" s="5"/>
      <c r="W234" s="110"/>
    </row>
    <row r="235" spans="1:23" ht="15.6" x14ac:dyDescent="0.3">
      <c r="A235" s="24"/>
      <c r="B235" s="54" t="s">
        <v>172</v>
      </c>
      <c r="C235" s="94"/>
      <c r="D235" s="94"/>
      <c r="E235" s="94"/>
      <c r="F235" s="25"/>
      <c r="G235" s="95"/>
      <c r="H235" s="94"/>
      <c r="I235" s="94"/>
      <c r="J235" s="94"/>
      <c r="K235" s="94"/>
      <c r="L235" s="94"/>
      <c r="M235" s="94"/>
      <c r="N235" s="94"/>
      <c r="O235" s="94"/>
      <c r="P235" s="54">
        <v>0</v>
      </c>
      <c r="Q235" s="95">
        <f t="shared" si="1"/>
        <v>0</v>
      </c>
      <c r="R235" s="53">
        <v>0</v>
      </c>
      <c r="S235" s="135">
        <f t="shared" si="2"/>
        <v>0</v>
      </c>
      <c r="T235" s="80"/>
      <c r="U235" s="89"/>
      <c r="V235" s="5"/>
    </row>
    <row r="236" spans="1:23" ht="15.6" x14ac:dyDescent="0.3">
      <c r="A236" s="24"/>
      <c r="B236" s="54" t="s">
        <v>173</v>
      </c>
      <c r="C236" s="94"/>
      <c r="D236" s="94"/>
      <c r="E236" s="94"/>
      <c r="F236" s="25"/>
      <c r="G236" s="95"/>
      <c r="H236" s="94"/>
      <c r="I236" s="94"/>
      <c r="J236" s="94"/>
      <c r="K236" s="94"/>
      <c r="L236" s="94"/>
      <c r="M236" s="94"/>
      <c r="N236" s="94"/>
      <c r="O236" s="94"/>
      <c r="P236" s="54">
        <v>0</v>
      </c>
      <c r="Q236" s="95">
        <f t="shared" si="1"/>
        <v>0</v>
      </c>
      <c r="R236" s="53">
        <v>0</v>
      </c>
      <c r="S236" s="135">
        <f t="shared" si="2"/>
        <v>0</v>
      </c>
      <c r="T236" s="80"/>
      <c r="U236" s="89"/>
      <c r="V236" s="5"/>
      <c r="W236" s="110"/>
    </row>
    <row r="237" spans="1:23" ht="15.6" x14ac:dyDescent="0.3">
      <c r="A237" s="24"/>
      <c r="B237" s="54" t="s">
        <v>174</v>
      </c>
      <c r="C237" s="94"/>
      <c r="D237" s="94"/>
      <c r="E237" s="94"/>
      <c r="F237" s="25"/>
      <c r="G237" s="95"/>
      <c r="H237" s="94"/>
      <c r="I237" s="94"/>
      <c r="J237" s="94"/>
      <c r="K237" s="94"/>
      <c r="L237" s="94"/>
      <c r="M237" s="94"/>
      <c r="N237" s="94"/>
      <c r="O237" s="94"/>
      <c r="P237" s="54">
        <v>0</v>
      </c>
      <c r="Q237" s="95">
        <f t="shared" si="1"/>
        <v>0</v>
      </c>
      <c r="R237" s="53">
        <v>0</v>
      </c>
      <c r="S237" s="135">
        <f t="shared" si="2"/>
        <v>0</v>
      </c>
      <c r="T237" s="80"/>
      <c r="U237" s="89"/>
      <c r="V237" s="5"/>
    </row>
    <row r="238" spans="1:23" ht="15.6" x14ac:dyDescent="0.3">
      <c r="A238" s="24"/>
      <c r="B238" s="54" t="s">
        <v>175</v>
      </c>
      <c r="C238" s="94"/>
      <c r="D238" s="94"/>
      <c r="E238" s="94"/>
      <c r="F238" s="25"/>
      <c r="G238" s="95"/>
      <c r="H238" s="94"/>
      <c r="I238" s="94"/>
      <c r="J238" s="94"/>
      <c r="K238" s="94"/>
      <c r="L238" s="94"/>
      <c r="M238" s="94"/>
      <c r="N238" s="94"/>
      <c r="O238" s="94"/>
      <c r="P238" s="54">
        <v>0</v>
      </c>
      <c r="Q238" s="95">
        <f t="shared" si="1"/>
        <v>0</v>
      </c>
      <c r="R238" s="53">
        <v>0</v>
      </c>
      <c r="S238" s="135">
        <f t="shared" si="2"/>
        <v>0</v>
      </c>
      <c r="T238" s="80"/>
      <c r="U238" s="89"/>
      <c r="V238" s="5"/>
      <c r="W238" s="110"/>
    </row>
    <row r="239" spans="1:23" ht="15.6" x14ac:dyDescent="0.3">
      <c r="A239" s="24"/>
      <c r="B239" s="54"/>
      <c r="C239" s="94"/>
      <c r="D239" s="94"/>
      <c r="E239" s="94"/>
      <c r="F239" s="25"/>
      <c r="G239" s="95"/>
      <c r="H239" s="94"/>
      <c r="I239" s="94"/>
      <c r="J239" s="94"/>
      <c r="K239" s="94"/>
      <c r="L239" s="94"/>
      <c r="M239" s="94"/>
      <c r="N239" s="94"/>
      <c r="O239" s="94"/>
      <c r="P239" s="54"/>
      <c r="Q239" s="95"/>
      <c r="R239" s="53"/>
      <c r="S239" s="135"/>
      <c r="T239" s="80"/>
      <c r="U239" s="89"/>
      <c r="V239" s="5"/>
    </row>
    <row r="240" spans="1:23" ht="15.6" x14ac:dyDescent="0.3">
      <c r="A240" s="24"/>
      <c r="B240" s="25"/>
      <c r="C240" s="25"/>
      <c r="D240" s="25"/>
      <c r="E240" s="25"/>
      <c r="F240" s="25"/>
      <c r="G240" s="25"/>
      <c r="H240" s="96"/>
      <c r="I240" s="96"/>
      <c r="J240" s="96"/>
      <c r="K240" s="96"/>
      <c r="L240" s="96"/>
      <c r="M240" s="96"/>
      <c r="N240" s="96"/>
      <c r="O240" s="96"/>
      <c r="P240" s="34">
        <f>SUM(P231:P239)</f>
        <v>3847</v>
      </c>
      <c r="Q240" s="135">
        <f>SUM(Q231:Q239)</f>
        <v>1</v>
      </c>
      <c r="R240" s="53">
        <f>SUM(R231:R239)</f>
        <v>441227</v>
      </c>
      <c r="S240" s="135">
        <f>SUM(S231:S239)</f>
        <v>1</v>
      </c>
      <c r="T240" s="25"/>
      <c r="U240" s="25"/>
      <c r="V240" s="5"/>
    </row>
    <row r="241" spans="1:22" ht="15.6" x14ac:dyDescent="0.3">
      <c r="A241" s="24"/>
      <c r="B241" s="25"/>
      <c r="C241" s="25"/>
      <c r="D241" s="25"/>
      <c r="E241" s="25"/>
      <c r="F241" s="25"/>
      <c r="G241" s="25"/>
      <c r="H241" s="96"/>
      <c r="I241" s="96"/>
      <c r="J241" s="96"/>
      <c r="K241" s="96"/>
      <c r="L241" s="96"/>
      <c r="M241" s="96"/>
      <c r="N241" s="96"/>
      <c r="O241" s="96"/>
      <c r="P241" s="34"/>
      <c r="Q241" s="135"/>
      <c r="R241" s="53"/>
      <c r="S241" s="135"/>
      <c r="T241" s="25"/>
      <c r="U241" s="25"/>
      <c r="V241" s="5"/>
    </row>
    <row r="242" spans="1:22" ht="15.6" x14ac:dyDescent="0.3">
      <c r="A242" s="144"/>
      <c r="B242" s="14" t="s">
        <v>178</v>
      </c>
      <c r="C242" s="82"/>
      <c r="D242" s="82"/>
      <c r="E242" s="82"/>
      <c r="F242" s="83"/>
      <c r="G242" s="82"/>
      <c r="H242" s="17"/>
      <c r="I242" s="17"/>
      <c r="J242" s="17"/>
      <c r="K242" s="17"/>
      <c r="L242" s="17"/>
      <c r="M242" s="17"/>
      <c r="N242" s="17"/>
      <c r="O242" s="17"/>
      <c r="P242" s="84" t="s">
        <v>108</v>
      </c>
      <c r="Q242" s="17" t="s">
        <v>109</v>
      </c>
      <c r="R242" s="84" t="s">
        <v>117</v>
      </c>
      <c r="S242" s="17" t="s">
        <v>109</v>
      </c>
      <c r="T242" s="142"/>
      <c r="U242" s="143"/>
      <c r="V242" s="5"/>
    </row>
    <row r="243" spans="1:22" ht="15.6" x14ac:dyDescent="0.3">
      <c r="A243" s="24"/>
      <c r="B243" s="54" t="s">
        <v>94</v>
      </c>
      <c r="C243" s="94"/>
      <c r="D243" s="94"/>
      <c r="E243" s="94"/>
      <c r="F243" s="25"/>
      <c r="G243" s="94"/>
      <c r="H243" s="94"/>
      <c r="I243" s="94"/>
      <c r="J243" s="94"/>
      <c r="K243" s="94"/>
      <c r="L243" s="94"/>
      <c r="M243" s="94"/>
      <c r="N243" s="94"/>
      <c r="O243" s="94"/>
      <c r="P243" s="54">
        <v>3</v>
      </c>
      <c r="Q243" s="95">
        <f t="shared" ref="Q243:Q250" si="3">P243/$P$252</f>
        <v>9.0909090909090912E-2</v>
      </c>
      <c r="R243" s="53">
        <v>143</v>
      </c>
      <c r="S243" s="135">
        <f t="shared" ref="S243:S250" si="4">R243/$R$252</f>
        <v>3.2663316582914576E-2</v>
      </c>
      <c r="T243" s="25"/>
      <c r="U243" s="25"/>
      <c r="V243" s="5"/>
    </row>
    <row r="244" spans="1:22" ht="15.6" x14ac:dyDescent="0.3">
      <c r="A244" s="24"/>
      <c r="B244" s="54" t="s">
        <v>95</v>
      </c>
      <c r="C244" s="94"/>
      <c r="D244" s="94"/>
      <c r="E244" s="94"/>
      <c r="F244" s="25"/>
      <c r="G244" s="95"/>
      <c r="H244" s="94"/>
      <c r="I244" s="94"/>
      <c r="J244" s="94"/>
      <c r="K244" s="94"/>
      <c r="L244" s="94"/>
      <c r="M244" s="94"/>
      <c r="N244" s="94"/>
      <c r="O244" s="94"/>
      <c r="P244" s="54">
        <v>3</v>
      </c>
      <c r="Q244" s="95">
        <f t="shared" si="3"/>
        <v>9.0909090909090912E-2</v>
      </c>
      <c r="R244" s="53">
        <v>388</v>
      </c>
      <c r="S244" s="135">
        <f t="shared" si="4"/>
        <v>8.8624942896299685E-2</v>
      </c>
      <c r="T244" s="25"/>
      <c r="U244" s="25"/>
      <c r="V244" s="5"/>
    </row>
    <row r="245" spans="1:22" ht="15.6" x14ac:dyDescent="0.3">
      <c r="A245" s="24"/>
      <c r="B245" s="54" t="s">
        <v>96</v>
      </c>
      <c r="C245" s="94"/>
      <c r="D245" s="94"/>
      <c r="E245" s="94"/>
      <c r="F245" s="25"/>
      <c r="G245" s="95"/>
      <c r="H245" s="94"/>
      <c r="I245" s="94"/>
      <c r="J245" s="94"/>
      <c r="K245" s="94"/>
      <c r="L245" s="94"/>
      <c r="M245" s="94"/>
      <c r="N245" s="94"/>
      <c r="O245" s="94"/>
      <c r="P245" s="54">
        <v>2</v>
      </c>
      <c r="Q245" s="95">
        <f t="shared" si="3"/>
        <v>6.0606060606060608E-2</v>
      </c>
      <c r="R245" s="53">
        <v>211</v>
      </c>
      <c r="S245" s="135">
        <f t="shared" si="4"/>
        <v>4.8195523069894927E-2</v>
      </c>
      <c r="T245" s="25"/>
      <c r="U245" s="25"/>
      <c r="V245" s="5"/>
    </row>
    <row r="246" spans="1:22" ht="15.6" x14ac:dyDescent="0.3">
      <c r="A246" s="24"/>
      <c r="B246" s="54" t="s">
        <v>171</v>
      </c>
      <c r="C246" s="94"/>
      <c r="D246" s="94"/>
      <c r="E246" s="94"/>
      <c r="F246" s="25"/>
      <c r="G246" s="95"/>
      <c r="H246" s="94"/>
      <c r="I246" s="94"/>
      <c r="J246" s="94"/>
      <c r="K246" s="94"/>
      <c r="L246" s="94"/>
      <c r="M246" s="94"/>
      <c r="N246" s="94"/>
      <c r="O246" s="94"/>
      <c r="P246" s="54">
        <v>0</v>
      </c>
      <c r="Q246" s="95">
        <f t="shared" si="3"/>
        <v>0</v>
      </c>
      <c r="R246" s="53">
        <v>0</v>
      </c>
      <c r="S246" s="135">
        <f t="shared" si="4"/>
        <v>0</v>
      </c>
      <c r="T246" s="25"/>
      <c r="U246" s="25"/>
      <c r="V246" s="5"/>
    </row>
    <row r="247" spans="1:22" ht="15.6" x14ac:dyDescent="0.3">
      <c r="A247" s="24"/>
      <c r="B247" s="54" t="s">
        <v>172</v>
      </c>
      <c r="C247" s="94"/>
      <c r="D247" s="94"/>
      <c r="E247" s="94"/>
      <c r="F247" s="25"/>
      <c r="G247" s="95"/>
      <c r="H247" s="94"/>
      <c r="I247" s="94"/>
      <c r="J247" s="94"/>
      <c r="K247" s="94"/>
      <c r="L247" s="94"/>
      <c r="M247" s="94"/>
      <c r="N247" s="94"/>
      <c r="O247" s="94"/>
      <c r="P247" s="54">
        <v>2</v>
      </c>
      <c r="Q247" s="95">
        <f t="shared" si="3"/>
        <v>6.0606060606060608E-2</v>
      </c>
      <c r="R247" s="53">
        <v>324</v>
      </c>
      <c r="S247" s="135">
        <f t="shared" si="4"/>
        <v>7.400639561443581E-2</v>
      </c>
      <c r="T247" s="25"/>
      <c r="U247" s="25"/>
      <c r="V247" s="5"/>
    </row>
    <row r="248" spans="1:22" ht="15.6" x14ac:dyDescent="0.3">
      <c r="A248" s="24"/>
      <c r="B248" s="54" t="s">
        <v>173</v>
      </c>
      <c r="C248" s="94"/>
      <c r="D248" s="94"/>
      <c r="E248" s="94"/>
      <c r="F248" s="25"/>
      <c r="G248" s="95"/>
      <c r="H248" s="94"/>
      <c r="I248" s="94"/>
      <c r="J248" s="94"/>
      <c r="K248" s="94"/>
      <c r="L248" s="94"/>
      <c r="M248" s="94"/>
      <c r="N248" s="94"/>
      <c r="O248" s="94"/>
      <c r="P248" s="54">
        <v>4</v>
      </c>
      <c r="Q248" s="95">
        <f t="shared" si="3"/>
        <v>0.12121212121212122</v>
      </c>
      <c r="R248" s="53">
        <v>758</v>
      </c>
      <c r="S248" s="135">
        <f t="shared" si="4"/>
        <v>0.17313841936957514</v>
      </c>
      <c r="T248" s="25"/>
      <c r="U248" s="25"/>
      <c r="V248" s="5"/>
    </row>
    <row r="249" spans="1:22" ht="15.6" x14ac:dyDescent="0.3">
      <c r="A249" s="24"/>
      <c r="B249" s="54" t="s">
        <v>174</v>
      </c>
      <c r="C249" s="94"/>
      <c r="D249" s="94"/>
      <c r="E249" s="94"/>
      <c r="F249" s="25"/>
      <c r="G249" s="95"/>
      <c r="H249" s="94"/>
      <c r="I249" s="94"/>
      <c r="J249" s="94"/>
      <c r="K249" s="94"/>
      <c r="L249" s="94"/>
      <c r="M249" s="94"/>
      <c r="N249" s="94"/>
      <c r="O249" s="94"/>
      <c r="P249" s="54">
        <v>16</v>
      </c>
      <c r="Q249" s="95">
        <f t="shared" si="3"/>
        <v>0.48484848484848486</v>
      </c>
      <c r="R249" s="53">
        <v>2073</v>
      </c>
      <c r="S249" s="135">
        <f t="shared" si="4"/>
        <v>0.47350388305162172</v>
      </c>
      <c r="T249" s="25"/>
      <c r="U249" s="25"/>
      <c r="V249" s="5"/>
    </row>
    <row r="250" spans="1:22" ht="15.6" x14ac:dyDescent="0.3">
      <c r="A250" s="24"/>
      <c r="B250" s="54" t="s">
        <v>175</v>
      </c>
      <c r="C250" s="94"/>
      <c r="D250" s="94"/>
      <c r="E250" s="94"/>
      <c r="F250" s="25"/>
      <c r="G250" s="95"/>
      <c r="H250" s="94"/>
      <c r="I250" s="94"/>
      <c r="J250" s="94"/>
      <c r="K250" s="94"/>
      <c r="L250" s="94"/>
      <c r="M250" s="94"/>
      <c r="N250" s="94"/>
      <c r="O250" s="94"/>
      <c r="P250" s="54">
        <v>3</v>
      </c>
      <c r="Q250" s="95">
        <f t="shared" si="3"/>
        <v>9.0909090909090912E-2</v>
      </c>
      <c r="R250" s="53">
        <v>481</v>
      </c>
      <c r="S250" s="135">
        <f t="shared" si="4"/>
        <v>0.1098675194152581</v>
      </c>
      <c r="T250" s="25"/>
      <c r="U250" s="25"/>
      <c r="V250" s="5"/>
    </row>
    <row r="251" spans="1:22" ht="15.6" x14ac:dyDescent="0.3">
      <c r="A251" s="24"/>
      <c r="B251" s="54"/>
      <c r="C251" s="94"/>
      <c r="D251" s="94"/>
      <c r="E251" s="94"/>
      <c r="F251" s="25"/>
      <c r="G251" s="95"/>
      <c r="H251" s="94"/>
      <c r="I251" s="94"/>
      <c r="J251" s="94"/>
      <c r="K251" s="94"/>
      <c r="L251" s="94"/>
      <c r="M251" s="94"/>
      <c r="N251" s="94"/>
      <c r="O251" s="94"/>
      <c r="P251" s="54"/>
      <c r="Q251" s="95"/>
      <c r="R251" s="53"/>
      <c r="S251" s="135"/>
      <c r="T251" s="25"/>
      <c r="U251" s="25"/>
      <c r="V251" s="5"/>
    </row>
    <row r="252" spans="1:22" ht="15.6" x14ac:dyDescent="0.3">
      <c r="A252" s="24"/>
      <c r="B252" s="25"/>
      <c r="C252" s="25"/>
      <c r="D252" s="25"/>
      <c r="E252" s="25"/>
      <c r="F252" s="25"/>
      <c r="G252" s="25"/>
      <c r="H252" s="96"/>
      <c r="I252" s="96"/>
      <c r="J252" s="96"/>
      <c r="K252" s="96"/>
      <c r="L252" s="96"/>
      <c r="M252" s="96"/>
      <c r="N252" s="96"/>
      <c r="O252" s="96"/>
      <c r="P252" s="34">
        <f>SUM(P243:P251)</f>
        <v>33</v>
      </c>
      <c r="Q252" s="135">
        <f>SUM(Q243:Q251)</f>
        <v>1</v>
      </c>
      <c r="R252" s="53">
        <f>SUM(R243:R251)</f>
        <v>4378</v>
      </c>
      <c r="S252" s="135">
        <f>SUM(S243:S251)</f>
        <v>0.99999999999999989</v>
      </c>
      <c r="T252" s="25"/>
      <c r="U252" s="25"/>
      <c r="V252" s="5"/>
    </row>
    <row r="253" spans="1:22" ht="15.6" x14ac:dyDescent="0.3">
      <c r="A253" s="24"/>
      <c r="B253" s="25"/>
      <c r="C253" s="25"/>
      <c r="D253" s="25"/>
      <c r="E253" s="25"/>
      <c r="F253" s="25"/>
      <c r="G253" s="25"/>
      <c r="H253" s="96"/>
      <c r="I253" s="96"/>
      <c r="J253" s="96"/>
      <c r="K253" s="96"/>
      <c r="L253" s="96"/>
      <c r="M253" s="96"/>
      <c r="N253" s="96"/>
      <c r="O253" s="96"/>
      <c r="P253" s="34"/>
      <c r="Q253" s="135"/>
      <c r="R253" s="53"/>
      <c r="S253" s="135"/>
      <c r="T253" s="25"/>
      <c r="U253" s="25"/>
      <c r="V253" s="5"/>
    </row>
    <row r="254" spans="1:22" ht="15.6" x14ac:dyDescent="0.3">
      <c r="A254" s="144"/>
      <c r="B254" s="14" t="s">
        <v>179</v>
      </c>
      <c r="C254" s="142"/>
      <c r="D254" s="142"/>
      <c r="E254" s="142"/>
      <c r="F254" s="142"/>
      <c r="G254" s="142"/>
      <c r="H254" s="149"/>
      <c r="I254" s="149"/>
      <c r="J254" s="149"/>
      <c r="K254" s="149"/>
      <c r="L254" s="149"/>
      <c r="M254" s="149"/>
      <c r="N254" s="149"/>
      <c r="O254" s="149"/>
      <c r="P254" s="84" t="s">
        <v>108</v>
      </c>
      <c r="Q254" s="17" t="s">
        <v>109</v>
      </c>
      <c r="R254" s="84" t="s">
        <v>117</v>
      </c>
      <c r="S254" s="17" t="s">
        <v>109</v>
      </c>
      <c r="T254" s="142"/>
      <c r="U254" s="143"/>
      <c r="V254" s="5"/>
    </row>
    <row r="255" spans="1:22" ht="15.6" x14ac:dyDescent="0.3">
      <c r="A255" s="24"/>
      <c r="B255" s="54" t="s">
        <v>94</v>
      </c>
      <c r="C255" s="25"/>
      <c r="D255" s="25"/>
      <c r="E255" s="25"/>
      <c r="F255" s="25"/>
      <c r="G255" s="25"/>
      <c r="H255" s="96"/>
      <c r="I255" s="96"/>
      <c r="J255" s="96"/>
      <c r="K255" s="96"/>
      <c r="L255" s="96"/>
      <c r="M255" s="96"/>
      <c r="N255" s="96"/>
      <c r="O255" s="96"/>
      <c r="P255" s="54">
        <v>0</v>
      </c>
      <c r="Q255" s="95">
        <v>0</v>
      </c>
      <c r="R255" s="53">
        <v>0</v>
      </c>
      <c r="S255" s="135">
        <v>0</v>
      </c>
      <c r="T255" s="25"/>
      <c r="U255" s="25"/>
      <c r="V255" s="5"/>
    </row>
    <row r="256" spans="1:22" ht="15.6" x14ac:dyDescent="0.3">
      <c r="A256" s="24"/>
      <c r="B256" s="54" t="s">
        <v>95</v>
      </c>
      <c r="C256" s="25"/>
      <c r="D256" s="25"/>
      <c r="E256" s="25"/>
      <c r="F256" s="25"/>
      <c r="G256" s="25"/>
      <c r="H256" s="96"/>
      <c r="I256" s="96"/>
      <c r="J256" s="96"/>
      <c r="K256" s="96"/>
      <c r="L256" s="96"/>
      <c r="M256" s="96"/>
      <c r="N256" s="96"/>
      <c r="O256" s="96"/>
      <c r="P256" s="54">
        <v>0</v>
      </c>
      <c r="Q256" s="95">
        <v>0</v>
      </c>
      <c r="R256" s="53">
        <v>0</v>
      </c>
      <c r="S256" s="135">
        <v>0</v>
      </c>
      <c r="T256" s="25"/>
      <c r="U256" s="25"/>
      <c r="V256" s="5"/>
    </row>
    <row r="257" spans="1:22" ht="15.6" x14ac:dyDescent="0.3">
      <c r="A257" s="24"/>
      <c r="B257" s="54" t="s">
        <v>96</v>
      </c>
      <c r="C257" s="25"/>
      <c r="D257" s="25"/>
      <c r="E257" s="25"/>
      <c r="F257" s="25"/>
      <c r="G257" s="25"/>
      <c r="H257" s="96"/>
      <c r="I257" s="96"/>
      <c r="J257" s="96"/>
      <c r="K257" s="96"/>
      <c r="L257" s="96"/>
      <c r="M257" s="96"/>
      <c r="N257" s="96"/>
      <c r="O257" s="96"/>
      <c r="P257" s="54">
        <v>0</v>
      </c>
      <c r="Q257" s="95">
        <v>0</v>
      </c>
      <c r="R257" s="53">
        <v>0</v>
      </c>
      <c r="S257" s="135">
        <v>0</v>
      </c>
      <c r="T257" s="25"/>
      <c r="U257" s="25"/>
      <c r="V257" s="5"/>
    </row>
    <row r="258" spans="1:22" ht="15.6" x14ac:dyDescent="0.3">
      <c r="A258" s="24"/>
      <c r="B258" s="54" t="s">
        <v>171</v>
      </c>
      <c r="C258" s="25"/>
      <c r="D258" s="25"/>
      <c r="E258" s="25"/>
      <c r="F258" s="25"/>
      <c r="G258" s="25"/>
      <c r="H258" s="96"/>
      <c r="I258" s="96"/>
      <c r="J258" s="96"/>
      <c r="K258" s="96"/>
      <c r="L258" s="96"/>
      <c r="M258" s="96"/>
      <c r="N258" s="96"/>
      <c r="O258" s="96"/>
      <c r="P258" s="54">
        <v>0</v>
      </c>
      <c r="Q258" s="95">
        <v>0</v>
      </c>
      <c r="R258" s="53">
        <v>0</v>
      </c>
      <c r="S258" s="135">
        <v>0</v>
      </c>
      <c r="T258" s="25"/>
      <c r="U258" s="25"/>
      <c r="V258" s="5"/>
    </row>
    <row r="259" spans="1:22" ht="15.6" x14ac:dyDescent="0.3">
      <c r="A259" s="24"/>
      <c r="B259" s="54" t="s">
        <v>172</v>
      </c>
      <c r="C259" s="25"/>
      <c r="D259" s="25"/>
      <c r="E259" s="25"/>
      <c r="F259" s="25"/>
      <c r="G259" s="25"/>
      <c r="H259" s="96"/>
      <c r="I259" s="96"/>
      <c r="J259" s="96"/>
      <c r="K259" s="96"/>
      <c r="L259" s="96"/>
      <c r="M259" s="96"/>
      <c r="N259" s="96"/>
      <c r="O259" s="96"/>
      <c r="P259" s="54">
        <v>0</v>
      </c>
      <c r="Q259" s="95">
        <v>0</v>
      </c>
      <c r="R259" s="53">
        <v>0</v>
      </c>
      <c r="S259" s="135">
        <v>0</v>
      </c>
      <c r="T259" s="25"/>
      <c r="U259" s="25"/>
      <c r="V259" s="5"/>
    </row>
    <row r="260" spans="1:22" ht="15.6" x14ac:dyDescent="0.3">
      <c r="A260" s="24"/>
      <c r="B260" s="54" t="s">
        <v>173</v>
      </c>
      <c r="C260" s="25"/>
      <c r="D260" s="25"/>
      <c r="E260" s="25"/>
      <c r="F260" s="25"/>
      <c r="G260" s="25"/>
      <c r="H260" s="96"/>
      <c r="I260" s="96"/>
      <c r="J260" s="96"/>
      <c r="K260" s="96"/>
      <c r="L260" s="96"/>
      <c r="M260" s="96"/>
      <c r="N260" s="96"/>
      <c r="O260" s="96"/>
      <c r="P260" s="54">
        <v>0</v>
      </c>
      <c r="Q260" s="95">
        <v>0</v>
      </c>
      <c r="R260" s="53">
        <v>0</v>
      </c>
      <c r="S260" s="135">
        <v>0</v>
      </c>
      <c r="T260" s="25"/>
      <c r="U260" s="25"/>
      <c r="V260" s="5"/>
    </row>
    <row r="261" spans="1:22" ht="15.6" x14ac:dyDescent="0.3">
      <c r="A261" s="24"/>
      <c r="B261" s="54" t="s">
        <v>174</v>
      </c>
      <c r="C261" s="25"/>
      <c r="D261" s="25"/>
      <c r="E261" s="25"/>
      <c r="F261" s="25"/>
      <c r="G261" s="25"/>
      <c r="H261" s="96"/>
      <c r="I261" s="96"/>
      <c r="J261" s="96"/>
      <c r="K261" s="96"/>
      <c r="L261" s="96"/>
      <c r="M261" s="96"/>
      <c r="N261" s="96"/>
      <c r="O261" s="96"/>
      <c r="P261" s="54">
        <v>0</v>
      </c>
      <c r="Q261" s="95">
        <v>0</v>
      </c>
      <c r="R261" s="53">
        <v>0</v>
      </c>
      <c r="S261" s="135">
        <v>0</v>
      </c>
      <c r="T261" s="25"/>
      <c r="U261" s="25"/>
      <c r="V261" s="5"/>
    </row>
    <row r="262" spans="1:22" ht="15.6" x14ac:dyDescent="0.3">
      <c r="A262" s="24"/>
      <c r="B262" s="54" t="s">
        <v>175</v>
      </c>
      <c r="C262" s="25"/>
      <c r="D262" s="25"/>
      <c r="E262" s="25"/>
      <c r="F262" s="25"/>
      <c r="G262" s="25"/>
      <c r="H262" s="96"/>
      <c r="I262" s="96"/>
      <c r="J262" s="96"/>
      <c r="K262" s="96"/>
      <c r="L262" s="96"/>
      <c r="M262" s="96"/>
      <c r="N262" s="96"/>
      <c r="O262" s="96"/>
      <c r="P262" s="54">
        <v>0</v>
      </c>
      <c r="Q262" s="95">
        <v>0</v>
      </c>
      <c r="R262" s="53">
        <v>0</v>
      </c>
      <c r="S262" s="135">
        <v>0</v>
      </c>
      <c r="T262" s="25"/>
      <c r="U262" s="25"/>
      <c r="V262" s="5"/>
    </row>
    <row r="263" spans="1:22" ht="15.6" x14ac:dyDescent="0.3">
      <c r="A263" s="24"/>
      <c r="B263" s="54"/>
      <c r="C263" s="25"/>
      <c r="D263" s="25"/>
      <c r="E263" s="25"/>
      <c r="F263" s="25"/>
      <c r="G263" s="25"/>
      <c r="H263" s="96"/>
      <c r="I263" s="96"/>
      <c r="J263" s="96"/>
      <c r="K263" s="96"/>
      <c r="L263" s="96"/>
      <c r="M263" s="96"/>
      <c r="N263" s="96"/>
      <c r="O263" s="96"/>
      <c r="P263" s="54"/>
      <c r="Q263" s="95"/>
      <c r="R263" s="53"/>
      <c r="S263" s="135"/>
      <c r="T263" s="25"/>
      <c r="U263" s="25"/>
      <c r="V263" s="5"/>
    </row>
    <row r="264" spans="1:22" ht="15.6" x14ac:dyDescent="0.3">
      <c r="A264" s="24"/>
      <c r="B264" s="25" t="s">
        <v>123</v>
      </c>
      <c r="C264" s="25"/>
      <c r="D264" s="25"/>
      <c r="E264" s="25"/>
      <c r="F264" s="25"/>
      <c r="G264" s="25"/>
      <c r="H264" s="96"/>
      <c r="I264" s="96"/>
      <c r="J264" s="96"/>
      <c r="K264" s="96"/>
      <c r="L264" s="96"/>
      <c r="M264" s="96"/>
      <c r="N264" s="96"/>
      <c r="O264" s="96"/>
      <c r="P264" s="34">
        <f>SUM(P255:P262)</f>
        <v>0</v>
      </c>
      <c r="Q264" s="95">
        <f>SUM(Q255:Q262)</f>
        <v>0</v>
      </c>
      <c r="R264" s="53">
        <f>SUM(R255:R262)</f>
        <v>0</v>
      </c>
      <c r="S264" s="135">
        <f>SUM(S255:S262)</f>
        <v>0</v>
      </c>
      <c r="T264" s="25"/>
      <c r="U264" s="25"/>
      <c r="V264" s="5"/>
    </row>
    <row r="265" spans="1:22" ht="15.6" x14ac:dyDescent="0.3">
      <c r="A265" s="24"/>
      <c r="B265" s="25"/>
      <c r="C265" s="25"/>
      <c r="D265" s="25"/>
      <c r="E265" s="25"/>
      <c r="F265" s="25"/>
      <c r="G265" s="25"/>
      <c r="H265" s="96"/>
      <c r="I265" s="96"/>
      <c r="J265" s="96"/>
      <c r="K265" s="96"/>
      <c r="L265" s="96"/>
      <c r="M265" s="96"/>
      <c r="N265" s="96"/>
      <c r="O265" s="96"/>
      <c r="P265" s="34"/>
      <c r="Q265" s="135"/>
      <c r="R265" s="53"/>
      <c r="S265" s="135"/>
      <c r="T265" s="25"/>
      <c r="U265" s="25"/>
      <c r="V265" s="5"/>
    </row>
    <row r="266" spans="1:22" ht="15.6" x14ac:dyDescent="0.3">
      <c r="A266" s="24"/>
      <c r="B266" s="145" t="s">
        <v>180</v>
      </c>
      <c r="C266" s="25"/>
      <c r="D266" s="25"/>
      <c r="E266" s="25"/>
      <c r="F266" s="25"/>
      <c r="G266" s="25"/>
      <c r="H266" s="96"/>
      <c r="I266" s="96"/>
      <c r="J266" s="96"/>
      <c r="K266" s="96"/>
      <c r="L266" s="96"/>
      <c r="M266" s="96"/>
      <c r="N266" s="96"/>
      <c r="O266" s="96"/>
      <c r="P266" s="165">
        <f>+P240+P252+P264</f>
        <v>3880</v>
      </c>
      <c r="Q266" s="147"/>
      <c r="R266" s="148">
        <f>+R264+R252+R240</f>
        <v>445605</v>
      </c>
      <c r="S266" s="147"/>
      <c r="T266" s="25"/>
      <c r="U266" s="25"/>
      <c r="V266" s="5"/>
    </row>
    <row r="267" spans="1:22" ht="15.6" x14ac:dyDescent="0.3">
      <c r="A267" s="24"/>
      <c r="B267" s="25"/>
      <c r="C267" s="25"/>
      <c r="D267" s="25"/>
      <c r="E267" s="25"/>
      <c r="F267" s="25"/>
      <c r="G267" s="25"/>
      <c r="H267" s="96"/>
      <c r="I267" s="96"/>
      <c r="J267" s="96"/>
      <c r="K267" s="96"/>
      <c r="L267" s="96"/>
      <c r="M267" s="96"/>
      <c r="N267" s="96"/>
      <c r="O267" s="96"/>
      <c r="P267" s="96"/>
      <c r="Q267" s="96"/>
      <c r="R267" s="53"/>
      <c r="S267" s="96"/>
      <c r="T267" s="25"/>
      <c r="U267" s="25"/>
      <c r="V267" s="5"/>
    </row>
    <row r="268" spans="1:22" ht="15.6" x14ac:dyDescent="0.3">
      <c r="A268" s="6"/>
      <c r="B268" s="8"/>
      <c r="C268" s="8"/>
      <c r="D268" s="8"/>
      <c r="E268" s="8"/>
      <c r="F268" s="8"/>
      <c r="G268" s="8"/>
      <c r="H268" s="97"/>
      <c r="I268" s="97"/>
      <c r="J268" s="97"/>
      <c r="K268" s="97"/>
      <c r="L268" s="97"/>
      <c r="M268" s="97"/>
      <c r="N268" s="97"/>
      <c r="O268" s="97"/>
      <c r="P268" s="97"/>
      <c r="Q268" s="97"/>
      <c r="R268" s="98"/>
      <c r="S268" s="97"/>
      <c r="T268" s="8"/>
      <c r="U268" s="8"/>
      <c r="V268" s="5"/>
    </row>
    <row r="269" spans="1:22" ht="15.6" x14ac:dyDescent="0.3">
      <c r="A269" s="164"/>
      <c r="B269" s="14" t="s">
        <v>97</v>
      </c>
      <c r="C269" s="15"/>
      <c r="D269" s="15"/>
      <c r="E269" s="15"/>
      <c r="F269" s="17" t="s">
        <v>103</v>
      </c>
      <c r="G269" s="15"/>
      <c r="H269" s="14" t="s">
        <v>105</v>
      </c>
      <c r="I269" s="159"/>
      <c r="J269" s="159"/>
      <c r="K269" s="159"/>
      <c r="L269" s="159"/>
      <c r="M269" s="159"/>
      <c r="N269" s="159"/>
      <c r="O269" s="159"/>
      <c r="P269" s="159"/>
      <c r="Q269" s="159"/>
      <c r="R269" s="159"/>
      <c r="S269" s="159"/>
      <c r="T269" s="159"/>
      <c r="U269" s="159"/>
      <c r="V269" s="5"/>
    </row>
    <row r="270" spans="1:22" ht="15.6" x14ac:dyDescent="0.3">
      <c r="A270" s="164"/>
      <c r="B270" s="159"/>
      <c r="C270" s="8"/>
      <c r="D270" s="8"/>
      <c r="E270" s="8"/>
      <c r="F270" s="8"/>
      <c r="G270" s="8"/>
      <c r="H270" s="8"/>
      <c r="I270" s="159"/>
      <c r="J270" s="159"/>
      <c r="K270" s="159"/>
      <c r="L270" s="159"/>
      <c r="M270" s="159"/>
      <c r="N270" s="159"/>
      <c r="O270" s="159"/>
      <c r="P270" s="159"/>
      <c r="Q270" s="159"/>
      <c r="R270" s="159"/>
      <c r="S270" s="159"/>
      <c r="T270" s="159"/>
      <c r="U270" s="159"/>
      <c r="V270" s="5"/>
    </row>
    <row r="271" spans="1:22" ht="15.6" x14ac:dyDescent="0.3">
      <c r="A271" s="164"/>
      <c r="B271" s="13" t="s">
        <v>98</v>
      </c>
      <c r="C271" s="13"/>
      <c r="D271" s="13"/>
      <c r="E271" s="13"/>
      <c r="F271" s="133" t="s">
        <v>159</v>
      </c>
      <c r="G271" s="13"/>
      <c r="H271" s="13" t="s">
        <v>167</v>
      </c>
      <c r="I271" s="159"/>
      <c r="J271" s="159"/>
      <c r="K271" s="159"/>
      <c r="L271" s="159"/>
      <c r="M271" s="159"/>
      <c r="N271" s="159"/>
      <c r="O271" s="159"/>
      <c r="P271" s="159"/>
      <c r="Q271" s="159"/>
      <c r="R271" s="159"/>
      <c r="S271" s="159"/>
      <c r="T271" s="159"/>
      <c r="U271" s="159"/>
      <c r="V271" s="5"/>
    </row>
    <row r="272" spans="1:22" ht="15.6" x14ac:dyDescent="0.3">
      <c r="A272" s="164"/>
      <c r="B272" s="13" t="s">
        <v>273</v>
      </c>
      <c r="C272" s="13"/>
      <c r="D272" s="13"/>
      <c r="E272" s="13"/>
      <c r="F272" s="133" t="s">
        <v>274</v>
      </c>
      <c r="G272" s="13"/>
      <c r="H272" s="13" t="s">
        <v>275</v>
      </c>
      <c r="I272" s="159"/>
      <c r="J272" s="159"/>
      <c r="K272" s="159"/>
      <c r="L272" s="159"/>
      <c r="M272" s="159"/>
      <c r="N272" s="159"/>
      <c r="O272" s="159"/>
      <c r="P272" s="159"/>
      <c r="Q272" s="159"/>
      <c r="R272" s="159"/>
      <c r="S272" s="159"/>
      <c r="T272" s="159"/>
      <c r="U272" s="159"/>
      <c r="V272" s="5"/>
    </row>
    <row r="273" spans="1:22" ht="15.6" x14ac:dyDescent="0.3">
      <c r="A273" s="164"/>
      <c r="B273" s="13" t="s">
        <v>99</v>
      </c>
      <c r="C273" s="13"/>
      <c r="D273" s="13"/>
      <c r="E273" s="13"/>
      <c r="F273" s="133" t="s">
        <v>158</v>
      </c>
      <c r="G273" s="13"/>
      <c r="H273" s="13" t="s">
        <v>168</v>
      </c>
      <c r="I273" s="159"/>
      <c r="J273" s="159"/>
      <c r="K273" s="159"/>
      <c r="L273" s="159"/>
      <c r="M273" s="159"/>
      <c r="N273" s="159"/>
      <c r="O273" s="159"/>
      <c r="P273" s="159"/>
      <c r="Q273" s="159"/>
      <c r="R273" s="159"/>
      <c r="S273" s="159"/>
      <c r="T273" s="159"/>
      <c r="U273" s="159"/>
      <c r="V273" s="5"/>
    </row>
    <row r="274" spans="1:22" ht="15.6" x14ac:dyDescent="0.3">
      <c r="A274" s="164"/>
      <c r="B274" s="13"/>
      <c r="C274" s="13"/>
      <c r="D274" s="13"/>
      <c r="E274" s="13"/>
      <c r="F274" s="13"/>
      <c r="G274" s="100"/>
      <c r="H274" s="159"/>
      <c r="I274" s="159"/>
      <c r="J274" s="159"/>
      <c r="K274" s="159"/>
      <c r="L274" s="159"/>
      <c r="M274" s="159"/>
      <c r="N274" s="159"/>
      <c r="O274" s="159"/>
      <c r="P274" s="159"/>
      <c r="Q274" s="159"/>
      <c r="R274" s="159"/>
      <c r="S274" s="159"/>
      <c r="T274" s="159"/>
      <c r="U274" s="159"/>
      <c r="V274" s="5"/>
    </row>
    <row r="275" spans="1:22" ht="15.6" x14ac:dyDescent="0.3">
      <c r="A275" s="164"/>
      <c r="B275" s="13"/>
      <c r="C275" s="13"/>
      <c r="D275" s="13"/>
      <c r="E275" s="13"/>
      <c r="F275" s="13"/>
      <c r="G275" s="100"/>
      <c r="H275" s="159"/>
      <c r="I275" s="159"/>
      <c r="J275" s="159"/>
      <c r="K275" s="159"/>
      <c r="L275" s="159"/>
      <c r="M275" s="159"/>
      <c r="N275" s="159"/>
      <c r="O275" s="159"/>
      <c r="P275" s="159"/>
      <c r="Q275" s="159"/>
      <c r="R275" s="159"/>
      <c r="S275" s="159"/>
      <c r="T275" s="159"/>
      <c r="U275" s="159"/>
      <c r="V275" s="5"/>
    </row>
    <row r="276" spans="1:22" ht="18" thickBot="1" x14ac:dyDescent="0.35">
      <c r="A276" s="164"/>
      <c r="B276" s="49" t="str">
        <f>B193</f>
        <v>PM9 INVESTOR REPORT QUARTER ENDING OCTOBER 2007</v>
      </c>
      <c r="C276" s="13"/>
      <c r="D276" s="13"/>
      <c r="E276" s="13"/>
      <c r="F276" s="13"/>
      <c r="G276" s="100"/>
      <c r="H276" s="159"/>
      <c r="I276" s="159"/>
      <c r="J276" s="159"/>
      <c r="K276" s="159"/>
      <c r="L276" s="159"/>
      <c r="M276" s="159"/>
      <c r="N276" s="159"/>
      <c r="O276" s="159"/>
      <c r="P276" s="159"/>
      <c r="Q276" s="159"/>
      <c r="R276" s="159"/>
      <c r="S276" s="159"/>
      <c r="T276" s="159"/>
      <c r="U276" s="159"/>
      <c r="V276" s="5"/>
    </row>
    <row r="277" spans="1:22" x14ac:dyDescent="0.25">
      <c r="A277" s="101"/>
      <c r="B277" s="101"/>
      <c r="C277" s="101"/>
      <c r="D277" s="101"/>
      <c r="E277" s="101"/>
      <c r="F277" s="101"/>
      <c r="G277" s="101"/>
      <c r="H277" s="101"/>
      <c r="I277" s="101"/>
      <c r="J277" s="101"/>
      <c r="K277" s="101"/>
      <c r="L277" s="101"/>
      <c r="M277" s="101"/>
      <c r="N277" s="101"/>
      <c r="O277" s="101"/>
      <c r="P277" s="101"/>
      <c r="Q277" s="101"/>
      <c r="R277" s="101"/>
      <c r="S277" s="101"/>
      <c r="T277" s="101"/>
      <c r="U277" s="101"/>
    </row>
  </sheetData>
  <phoneticPr fontId="0" type="noConversion"/>
  <hyperlinks>
    <hyperlink ref="J9" r:id="rId1" xr:uid="{00000000-0004-0000-0800-000000000000}"/>
    <hyperlink ref="N228" r:id="rId2" xr:uid="{00000000-0004-0000-0800-000001000000}"/>
  </hyperlinks>
  <printOptions horizontalCentered="1" verticalCentered="1"/>
  <pageMargins left="0.19685039370078741" right="0.19685039370078741" top="0.27559055118110237" bottom="0.27559055118110237" header="0" footer="0"/>
  <pageSetup scale="38" orientation="landscape" r:id="rId3"/>
  <headerFooter alignWithMargins="0"/>
  <rowBreaks count="3" manualBreakCount="3">
    <brk id="61" max="14" man="1"/>
    <brk id="133" max="14" man="1"/>
    <brk id="193" max="14"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291</vt:i4>
      </vt:variant>
    </vt:vector>
  </HeadingPairs>
  <TitlesOfParts>
    <vt:vector size="349" baseType="lpstr">
      <vt:lpstr>Oct 05</vt:lpstr>
      <vt:lpstr>Jan 06</vt:lpstr>
      <vt:lpstr>April 06</vt:lpstr>
      <vt:lpstr>July 06</vt:lpstr>
      <vt:lpstr>Oct 06</vt:lpstr>
      <vt:lpstr>Jan 07</vt:lpstr>
      <vt:lpstr>April 07</vt:lpstr>
      <vt:lpstr>July 07</vt:lpstr>
      <vt:lpstr>Oct 07</vt:lpstr>
      <vt:lpstr>Jan 08</vt:lpstr>
      <vt:lpstr>April 08</vt:lpstr>
      <vt:lpstr>July 08</vt:lpstr>
      <vt:lpstr>Oct 08</vt:lpstr>
      <vt:lpstr>Jan 09</vt:lpstr>
      <vt:lpstr>April 09</vt:lpstr>
      <vt:lpstr>July 09</vt:lpstr>
      <vt:lpstr>Oct 09</vt:lpstr>
      <vt:lpstr>Jan 10</vt:lpstr>
      <vt:lpstr>April 10</vt:lpstr>
      <vt:lpstr>July 10</vt:lpstr>
      <vt:lpstr>Oct 10</vt:lpstr>
      <vt:lpstr>Jan 11</vt:lpstr>
      <vt:lpstr>April 11</vt:lpstr>
      <vt:lpstr>July 11</vt:lpstr>
      <vt:lpstr>Oct 11</vt:lpstr>
      <vt:lpstr>Jan 12</vt:lpstr>
      <vt:lpstr>April 12</vt:lpstr>
      <vt:lpstr>July 12</vt:lpstr>
      <vt:lpstr>Oct 12</vt:lpstr>
      <vt:lpstr>Jan 13</vt:lpstr>
      <vt:lpstr>April 13</vt:lpstr>
      <vt:lpstr>July 13</vt:lpstr>
      <vt:lpstr>Oct 13</vt:lpstr>
      <vt:lpstr>Jan 14</vt:lpstr>
      <vt:lpstr>April 14</vt:lpstr>
      <vt:lpstr>July 14</vt:lpstr>
      <vt:lpstr>Oct 14</vt:lpstr>
      <vt:lpstr>Jan 15</vt:lpstr>
      <vt:lpstr>April 15</vt:lpstr>
      <vt:lpstr>July 15</vt:lpstr>
      <vt:lpstr>Oct 15</vt:lpstr>
      <vt:lpstr>Jan 16</vt:lpstr>
      <vt:lpstr>April 16</vt:lpstr>
      <vt:lpstr>July 16</vt:lpstr>
      <vt:lpstr>Oct 16</vt:lpstr>
      <vt:lpstr>Jan 17</vt:lpstr>
      <vt:lpstr>April 17</vt:lpstr>
      <vt:lpstr>July 17</vt:lpstr>
      <vt:lpstr>Oct 17</vt:lpstr>
      <vt:lpstr>Jan 18</vt:lpstr>
      <vt:lpstr>April 18</vt:lpstr>
      <vt:lpstr>July 18</vt:lpstr>
      <vt:lpstr>Oct 18</vt:lpstr>
      <vt:lpstr>Jan 19</vt:lpstr>
      <vt:lpstr>April 19</vt:lpstr>
      <vt:lpstr>July 19</vt:lpstr>
      <vt:lpstr>Oct 19</vt:lpstr>
      <vt:lpstr>Jan 20</vt:lpstr>
      <vt:lpstr>'Oct 12'!_100PAGE_3</vt:lpstr>
      <vt:lpstr>'Oct 13'!_101PAGE_3</vt:lpstr>
      <vt:lpstr>_102PAGE_3</vt:lpstr>
      <vt:lpstr>'April 06'!_103PAGE_4</vt:lpstr>
      <vt:lpstr>'April 07'!_104PAGE_4</vt:lpstr>
      <vt:lpstr>'April 08'!_105PAGE_4</vt:lpstr>
      <vt:lpstr>'April 09'!_106PAGE_4</vt:lpstr>
      <vt:lpstr>'April 10'!_107PAGE_4</vt:lpstr>
      <vt:lpstr>'April 11'!_108PAGE_4</vt:lpstr>
      <vt:lpstr>'April 12'!_109PAGE_4</vt:lpstr>
      <vt:lpstr>'Jan 07'!_10PAGE_1</vt:lpstr>
      <vt:lpstr>'April 13'!_110PAGE_4</vt:lpstr>
      <vt:lpstr>'Jan 06'!_111PAGE_4</vt:lpstr>
      <vt:lpstr>'Jan 07'!_112PAGE_4</vt:lpstr>
      <vt:lpstr>'Jan 08'!_113PAGE_4</vt:lpstr>
      <vt:lpstr>'Jan 09'!_114PAGE_4</vt:lpstr>
      <vt:lpstr>'Jan 10'!_115PAGE_4</vt:lpstr>
      <vt:lpstr>'Jan 11'!_116PAGE_4</vt:lpstr>
      <vt:lpstr>'Jan 12'!_117PAGE_4</vt:lpstr>
      <vt:lpstr>'Jan 13'!_118PAGE_4</vt:lpstr>
      <vt:lpstr>'April 14'!_119PAGE_4</vt:lpstr>
      <vt:lpstr>'April 15'!_119PAGE_4</vt:lpstr>
      <vt:lpstr>'April 16'!_119PAGE_4</vt:lpstr>
      <vt:lpstr>'April 17'!_119PAGE_4</vt:lpstr>
      <vt:lpstr>'April 18'!_119PAGE_4</vt:lpstr>
      <vt:lpstr>'April 19'!_119PAGE_4</vt:lpstr>
      <vt:lpstr>'Jan 14'!_119PAGE_4</vt:lpstr>
      <vt:lpstr>'Jan 15'!_119PAGE_4</vt:lpstr>
      <vt:lpstr>'Jan 16'!_119PAGE_4</vt:lpstr>
      <vt:lpstr>'Jan 17'!_119PAGE_4</vt:lpstr>
      <vt:lpstr>'Jan 18'!_119PAGE_4</vt:lpstr>
      <vt:lpstr>'Jan 19'!_119PAGE_4</vt:lpstr>
      <vt:lpstr>'Jan 20'!_119PAGE_4</vt:lpstr>
      <vt:lpstr>'July 14'!_119PAGE_4</vt:lpstr>
      <vt:lpstr>'July 15'!_119PAGE_4</vt:lpstr>
      <vt:lpstr>'July 16'!_119PAGE_4</vt:lpstr>
      <vt:lpstr>'July 17'!_119PAGE_4</vt:lpstr>
      <vt:lpstr>'July 18'!_119PAGE_4</vt:lpstr>
      <vt:lpstr>'July 19'!_119PAGE_4</vt:lpstr>
      <vt:lpstr>'Oct 14'!_119PAGE_4</vt:lpstr>
      <vt:lpstr>'Oct 15'!_119PAGE_4</vt:lpstr>
      <vt:lpstr>'Oct 16'!_119PAGE_4</vt:lpstr>
      <vt:lpstr>'Oct 17'!_119PAGE_4</vt:lpstr>
      <vt:lpstr>'Oct 18'!_119PAGE_4</vt:lpstr>
      <vt:lpstr>'Oct 19'!_119PAGE_4</vt:lpstr>
      <vt:lpstr>'Jan 08'!_11PAGE_1</vt:lpstr>
      <vt:lpstr>'July 06'!_120PAGE_4</vt:lpstr>
      <vt:lpstr>'July 07'!_121PAGE_4</vt:lpstr>
      <vt:lpstr>'July 08'!_122PAGE_4</vt:lpstr>
      <vt:lpstr>'July 09'!_123PAGE_4</vt:lpstr>
      <vt:lpstr>'July 10'!_124PAGE_4</vt:lpstr>
      <vt:lpstr>'July 11'!_125PAGE_4</vt:lpstr>
      <vt:lpstr>'July 12'!_126PAGE_4</vt:lpstr>
      <vt:lpstr>'July 13'!_127PAGE_4</vt:lpstr>
      <vt:lpstr>'Oct 06'!_128PAGE_4</vt:lpstr>
      <vt:lpstr>'Oct 07'!_129PAGE_4</vt:lpstr>
      <vt:lpstr>'Jan 09'!_12PAGE_1</vt:lpstr>
      <vt:lpstr>'Oct 08'!_130PAGE_4</vt:lpstr>
      <vt:lpstr>'Oct 09'!_131PAGE_4</vt:lpstr>
      <vt:lpstr>'Oct 10'!_132PAGE_4</vt:lpstr>
      <vt:lpstr>'Oct 11'!_133PAGE_4</vt:lpstr>
      <vt:lpstr>'Oct 12'!_134PAGE_4</vt:lpstr>
      <vt:lpstr>'Oct 13'!_135PAGE_4</vt:lpstr>
      <vt:lpstr>_136PAGE_4</vt:lpstr>
      <vt:lpstr>'Jan 10'!_13PAGE_1</vt:lpstr>
      <vt:lpstr>'Jan 11'!_14PAGE_1</vt:lpstr>
      <vt:lpstr>'Jan 12'!_15PAGE_1</vt:lpstr>
      <vt:lpstr>'Jan 13'!_16PAGE_1</vt:lpstr>
      <vt:lpstr>'April 14'!_17PAGE_1</vt:lpstr>
      <vt:lpstr>'April 15'!_17PAGE_1</vt:lpstr>
      <vt:lpstr>'April 16'!_17PAGE_1</vt:lpstr>
      <vt:lpstr>'April 17'!_17PAGE_1</vt:lpstr>
      <vt:lpstr>'April 18'!_17PAGE_1</vt:lpstr>
      <vt:lpstr>'April 19'!_17PAGE_1</vt:lpstr>
      <vt:lpstr>'Jan 14'!_17PAGE_1</vt:lpstr>
      <vt:lpstr>'Jan 15'!_17PAGE_1</vt:lpstr>
      <vt:lpstr>'Jan 16'!_17PAGE_1</vt:lpstr>
      <vt:lpstr>'Jan 17'!_17PAGE_1</vt:lpstr>
      <vt:lpstr>'Jan 18'!_17PAGE_1</vt:lpstr>
      <vt:lpstr>'Jan 19'!_17PAGE_1</vt:lpstr>
      <vt:lpstr>'Jan 20'!_17PAGE_1</vt:lpstr>
      <vt:lpstr>'July 14'!_17PAGE_1</vt:lpstr>
      <vt:lpstr>'July 15'!_17PAGE_1</vt:lpstr>
      <vt:lpstr>'July 16'!_17PAGE_1</vt:lpstr>
      <vt:lpstr>'July 17'!_17PAGE_1</vt:lpstr>
      <vt:lpstr>'July 18'!_17PAGE_1</vt:lpstr>
      <vt:lpstr>'July 19'!_17PAGE_1</vt:lpstr>
      <vt:lpstr>'Oct 14'!_17PAGE_1</vt:lpstr>
      <vt:lpstr>'Oct 15'!_17PAGE_1</vt:lpstr>
      <vt:lpstr>'Oct 16'!_17PAGE_1</vt:lpstr>
      <vt:lpstr>'Oct 17'!_17PAGE_1</vt:lpstr>
      <vt:lpstr>'Oct 18'!_17PAGE_1</vt:lpstr>
      <vt:lpstr>'Oct 19'!_17PAGE_1</vt:lpstr>
      <vt:lpstr>'July 06'!_18PAGE_1</vt:lpstr>
      <vt:lpstr>'July 07'!_19PAGE_1</vt:lpstr>
      <vt:lpstr>'April 06'!_1PAGE_1</vt:lpstr>
      <vt:lpstr>'July 08'!_20PAGE_1</vt:lpstr>
      <vt:lpstr>'July 09'!_21PAGE_1</vt:lpstr>
      <vt:lpstr>'July 10'!_22PAGE_1</vt:lpstr>
      <vt:lpstr>'July 11'!_23PAGE_1</vt:lpstr>
      <vt:lpstr>'July 12'!_24PAGE_1</vt:lpstr>
      <vt:lpstr>'July 13'!_25PAGE_1</vt:lpstr>
      <vt:lpstr>'Oct 06'!_26PAGE_1</vt:lpstr>
      <vt:lpstr>'Oct 07'!_27PAGE_1</vt:lpstr>
      <vt:lpstr>'Oct 08'!_28PAGE_1</vt:lpstr>
      <vt:lpstr>'Oct 09'!_29PAGE_1</vt:lpstr>
      <vt:lpstr>'April 07'!_2PAGE_1</vt:lpstr>
      <vt:lpstr>'Oct 10'!_30PAGE_1</vt:lpstr>
      <vt:lpstr>'Oct 11'!_31PAGE_1</vt:lpstr>
      <vt:lpstr>'Oct 12'!_32PAGE_1</vt:lpstr>
      <vt:lpstr>'Oct 13'!_33PAGE_1</vt:lpstr>
      <vt:lpstr>_34PAGE_1</vt:lpstr>
      <vt:lpstr>'April 06'!_35PAGE_2</vt:lpstr>
      <vt:lpstr>'April 07'!_36PAGE_2</vt:lpstr>
      <vt:lpstr>'April 08'!_37PAGE_2</vt:lpstr>
      <vt:lpstr>'April 09'!_38PAGE_2</vt:lpstr>
      <vt:lpstr>'April 10'!_39PAGE_2</vt:lpstr>
      <vt:lpstr>'April 08'!_3PAGE_1</vt:lpstr>
      <vt:lpstr>'April 11'!_40PAGE_2</vt:lpstr>
      <vt:lpstr>'April 12'!_41PAGE_2</vt:lpstr>
      <vt:lpstr>'April 13'!_42PAGE_2</vt:lpstr>
      <vt:lpstr>'Jan 06'!_43PAGE_2</vt:lpstr>
      <vt:lpstr>'Jan 07'!_44PAGE_2</vt:lpstr>
      <vt:lpstr>'Jan 08'!_45PAGE_2</vt:lpstr>
      <vt:lpstr>'Jan 09'!_46PAGE_2</vt:lpstr>
      <vt:lpstr>'Jan 10'!_47PAGE_2</vt:lpstr>
      <vt:lpstr>'Jan 11'!_48PAGE_2</vt:lpstr>
      <vt:lpstr>'Jan 12'!_49PAGE_2</vt:lpstr>
      <vt:lpstr>'April 09'!_4PAGE_1</vt:lpstr>
      <vt:lpstr>'Jan 13'!_50PAGE_2</vt:lpstr>
      <vt:lpstr>'April 14'!_51PAGE_2</vt:lpstr>
      <vt:lpstr>'April 15'!_51PAGE_2</vt:lpstr>
      <vt:lpstr>'April 16'!_51PAGE_2</vt:lpstr>
      <vt:lpstr>'April 17'!_51PAGE_2</vt:lpstr>
      <vt:lpstr>'April 18'!_51PAGE_2</vt:lpstr>
      <vt:lpstr>'April 19'!_51PAGE_2</vt:lpstr>
      <vt:lpstr>'Jan 14'!_51PAGE_2</vt:lpstr>
      <vt:lpstr>'Jan 15'!_51PAGE_2</vt:lpstr>
      <vt:lpstr>'Jan 16'!_51PAGE_2</vt:lpstr>
      <vt:lpstr>'Jan 17'!_51PAGE_2</vt:lpstr>
      <vt:lpstr>'Jan 18'!_51PAGE_2</vt:lpstr>
      <vt:lpstr>'Jan 19'!_51PAGE_2</vt:lpstr>
      <vt:lpstr>'Jan 20'!_51PAGE_2</vt:lpstr>
      <vt:lpstr>'July 14'!_51PAGE_2</vt:lpstr>
      <vt:lpstr>'July 15'!_51PAGE_2</vt:lpstr>
      <vt:lpstr>'July 16'!_51PAGE_2</vt:lpstr>
      <vt:lpstr>'July 17'!_51PAGE_2</vt:lpstr>
      <vt:lpstr>'July 18'!_51PAGE_2</vt:lpstr>
      <vt:lpstr>'July 19'!_51PAGE_2</vt:lpstr>
      <vt:lpstr>'Oct 14'!_51PAGE_2</vt:lpstr>
      <vt:lpstr>'Oct 15'!_51PAGE_2</vt:lpstr>
      <vt:lpstr>'Oct 16'!_51PAGE_2</vt:lpstr>
      <vt:lpstr>'Oct 17'!_51PAGE_2</vt:lpstr>
      <vt:lpstr>'Oct 18'!_51PAGE_2</vt:lpstr>
      <vt:lpstr>'Oct 19'!_51PAGE_2</vt:lpstr>
      <vt:lpstr>'July 06'!_52PAGE_2</vt:lpstr>
      <vt:lpstr>'July 07'!_53PAGE_2</vt:lpstr>
      <vt:lpstr>'July 08'!_54PAGE_2</vt:lpstr>
      <vt:lpstr>'July 09'!_55PAGE_2</vt:lpstr>
      <vt:lpstr>'July 10'!_56PAGE_2</vt:lpstr>
      <vt:lpstr>'July 11'!_57PAGE_2</vt:lpstr>
      <vt:lpstr>'July 12'!_58PAGE_2</vt:lpstr>
      <vt:lpstr>'July 13'!_59PAGE_2</vt:lpstr>
      <vt:lpstr>'April 10'!_5PAGE_1</vt:lpstr>
      <vt:lpstr>'Oct 06'!_60PAGE_2</vt:lpstr>
      <vt:lpstr>'Oct 07'!_61PAGE_2</vt:lpstr>
      <vt:lpstr>'Oct 08'!_62PAGE_2</vt:lpstr>
      <vt:lpstr>'Oct 09'!_63PAGE_2</vt:lpstr>
      <vt:lpstr>'Oct 10'!_64PAGE_2</vt:lpstr>
      <vt:lpstr>'Oct 11'!_65PAGE_2</vt:lpstr>
      <vt:lpstr>'Oct 12'!_66PAGE_2</vt:lpstr>
      <vt:lpstr>'Oct 13'!_67PAGE_2</vt:lpstr>
      <vt:lpstr>_68PAGE_2</vt:lpstr>
      <vt:lpstr>'April 06'!_69PAGE_3</vt:lpstr>
      <vt:lpstr>'April 11'!_6PAGE_1</vt:lpstr>
      <vt:lpstr>'April 07'!_70PAGE_3</vt:lpstr>
      <vt:lpstr>'April 08'!_71PAGE_3</vt:lpstr>
      <vt:lpstr>'April 09'!_72PAGE_3</vt:lpstr>
      <vt:lpstr>'April 10'!_73PAGE_3</vt:lpstr>
      <vt:lpstr>'April 11'!_74PAGE_3</vt:lpstr>
      <vt:lpstr>'April 12'!_75PAGE_3</vt:lpstr>
      <vt:lpstr>'April 13'!_76PAGE_3</vt:lpstr>
      <vt:lpstr>'Jan 06'!_77PAGE_3</vt:lpstr>
      <vt:lpstr>'Jan 07'!_78PAGE_3</vt:lpstr>
      <vt:lpstr>'Jan 08'!_79PAGE_3</vt:lpstr>
      <vt:lpstr>'April 12'!_7PAGE_1</vt:lpstr>
      <vt:lpstr>'Jan 09'!_80PAGE_3</vt:lpstr>
      <vt:lpstr>'Jan 10'!_81PAGE_3</vt:lpstr>
      <vt:lpstr>'Jan 11'!_82PAGE_3</vt:lpstr>
      <vt:lpstr>'Jan 12'!_83PAGE_3</vt:lpstr>
      <vt:lpstr>'Jan 13'!_84PAGE_3</vt:lpstr>
      <vt:lpstr>'April 14'!_85PAGE_3</vt:lpstr>
      <vt:lpstr>'April 15'!_85PAGE_3</vt:lpstr>
      <vt:lpstr>'April 16'!_85PAGE_3</vt:lpstr>
      <vt:lpstr>'April 17'!_85PAGE_3</vt:lpstr>
      <vt:lpstr>'April 18'!_85PAGE_3</vt:lpstr>
      <vt:lpstr>'April 19'!_85PAGE_3</vt:lpstr>
      <vt:lpstr>'Jan 14'!_85PAGE_3</vt:lpstr>
      <vt:lpstr>'Jan 15'!_85PAGE_3</vt:lpstr>
      <vt:lpstr>'Jan 16'!_85PAGE_3</vt:lpstr>
      <vt:lpstr>'Jan 17'!_85PAGE_3</vt:lpstr>
      <vt:lpstr>'Jan 18'!_85PAGE_3</vt:lpstr>
      <vt:lpstr>'Jan 19'!_85PAGE_3</vt:lpstr>
      <vt:lpstr>'Jan 20'!_85PAGE_3</vt:lpstr>
      <vt:lpstr>'July 14'!_85PAGE_3</vt:lpstr>
      <vt:lpstr>'July 15'!_85PAGE_3</vt:lpstr>
      <vt:lpstr>'July 16'!_85PAGE_3</vt:lpstr>
      <vt:lpstr>'July 17'!_85PAGE_3</vt:lpstr>
      <vt:lpstr>'July 18'!_85PAGE_3</vt:lpstr>
      <vt:lpstr>'July 19'!_85PAGE_3</vt:lpstr>
      <vt:lpstr>'Oct 14'!_85PAGE_3</vt:lpstr>
      <vt:lpstr>'Oct 15'!_85PAGE_3</vt:lpstr>
      <vt:lpstr>'Oct 16'!_85PAGE_3</vt:lpstr>
      <vt:lpstr>'Oct 17'!_85PAGE_3</vt:lpstr>
      <vt:lpstr>'Oct 18'!_85PAGE_3</vt:lpstr>
      <vt:lpstr>'Oct 19'!_85PAGE_3</vt:lpstr>
      <vt:lpstr>'July 06'!_86PAGE_3</vt:lpstr>
      <vt:lpstr>'July 07'!_87PAGE_3</vt:lpstr>
      <vt:lpstr>'July 08'!_88PAGE_3</vt:lpstr>
      <vt:lpstr>'July 09'!_89PAGE_3</vt:lpstr>
      <vt:lpstr>'April 13'!_8PAGE_1</vt:lpstr>
      <vt:lpstr>'July 10'!_90PAGE_3</vt:lpstr>
      <vt:lpstr>'July 11'!_91PAGE_3</vt:lpstr>
      <vt:lpstr>'July 12'!_92PAGE_3</vt:lpstr>
      <vt:lpstr>'July 13'!_93PAGE_3</vt:lpstr>
      <vt:lpstr>'Oct 06'!_94PAGE_3</vt:lpstr>
      <vt:lpstr>'Oct 07'!_95PAGE_3</vt:lpstr>
      <vt:lpstr>'Oct 08'!_96PAGE_3</vt:lpstr>
      <vt:lpstr>'Oct 09'!_97PAGE_3</vt:lpstr>
      <vt:lpstr>'Oct 10'!_98PAGE_3</vt:lpstr>
      <vt:lpstr>'Oct 11'!_99PAGE_3</vt:lpstr>
      <vt:lpstr>'Jan 06'!_9PAGE_1</vt:lpstr>
      <vt:lpstr>'April 06'!Print_Area</vt:lpstr>
      <vt:lpstr>'April 07'!Print_Area</vt:lpstr>
      <vt:lpstr>'April 08'!Print_Area</vt:lpstr>
      <vt:lpstr>'April 09'!Print_Area</vt:lpstr>
      <vt:lpstr>'April 10'!Print_Area</vt:lpstr>
      <vt:lpstr>'April 11'!Print_Area</vt:lpstr>
      <vt:lpstr>'April 12'!Print_Area</vt:lpstr>
      <vt:lpstr>'April 13'!Print_Area</vt:lpstr>
      <vt:lpstr>'April 14'!Print_Area</vt:lpstr>
      <vt:lpstr>'April 15'!Print_Area</vt:lpstr>
      <vt:lpstr>'April 16'!Print_Area</vt:lpstr>
      <vt:lpstr>'April 17'!Print_Area</vt:lpstr>
      <vt:lpstr>'April 18'!Print_Area</vt:lpstr>
      <vt:lpstr>'April 19'!Print_Area</vt:lpstr>
      <vt:lpstr>'Jan 06'!Print_Area</vt:lpstr>
      <vt:lpstr>'Jan 07'!Print_Area</vt:lpstr>
      <vt:lpstr>'Jan 08'!Print_Area</vt:lpstr>
      <vt:lpstr>'Jan 09'!Print_Area</vt:lpstr>
      <vt:lpstr>'Jan 10'!Print_Area</vt:lpstr>
      <vt:lpstr>'Jan 11'!Print_Area</vt:lpstr>
      <vt:lpstr>'Jan 12'!Print_Area</vt:lpstr>
      <vt:lpstr>'Jan 13'!Print_Area</vt:lpstr>
      <vt:lpstr>'Jan 14'!Print_Area</vt:lpstr>
      <vt:lpstr>'Jan 15'!Print_Area</vt:lpstr>
      <vt:lpstr>'Jan 16'!Print_Area</vt:lpstr>
      <vt:lpstr>'Jan 17'!Print_Area</vt:lpstr>
      <vt:lpstr>'Jan 18'!Print_Area</vt:lpstr>
      <vt:lpstr>'Jan 19'!Print_Area</vt:lpstr>
      <vt:lpstr>'Jan 20'!Print_Area</vt:lpstr>
      <vt:lpstr>'July 06'!Print_Area</vt:lpstr>
      <vt:lpstr>'July 07'!Print_Area</vt:lpstr>
      <vt:lpstr>'July 08'!Print_Area</vt:lpstr>
      <vt:lpstr>'July 09'!Print_Area</vt:lpstr>
      <vt:lpstr>'July 10'!Print_Area</vt:lpstr>
      <vt:lpstr>'July 11'!Print_Area</vt:lpstr>
      <vt:lpstr>'July 12'!Print_Area</vt:lpstr>
      <vt:lpstr>'July 13'!Print_Area</vt:lpstr>
      <vt:lpstr>'July 14'!Print_Area</vt:lpstr>
      <vt:lpstr>'July 15'!Print_Area</vt:lpstr>
      <vt:lpstr>'July 16'!Print_Area</vt:lpstr>
      <vt:lpstr>'July 17'!Print_Area</vt:lpstr>
      <vt:lpstr>'July 18'!Print_Area</vt:lpstr>
      <vt:lpstr>'July 19'!Print_Area</vt:lpstr>
      <vt:lpstr>'Oct 05'!Print_Area</vt:lpstr>
      <vt:lpstr>'Oct 06'!Print_Area</vt:lpstr>
      <vt:lpstr>'Oct 07'!Print_Area</vt:lpstr>
      <vt:lpstr>'Oct 08'!Print_Area</vt:lpstr>
      <vt:lpstr>'Oct 09'!Print_Area</vt:lpstr>
      <vt:lpstr>'Oct 10'!Print_Area</vt:lpstr>
      <vt:lpstr>'Oct 11'!Print_Area</vt:lpstr>
      <vt:lpstr>'Oct 12'!Print_Area</vt:lpstr>
      <vt:lpstr>'Oct 13'!Print_Area</vt:lpstr>
      <vt:lpstr>'Oct 14'!Print_Area</vt:lpstr>
      <vt:lpstr>'Oct 15'!Print_Area</vt:lpstr>
      <vt:lpstr>'Oct 16'!Print_Area</vt:lpstr>
      <vt:lpstr>'Oct 17'!Print_Area</vt:lpstr>
      <vt:lpstr>'Oct 18'!Print_Area</vt:lpstr>
      <vt:lpstr>'Oct 19'!Print_Area</vt:lpstr>
      <vt:lps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Andrew Kitching</cp:lastModifiedBy>
  <cp:lastPrinted>2020-02-13T08:40:26Z</cp:lastPrinted>
  <dcterms:created xsi:type="dcterms:W3CDTF">2003-11-18T07:58:35Z</dcterms:created>
  <dcterms:modified xsi:type="dcterms:W3CDTF">2020-02-13T15:12:22Z</dcterms:modified>
</cp:coreProperties>
</file>